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727" firstSheet="9" activeTab="18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" sheetId="16" r:id="rId16"/>
    <sheet name="9.1.2. sz. mell  " sheetId="17" r:id="rId17"/>
    <sheet name="9.1.3. sz. mell   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  <sheet name="11. sz. mell" sheetId="28" r:id="rId28"/>
    <sheet name="1. sz tájékoztató t." sheetId="29" r:id="rId29"/>
    <sheet name="2. sz tájékoztató t" sheetId="30" r:id="rId30"/>
    <sheet name="3. sz tájékoztató t." sheetId="31" r:id="rId31"/>
    <sheet name="4.sz tájékoztató t." sheetId="32" r:id="rId32"/>
    <sheet name="5.sz tájékoztató t." sheetId="33" r:id="rId33"/>
  </sheets>
  <externalReferences>
    <externalReference r:id="rId36"/>
  </externalReferences>
  <definedNames>
    <definedName name="_xlfn.IFERROR" hidden="1">#NAME?</definedName>
    <definedName name="_xlnm.Print_Titles" localSheetId="14">'9.1. sz. mell'!$2:$7</definedName>
    <definedName name="_xlnm.Print_Titles" localSheetId="15">'9.1.1. sz. mell'!$2:$7</definedName>
    <definedName name="_xlnm.Print_Titles" localSheetId="16">'9.1.2. sz. mell  '!$2:$7</definedName>
    <definedName name="_xlnm.Print_Titles" localSheetId="17">'9.1.3. sz. mell   '!$1:$6</definedName>
    <definedName name="_xlnm.Print_Titles" localSheetId="18">'9.2. sz. mell'!$2:$7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mell'!$2:$7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8">'1. sz tájékoztató t.'!$A$1:$E$144</definedName>
    <definedName name="_xlnm.Print_Area" localSheetId="4">'1.4.sz.mell.'!$A$1:$C$149</definedName>
    <definedName name="_xlnm.Print_Area" localSheetId="16">'9.1.2. sz. mell  '!$A$1:$K$147</definedName>
  </definedNames>
  <calcPr fullCalcOnLoad="1"/>
</workbook>
</file>

<file path=xl/sharedStrings.xml><?xml version="1.0" encoding="utf-8"?>
<sst xmlns="http://schemas.openxmlformats.org/spreadsheetml/2006/main" count="4448" uniqueCount="623">
  <si>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</si>
  <si>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</si>
  <si>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</si>
  <si>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</si>
  <si>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</si>
  <si>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</si>
  <si>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</si>
  <si>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</si>
  <si>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</si>
  <si>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</si>
  <si>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</si>
  <si>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</si>
  <si>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</si>
  <si>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</si>
  <si>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</si>
  <si>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</si>
  <si>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</si>
  <si>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</si>
  <si>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</si>
  <si>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</si>
  <si>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</si>
  <si>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</si>
  <si>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</si>
  <si>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</si>
  <si>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</si>
  <si>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</si>
  <si>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</si>
  <si>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</si>
  <si>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</si>
  <si>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</si>
  <si>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</si>
  <si>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</si>
  <si>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</si>
  <si>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</si>
  <si>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</si>
  <si>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</si>
  <si>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</si>
  <si>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</si>
  <si>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</si>
  <si>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</si>
  <si>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</si>
  <si>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</si>
  <si>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</si>
  <si>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</si>
  <si>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</si>
  <si>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</si>
  <si>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</si>
  <si>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</si>
  <si>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</si>
  <si>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</si>
  <si>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</si>
  <si>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</si>
  <si>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</si>
  <si>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</si>
  <si>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</si>
  <si>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</si>
  <si>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</si>
  <si>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</si>
  <si>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</si>
  <si>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</si>
  <si>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</si>
  <si>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</si>
  <si>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</si>
  <si>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</si>
  <si>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</si>
  <si>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</si>
  <si>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</si>
  <si>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</si>
  <si>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</si>
  <si>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</si>
  <si>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</si>
  <si>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</si>
  <si>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</si>
  <si>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</si>
  <si>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</si>
  <si>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</si>
  <si>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</si>
  <si>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</si>
  <si>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</si>
  <si>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</si>
  <si>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</si>
  <si>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</si>
  <si>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</si>
  <si>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</si>
  <si>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</si>
  <si>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</si>
  <si>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</si>
  <si>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</si>
  <si>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</si>
  <si>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</si>
  <si>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</si>
  <si>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</si>
  <si>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</si>
  <si>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</si>
  <si>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</si>
  <si>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</si>
  <si>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</si>
  <si>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</si>
  <si>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</si>
  <si>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</si>
  <si>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</si>
  <si>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</si>
  <si>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</si>
  <si>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</si>
  <si>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</si>
  <si>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</si>
  <si>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</si>
  <si>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</si>
  <si>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</si>
  <si>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</si>
  <si>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</si>
  <si>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</si>
  <si>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</si>
  <si>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</si>
  <si>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</si>
  <si>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</si>
  <si>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</si>
  <si>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</si>
  <si>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</si>
  <si>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</si>
  <si>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</si>
  <si>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</si>
  <si>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</si>
  <si>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</si>
  <si>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</si>
  <si>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</si>
  <si>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</si>
  <si>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</si>
  <si>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</si>
  <si>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</si>
  <si>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</si>
  <si>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</si>
  <si>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</si>
  <si>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</si>
  <si>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</si>
  <si>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</si>
  <si>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</si>
  <si>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</si>
  <si>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</si>
  <si>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</si>
  <si>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</si>
  <si>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</si>
  <si>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</si>
  <si>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</si>
  <si>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</si>
  <si>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</si>
  <si>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</si>
  <si>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</si>
  <si>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</si>
  <si>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</si>
  <si>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</si>
  <si>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</si>
  <si>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</si>
  <si>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</si>
  <si>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</si>
  <si>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</si>
  <si>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</si>
  <si>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</si>
  <si>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</si>
  <si>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</si>
  <si>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</si>
  <si>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</si>
  <si>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</si>
  <si>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</si>
  <si>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</si>
  <si>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</si>
  <si>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</si>
  <si>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</si>
  <si>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</si>
  <si>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</si>
  <si>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</si>
  <si>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</si>
  <si>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</si>
  <si>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</si>
  <si>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</si>
  <si>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</si>
  <si>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</si>
  <si>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</si>
  <si>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</si>
  <si>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</si>
  <si>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</si>
  <si>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</si>
  <si>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</si>
  <si>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</si>
  <si>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</si>
  <si>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</si>
  <si>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</si>
  <si>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</si>
  <si>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</si>
  <si>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</si>
  <si>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</si>
  <si>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</si>
  <si>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</si>
  <si>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</si>
  <si>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</si>
  <si>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</si>
  <si>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</si>
  <si>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</si>
  <si>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</si>
  <si>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</si>
  <si>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</si>
  <si>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</si>
  <si>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</si>
  <si>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</si>
  <si>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</si>
  <si>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</si>
  <si>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</si>
  <si>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</si>
  <si>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</si>
  <si>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</si>
  <si>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</si>
  <si>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</si>
  <si>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</si>
  <si>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</si>
  <si>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</si>
  <si>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</si>
  <si>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</si>
  <si>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</si>
  <si>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</si>
  <si>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</si>
  <si>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</si>
  <si>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</si>
  <si>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</si>
  <si>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</si>
  <si>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</si>
  <si>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</si>
  <si>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</si>
  <si>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</si>
  <si>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</si>
  <si>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</si>
  <si>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</si>
  <si>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</si>
  <si>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</si>
  <si>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</si>
  <si>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</si>
  <si>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</si>
  <si>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</si>
  <si>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</si>
  <si>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</si>
  <si>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</si>
  <si>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</si>
  <si>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</si>
  <si>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</si>
  <si>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</si>
  <si>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</si>
  <si>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</si>
  <si>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</si>
  <si>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</si>
  <si>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</si>
  <si>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</si>
  <si>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</si>
  <si>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</si>
  <si>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</si>
  <si>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</si>
  <si>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</si>
  <si>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</si>
  <si>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</si>
  <si>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</si>
  <si>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</si>
  <si>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</si>
  <si>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</si>
  <si>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</si>
  <si>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</si>
  <si>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</si>
  <si>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</si>
  <si>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</si>
  <si>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</si>
  <si>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</si>
  <si>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</si>
  <si>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</si>
  <si>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</si>
  <si>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</si>
  <si>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</si>
  <si>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</si>
  <si>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</si>
  <si>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</si>
  <si>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</si>
  <si>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</si>
  <si>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</si>
  <si>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</si>
  <si>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</si>
  <si>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</si>
  <si>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</si>
  <si>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</si>
  <si>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</si>
  <si>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</si>
  <si>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</si>
  <si>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</si>
  <si>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</si>
  <si>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</si>
  <si>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</si>
  <si>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</si>
  <si>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</si>
  <si>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</si>
  <si>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</si>
  <si>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</si>
  <si>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</si>
  <si>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</si>
  <si>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</si>
  <si>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</si>
  <si>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</si>
  <si>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</si>
  <si>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</si>
  <si>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</si>
  <si>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</si>
  <si>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</si>
  <si>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</si>
  <si>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</si>
  <si>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</si>
  <si>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</si>
  <si>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</si>
  <si>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</si>
  <si>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</si>
  <si>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</si>
  <si>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</si>
  <si>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</si>
  <si>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</si>
  <si>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</si>
  <si>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</si>
  <si>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</si>
  <si>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</si>
  <si>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</si>
  <si>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</si>
  <si>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</si>
  <si>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</si>
  <si>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</si>
  <si>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</si>
  <si>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</si>
  <si>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</si>
  <si>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</si>
  <si>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</si>
  <si>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</si>
  <si>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</si>
  <si>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</si>
  <si>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</si>
  <si>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</si>
  <si>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</si>
  <si>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</si>
  <si>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</si>
  <si>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</si>
  <si>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</si>
  <si>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</si>
  <si>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</si>
  <si>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</si>
  <si>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</si>
  <si>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</si>
  <si>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</si>
  <si>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</si>
  <si>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</si>
  <si>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</si>
  <si>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</si>
  <si>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</si>
  <si>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</si>
  <si>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</si>
  <si>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</si>
  <si>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</si>
  <si>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</si>
  <si>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</si>
  <si>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</si>
  <si>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</si>
  <si>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</si>
  <si>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</si>
  <si>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</si>
  <si>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</si>
  <si>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</si>
  <si>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</si>
  <si>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</si>
  <si>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</si>
  <si>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</si>
  <si>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</si>
  <si>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</si>
  <si>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</si>
  <si>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</si>
  <si>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</si>
  <si>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</si>
  <si>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</si>
  <si>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</si>
  <si>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</si>
  <si>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</si>
  <si>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</si>
  <si>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</si>
  <si>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</si>
  <si>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</si>
  <si>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</si>
  <si>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</si>
  <si>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</si>
  <si>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</si>
  <si>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</si>
  <si>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</si>
  <si>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</si>
  <si>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</si>
  <si>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</si>
  <si>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</si>
  <si>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</si>
  <si>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</si>
  <si>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</si>
  <si>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</si>
  <si>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</si>
  <si>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</si>
  <si>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</si>
  <si>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</si>
  <si>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</si>
  <si>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</si>
  <si>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</si>
  <si>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</si>
  <si>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</si>
  <si>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</si>
  <si>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</si>
  <si>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</si>
  <si>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</si>
  <si>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</si>
  <si>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</si>
  <si>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</si>
  <si>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</si>
  <si>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</si>
  <si>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</si>
  <si>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</si>
  <si>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</si>
  <si>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</si>
  <si>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</si>
  <si>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</si>
  <si>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</si>
  <si>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</si>
  <si>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</si>
  <si>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</si>
  <si>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</si>
  <si>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</si>
  <si>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</si>
  <si>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</si>
  <si>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</si>
  <si>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</si>
  <si>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</si>
  <si>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</si>
  <si>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</si>
  <si>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</si>
  <si>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</si>
  <si>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</si>
  <si>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</si>
  <si>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</si>
  <si>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</si>
  <si>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</si>
  <si>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</si>
  <si>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</si>
  <si>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</si>
  <si>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</si>
  <si>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</si>
  <si>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</si>
  <si>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</si>
  <si>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</si>
  <si>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</si>
  <si>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</si>
  <si>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</si>
  <si>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</si>
  <si>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</si>
  <si>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</si>
  <si>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</si>
  <si>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</si>
  <si>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</si>
  <si>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</si>
  <si>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</si>
  <si>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</si>
  <si>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</si>
  <si>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</si>
  <si>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</si>
  <si>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</si>
  <si>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</si>
  <si>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</si>
  <si>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</si>
  <si>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</si>
  <si>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</si>
  <si>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</si>
  <si>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</si>
  <si>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</si>
  <si>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</si>
  <si>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</si>
  <si>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</si>
  <si>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</si>
  <si>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</si>
  <si>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</si>
  <si>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</si>
  <si>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</si>
  <si>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</si>
  <si>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</si>
  <si>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</si>
  <si>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</si>
  <si>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</si>
  <si>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</si>
  <si>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</si>
  <si>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</si>
  <si>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</si>
  <si>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</si>
  <si>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</si>
  <si>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</si>
  <si>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</si>
  <si>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</si>
  <si>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</si>
  <si>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</si>
  <si>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</si>
  <si>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</si>
  <si>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</si>
  <si>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</si>
  <si>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Állami (államigazgatási) feladatok bevételei, kiadása</t>
  </si>
  <si>
    <t>04</t>
  </si>
  <si>
    <t>Osztalék, a koncessziós díj és a hozambevétel</t>
  </si>
  <si>
    <t xml:space="preserve">   Rövid lejáratú  hitelek, kölcsönök felvétele</t>
  </si>
  <si>
    <t>Tengelic Község Önkormányzata saját bevételeinek részletezése az adósságot keletkeztető ügyletből származó tárgyévi fizetési kötelezettség megállapításához</t>
  </si>
  <si>
    <t>Tengelic Község Önkormányzat adósságot keletkeztető ügyletekből és kezességvállalásokból fennálló kötelezettségei</t>
  </si>
  <si>
    <t>Polgármesteri hivatal</t>
  </si>
  <si>
    <t>Tengelici Mézeskalács Óvoda</t>
  </si>
  <si>
    <t>Tengelic Község Önkormányzata</t>
  </si>
  <si>
    <t>70600085-11109608</t>
  </si>
  <si>
    <t>Kisértékű tárgyi eszköz beszerzése</t>
  </si>
  <si>
    <t>Éves eredeti kiadási előirányzat: 0 ezer Ft</t>
  </si>
  <si>
    <t>30 napon túli elismert tartozásállomány összesen: 0  Ft</t>
  </si>
  <si>
    <t>Önkormányzati hivatal működésének támogatása</t>
  </si>
  <si>
    <t>Normatív állami hozzájárulás feladatmutatóhoz kötötten</t>
  </si>
  <si>
    <t>zöldterület gazdálkodás</t>
  </si>
  <si>
    <t>közvilágítás</t>
  </si>
  <si>
    <t>köztemető-fenntartása</t>
  </si>
  <si>
    <t>közutak fenntartása</t>
  </si>
  <si>
    <t>Települési önkormányzatok egyes köznevelési feladatainak támogatása</t>
  </si>
  <si>
    <t>óvodapedagógusok bérének támogatása</t>
  </si>
  <si>
    <t>óvodapedagógusok munkáját segítő dolgozók bérének támogatása</t>
  </si>
  <si>
    <t>óvoda működésének támogatása</t>
  </si>
  <si>
    <t>Települési önkormányzatok szociális és gyermekjóléti feladatainak támogatása</t>
  </si>
  <si>
    <t>gyermekétkeztetés támogatása</t>
  </si>
  <si>
    <t>szociáli étkezés</t>
  </si>
  <si>
    <t>tanyagondnoki szolgálat támogatása</t>
  </si>
  <si>
    <t>egyes szociális feladatok támogatása</t>
  </si>
  <si>
    <t>Települési önkormányzatok kulturális feladatainak támogatása</t>
  </si>
  <si>
    <t>Idegenforgalmi adó kiegészítés</t>
  </si>
  <si>
    <t>Lakott külterülettel kapcsolatos feladatok</t>
  </si>
  <si>
    <t>Egyéb kötelező önkormányzati feladatok támogatása</t>
  </si>
  <si>
    <t>Működési célú költségvetési támogatások és kiegészítő támogatások</t>
  </si>
  <si>
    <t>Elszámolásból származó bevételek</t>
  </si>
  <si>
    <t>Forintban</t>
  </si>
  <si>
    <t>2019.</t>
  </si>
  <si>
    <t>2020.</t>
  </si>
  <si>
    <t>Államháztartáson belüli megelőlegezés visszafizetése</t>
  </si>
  <si>
    <t>Polgármesteri illetmény</t>
  </si>
  <si>
    <t>2019. évi előirányzat</t>
  </si>
  <si>
    <t>2021.</t>
  </si>
  <si>
    <t>Tengelic Község Önkormányzat 2019. évi adósságot keletkeztető fejlesztési céljai</t>
  </si>
  <si>
    <t>Bölcsöde beruházás (önrész)</t>
  </si>
  <si>
    <t>2019</t>
  </si>
  <si>
    <t>Felhasználás
2018. XII.31-ig</t>
  </si>
  <si>
    <t xml:space="preserve">
2019. év utáni szükséglet
</t>
  </si>
  <si>
    <t>Temető vízhálózat kiépítése</t>
  </si>
  <si>
    <t>Játszótéri elemek vásárlása</t>
  </si>
  <si>
    <t>Ingatlan vásárlása</t>
  </si>
  <si>
    <t>2019. év utáni szükséglet
(6=2 - 4 - 5)</t>
  </si>
  <si>
    <t>Járda felújítások (pályázat) BM</t>
  </si>
  <si>
    <t>Faluház klíma beszerelés</t>
  </si>
  <si>
    <t>Faluközpont rendezése</t>
  </si>
  <si>
    <t>Járda felújítások (JETA pályázat) önrész</t>
  </si>
  <si>
    <t>2020. után</t>
  </si>
  <si>
    <t>Önkormányzaton kívüli EU-s projektekhez történő hozzájárulás 2019. évi előirányzat</t>
  </si>
  <si>
    <t>TOP-5.3.1-16-TL1-2017-00002</t>
  </si>
  <si>
    <t>Tengelic, 2019. február hó 08 nap</t>
  </si>
  <si>
    <t>2017. évi 
tény</t>
  </si>
  <si>
    <t>2018. évi 
várható</t>
  </si>
  <si>
    <t>2019 előtti kifizetés</t>
  </si>
  <si>
    <t>2021. 
után</t>
  </si>
  <si>
    <t>Előirányzat-felhasználási terv
2019. évre</t>
  </si>
  <si>
    <t>A 2019. évi általános működés és ágazati feladatok támogatásának alakulása jogcímenként</t>
  </si>
  <si>
    <t>2019. évi támogatás összesen</t>
  </si>
  <si>
    <t xml:space="preserve">2.1. melléklet a 3 /2019. (II.11.) önkormányzati rendelethez     </t>
  </si>
  <si>
    <t xml:space="preserve">2.2. melléklet a 3 /2019. (II.11.) önkormányzati rendelethez     </t>
  </si>
  <si>
    <t>9.1.1. melléklet a 3 /2019. (II.11.) önkormányzati rendelethez</t>
  </si>
  <si>
    <t>9.1.3. melléklet a 3 /2019. (II.11.) önkormányzati rendelethez</t>
  </si>
  <si>
    <t>9.2. melléklet a 3 /2019. (II.11.) önkormányzati rendelethez</t>
  </si>
  <si>
    <t>9.2.1. melléklet a 3 /2019. (II.11.) önkormányzati rendelethez</t>
  </si>
  <si>
    <t>9.2.2. melléklet a 3 /2019. (II.11.) önkormányzati rendelethez</t>
  </si>
  <si>
    <t>9.2.3. melléklet a 3 /2019. (II.11.) önkormányzati rendelethez</t>
  </si>
  <si>
    <t>9.3. melléklet a 3 /2019. (II.11.) önkormányzati rendelethez</t>
  </si>
  <si>
    <t>9.3. 1.melléklet a 3 /2019. (II.11.) önkormányzati rendelethez</t>
  </si>
  <si>
    <t>9.3.2. melléklet a 3 /2019. (II.11.) önkormányzati rendelethez</t>
  </si>
  <si>
    <t>9.3.3. melléklet a 3 /2019. (II.11.) önkormányzati rendelethez</t>
  </si>
  <si>
    <t>2019. évi előirányzat BEVÉTELEK</t>
  </si>
  <si>
    <t>2019. évi előirányzat KIADÁSOK</t>
  </si>
  <si>
    <t xml:space="preserve">2019. évi 1. módosítás </t>
  </si>
  <si>
    <t>2019. évi módosított előirányzat</t>
  </si>
  <si>
    <t>Eredeti előirányzat</t>
  </si>
  <si>
    <t>1. módosítás</t>
  </si>
  <si>
    <t>Módosított előirányzat</t>
  </si>
  <si>
    <t>5. melléklet a 4 /2019. (III.29.) önkormányzati rendelethez</t>
  </si>
  <si>
    <t>2019. évi eredeti előirányzat</t>
  </si>
  <si>
    <t>2020. évi tervezett előirányzat</t>
  </si>
  <si>
    <t>2021. évi tervezett előirányzat</t>
  </si>
  <si>
    <t>Talajterhelési díjból adott kedvezmény</t>
  </si>
  <si>
    <t>1.1. melléklet a 3 /2019. (II.11.) önkormányzati rendelethez</t>
  </si>
  <si>
    <t xml:space="preserve">2019. évi 2. módosítás </t>
  </si>
  <si>
    <t>2019. 2. mód</t>
  </si>
  <si>
    <t>9.1.. melléklet a 3 /2019. (II.11.) önkormányzati rendelethez</t>
  </si>
  <si>
    <t>2. módosítás</t>
  </si>
  <si>
    <t xml:space="preserve">2019. évi 3. módosítás </t>
  </si>
  <si>
    <t>2019. 3. mód</t>
  </si>
  <si>
    <t>3. módosítás</t>
  </si>
  <si>
    <t>Önként vállalt feladatok bevételei, kiadása</t>
  </si>
  <si>
    <t xml:space="preserve">2019. évi 4. módosítás </t>
  </si>
  <si>
    <t>2019. 4. mód</t>
  </si>
  <si>
    <t>4. módosítás</t>
  </si>
  <si>
    <t xml:space="preserve">2019. évi 5. módosítás </t>
  </si>
  <si>
    <t>2019. 5. mód</t>
  </si>
  <si>
    <t>5. módosítás</t>
  </si>
  <si>
    <t>7.5.</t>
  </si>
  <si>
    <t xml:space="preserve">2019. évi 6. módosítás </t>
  </si>
  <si>
    <t>3. melléklet a 3 /2020. (III.25.) önkormányzati rendelethez</t>
  </si>
  <si>
    <t>2019. 6. mód</t>
  </si>
  <si>
    <t xml:space="preserve">5. melléklet a 3 /2020. (III.25.) önkormányzati rendelethez     </t>
  </si>
  <si>
    <t>6. módosítás</t>
  </si>
  <si>
    <t>8. melléklet a 3 /2020. (III.25.) önkormányzati rendelethez</t>
  </si>
  <si>
    <t>9.1.2. melléklet a 3 /2019. (II.11.) önkormányzati rendelethez</t>
  </si>
  <si>
    <t>10. melléklet a 3 /2020. (III.25.) önkormányzati rendelethez</t>
  </si>
  <si>
    <t>1. melléklet a 6 /2020. (VII.2. ) önkormányzati rendelethez</t>
  </si>
  <si>
    <t xml:space="preserve">2019. évi 7. módosítás </t>
  </si>
  <si>
    <t>2. melléklet a 6 /2020. (VII.2.) önkormányzati rendelethez</t>
  </si>
  <si>
    <t xml:space="preserve">3. melléklet a 6 /2020. (VII.2.) önkormányzati rendelethez     </t>
  </si>
  <si>
    <t>2019. 7. mód</t>
  </si>
  <si>
    <t>4. melléklet a 6 /2020. (VII.2.) önkormányzati rendelethez</t>
  </si>
  <si>
    <t>7. módosítás</t>
  </si>
  <si>
    <t>5. melléklet a  6 /2020. (VII.2.) önkormányzati rendelethez</t>
  </si>
  <si>
    <t>6. melléklet a 6 /2020. ( VII.2.)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</si>
</sst>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</numFmts>
  <fonts count="73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14"/>
      <color indexed="10"/>
      <name val="Times New Roman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b/>
      <i/>
      <sz val="7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816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6" fontId="17" fillId="0" borderId="25" xfId="0" applyNumberFormat="1" applyFont="1" applyFill="1" applyBorder="1" applyAlignment="1" applyProtection="1">
      <alignment vertical="center" wrapText="1"/>
      <protection locked="0"/>
    </xf>
    <xf numFmtId="166" fontId="17" fillId="0" borderId="26" xfId="0" applyNumberFormat="1" applyFont="1" applyFill="1" applyBorder="1" applyAlignment="1" applyProtection="1">
      <alignment vertical="center" wrapText="1"/>
      <protection locked="0"/>
    </xf>
    <xf numFmtId="166" fontId="17" fillId="0" borderId="27" xfId="0" applyNumberFormat="1" applyFont="1" applyFill="1" applyBorder="1" applyAlignment="1" applyProtection="1">
      <alignment vertical="center" wrapText="1"/>
      <protection locked="0"/>
    </xf>
    <xf numFmtId="166" fontId="17" fillId="0" borderId="11" xfId="0" applyNumberFormat="1" applyFont="1" applyFill="1" applyBorder="1" applyAlignment="1" applyProtection="1">
      <alignment vertical="center" wrapText="1"/>
      <protection locked="0"/>
    </xf>
    <xf numFmtId="166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2" fillId="0" borderId="0" xfId="58" applyFill="1">
      <alignment/>
      <protection/>
    </xf>
    <xf numFmtId="0" fontId="7" fillId="0" borderId="29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6" fontId="22" fillId="0" borderId="2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6" fontId="5" fillId="0" borderId="0" xfId="0" applyNumberFormat="1" applyFont="1" applyFill="1" applyAlignment="1" applyProtection="1">
      <alignment horizontal="right" wrapText="1"/>
      <protection/>
    </xf>
    <xf numFmtId="166" fontId="7" fillId="0" borderId="29" xfId="0" applyNumberFormat="1" applyFont="1" applyFill="1" applyBorder="1" applyAlignment="1" applyProtection="1">
      <alignment horizontal="center" vertical="center" wrapText="1"/>
      <protection/>
    </xf>
    <xf numFmtId="166" fontId="15" fillId="0" borderId="30" xfId="0" applyNumberFormat="1" applyFont="1" applyFill="1" applyBorder="1" applyAlignment="1" applyProtection="1">
      <alignment horizontal="center" vertical="center" wrapText="1"/>
      <protection/>
    </xf>
    <xf numFmtId="166" fontId="15" fillId="0" borderId="31" xfId="0" applyNumberFormat="1" applyFont="1" applyFill="1" applyBorder="1" applyAlignment="1" applyProtection="1">
      <alignment horizontal="center" vertical="center" wrapText="1"/>
      <protection/>
    </xf>
    <xf numFmtId="166" fontId="15" fillId="0" borderId="32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7" fillId="0" borderId="25" xfId="0" applyNumberFormat="1" applyFont="1" applyFill="1" applyBorder="1" applyAlignment="1" applyProtection="1">
      <alignment vertical="center" wrapText="1"/>
      <protection/>
    </xf>
    <xf numFmtId="166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27" xfId="0" applyNumberFormat="1" applyFont="1" applyFill="1" applyBorder="1" applyAlignment="1" applyProtection="1">
      <alignment vertical="center" wrapText="1"/>
      <protection/>
    </xf>
    <xf numFmtId="166" fontId="15" fillId="0" borderId="23" xfId="0" applyNumberFormat="1" applyFont="1" applyFill="1" applyBorder="1" applyAlignment="1" applyProtection="1">
      <alignment vertical="center" wrapText="1"/>
      <protection/>
    </xf>
    <xf numFmtId="166" fontId="15" fillId="0" borderId="29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166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14" fillId="0" borderId="11" xfId="0" applyNumberFormat="1" applyFont="1" applyFill="1" applyBorder="1" applyAlignment="1" applyProtection="1">
      <alignment vertical="center" wrapText="1"/>
      <protection locked="0"/>
    </xf>
    <xf numFmtId="166" fontId="14" fillId="0" borderId="25" xfId="0" applyNumberFormat="1" applyFont="1" applyFill="1" applyBorder="1" applyAlignment="1" applyProtection="1">
      <alignment vertical="center" wrapText="1"/>
      <protection/>
    </xf>
    <xf numFmtId="166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4" fillId="0" borderId="15" xfId="0" applyNumberFormat="1" applyFont="1" applyFill="1" applyBorder="1" applyAlignment="1" applyProtection="1">
      <alignment vertical="center" wrapText="1"/>
      <protection locked="0"/>
    </xf>
    <xf numFmtId="166" fontId="14" fillId="0" borderId="27" xfId="0" applyNumberFormat="1" applyFont="1" applyFill="1" applyBorder="1" applyAlignment="1" applyProtection="1">
      <alignment vertical="center" wrapText="1"/>
      <protection/>
    </xf>
    <xf numFmtId="166" fontId="7" fillId="0" borderId="29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6" fontId="17" fillId="0" borderId="33" xfId="0" applyNumberFormat="1" applyFont="1" applyFill="1" applyBorder="1" applyAlignment="1" applyProtection="1">
      <alignment vertical="center" wrapText="1"/>
      <protection/>
    </xf>
    <xf numFmtId="166" fontId="17" fillId="0" borderId="22" xfId="0" applyNumberFormat="1" applyFont="1" applyFill="1" applyBorder="1" applyAlignment="1" applyProtection="1">
      <alignment vertical="center" wrapText="1"/>
      <protection/>
    </xf>
    <xf numFmtId="166" fontId="17" fillId="0" borderId="23" xfId="0" applyNumberFormat="1" applyFont="1" applyFill="1" applyBorder="1" applyAlignment="1" applyProtection="1">
      <alignment vertical="center" wrapText="1"/>
      <protection/>
    </xf>
    <xf numFmtId="166" fontId="17" fillId="0" borderId="29" xfId="0" applyNumberFormat="1" applyFont="1" applyFill="1" applyBorder="1" applyAlignment="1" applyProtection="1">
      <alignment vertical="center" wrapText="1"/>
      <protection/>
    </xf>
    <xf numFmtId="166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4" xfId="0" applyNumberFormat="1" applyFont="1" applyFill="1" applyBorder="1" applyAlignment="1" applyProtection="1">
      <alignment vertical="center" wrapText="1"/>
      <protection locked="0"/>
    </xf>
    <xf numFmtId="166" fontId="17" fillId="0" borderId="17" xfId="0" applyNumberFormat="1" applyFont="1" applyFill="1" applyBorder="1" applyAlignment="1" applyProtection="1">
      <alignment vertical="center" wrapText="1"/>
      <protection locked="0"/>
    </xf>
    <xf numFmtId="166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5" xfId="0" applyNumberFormat="1" applyFont="1" applyFill="1" applyBorder="1" applyAlignment="1" applyProtection="1">
      <alignment vertical="center" wrapText="1"/>
      <protection locked="0"/>
    </xf>
    <xf numFmtId="166" fontId="17" fillId="0" borderId="19" xfId="0" applyNumberFormat="1" applyFont="1" applyFill="1" applyBorder="1" applyAlignment="1" applyProtection="1">
      <alignment vertical="center" wrapText="1"/>
      <protection locked="0"/>
    </xf>
    <xf numFmtId="166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7" xfId="0" applyNumberFormat="1" applyFont="1" applyFill="1" applyBorder="1" applyAlignment="1" applyProtection="1">
      <alignment vertical="center" wrapText="1"/>
      <protection locked="0"/>
    </xf>
    <xf numFmtId="166" fontId="17" fillId="0" borderId="16" xfId="0" applyNumberFormat="1" applyFont="1" applyFill="1" applyBorder="1" applyAlignment="1" applyProtection="1">
      <alignment vertical="center" wrapText="1"/>
      <protection locked="0"/>
    </xf>
    <xf numFmtId="166" fontId="17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166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0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 locked="0"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1" xfId="0" applyFont="1" applyFill="1" applyBorder="1" applyAlignment="1" applyProtection="1">
      <alignment horizontal="left" vertical="center" wrapText="1"/>
      <protection locked="0"/>
    </xf>
    <xf numFmtId="0" fontId="21" fillId="0" borderId="42" xfId="0" applyFont="1" applyFill="1" applyBorder="1" applyAlignment="1" applyProtection="1">
      <alignment horizontal="left" vertical="center" wrapText="1"/>
      <protection locked="0"/>
    </xf>
    <xf numFmtId="166" fontId="15" fillId="33" borderId="23" xfId="0" applyNumberFormat="1" applyFont="1" applyFill="1" applyBorder="1" applyAlignment="1" applyProtection="1">
      <alignment vertical="center" wrapText="1"/>
      <protection/>
    </xf>
    <xf numFmtId="166" fontId="7" fillId="33" borderId="23" xfId="0" applyNumberFormat="1" applyFont="1" applyFill="1" applyBorder="1" applyAlignment="1" applyProtection="1">
      <alignment vertical="center" wrapText="1"/>
      <protection/>
    </xf>
    <xf numFmtId="166" fontId="0" fillId="33" borderId="4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4" xfId="0" applyFont="1" applyFill="1" applyBorder="1" applyAlignment="1" applyProtection="1">
      <alignment horizontal="right"/>
      <protection/>
    </xf>
    <xf numFmtId="166" fontId="16" fillId="0" borderId="44" xfId="58" applyNumberFormat="1" applyFont="1" applyFill="1" applyBorder="1" applyAlignment="1" applyProtection="1">
      <alignment horizontal="left" vertical="center"/>
      <protection/>
    </xf>
    <xf numFmtId="0" fontId="17" fillId="0" borderId="31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45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6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9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8" fontId="0" fillId="0" borderId="38" xfId="40" applyNumberFormat="1" applyFont="1" applyFill="1" applyBorder="1" applyAlignment="1">
      <alignment/>
    </xf>
    <xf numFmtId="168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6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6" fontId="17" fillId="0" borderId="12" xfId="0" applyNumberFormat="1" applyFont="1" applyFill="1" applyBorder="1" applyAlignment="1" applyProtection="1">
      <alignment vertical="center"/>
      <protection locked="0"/>
    </xf>
    <xf numFmtId="166" fontId="17" fillId="0" borderId="11" xfId="0" applyNumberFormat="1" applyFont="1" applyFill="1" applyBorder="1" applyAlignment="1" applyProtection="1">
      <alignment vertical="center"/>
      <protection locked="0"/>
    </xf>
    <xf numFmtId="166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8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8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8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7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29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8" fontId="15" fillId="0" borderId="29" xfId="40" applyNumberFormat="1" applyFont="1" applyFill="1" applyBorder="1" applyAlignment="1" applyProtection="1">
      <alignment/>
      <protection/>
    </xf>
    <xf numFmtId="168" fontId="17" fillId="0" borderId="47" xfId="40" applyNumberFormat="1" applyFont="1" applyFill="1" applyBorder="1" applyAlignment="1" applyProtection="1">
      <alignment/>
      <protection locked="0"/>
    </xf>
    <xf numFmtId="168" fontId="17" fillId="0" borderId="25" xfId="40" applyNumberFormat="1" applyFont="1" applyFill="1" applyBorder="1" applyAlignment="1" applyProtection="1">
      <alignment/>
      <protection locked="0"/>
    </xf>
    <xf numFmtId="168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9" xfId="0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center" vertical="center" wrapText="1"/>
      <protection/>
    </xf>
    <xf numFmtId="166" fontId="7" fillId="0" borderId="23" xfId="0" applyNumberFormat="1" applyFont="1" applyFill="1" applyBorder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left" vertical="center" wrapText="1"/>
      <protection/>
    </xf>
    <xf numFmtId="166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7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6" fontId="2" fillId="0" borderId="0" xfId="0" applyNumberFormat="1" applyFont="1" applyFill="1" applyAlignment="1" applyProtection="1">
      <alignment horizontal="left" vertical="center" wrapText="1"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166" fontId="14" fillId="0" borderId="0" xfId="0" applyNumberFormat="1" applyFont="1" applyFill="1" applyAlignment="1" applyProtection="1">
      <alignment vertical="center" wrapText="1"/>
      <protection/>
    </xf>
    <xf numFmtId="0" fontId="7" fillId="0" borderId="48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166" fontId="7" fillId="0" borderId="51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2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3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2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6" fontId="15" fillId="0" borderId="38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6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6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6" fontId="15" fillId="0" borderId="23" xfId="0" applyNumberFormat="1" applyFont="1" applyFill="1" applyBorder="1" applyAlignment="1" applyProtection="1">
      <alignment vertical="center"/>
      <protection/>
    </xf>
    <xf numFmtId="166" fontId="15" fillId="0" borderId="29" xfId="0" applyNumberFormat="1" applyFont="1" applyFill="1" applyBorder="1" applyAlignment="1" applyProtection="1">
      <alignment vertical="center"/>
      <protection/>
    </xf>
    <xf numFmtId="0" fontId="0" fillId="0" borderId="55" xfId="0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6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57" xfId="0" applyNumberFormat="1" applyFont="1" applyFill="1" applyBorder="1" applyAlignment="1" applyProtection="1">
      <alignment horizontal="center" vertical="center"/>
      <protection/>
    </xf>
    <xf numFmtId="166" fontId="7" fillId="0" borderId="39" xfId="0" applyNumberFormat="1" applyFont="1" applyFill="1" applyBorder="1" applyAlignment="1" applyProtection="1">
      <alignment horizontal="center" vertical="center" wrapText="1"/>
      <protection/>
    </xf>
    <xf numFmtId="166" fontId="15" fillId="0" borderId="53" xfId="0" applyNumberFormat="1" applyFont="1" applyFill="1" applyBorder="1" applyAlignment="1" applyProtection="1">
      <alignment horizontal="center" vertical="center" wrapText="1"/>
      <protection/>
    </xf>
    <xf numFmtId="166" fontId="15" fillId="0" borderId="33" xfId="0" applyNumberFormat="1" applyFont="1" applyFill="1" applyBorder="1" applyAlignment="1" applyProtection="1">
      <alignment horizontal="center" vertical="center" wrapText="1"/>
      <protection/>
    </xf>
    <xf numFmtId="166" fontId="15" fillId="0" borderId="43" xfId="0" applyNumberFormat="1" applyFont="1" applyFill="1" applyBorder="1" applyAlignment="1" applyProtection="1">
      <alignment horizontal="center" vertical="center" wrapText="1"/>
      <protection/>
    </xf>
    <xf numFmtId="166" fontId="15" fillId="0" borderId="29" xfId="0" applyNumberFormat="1" applyFont="1" applyFill="1" applyBorder="1" applyAlignment="1" applyProtection="1">
      <alignment horizontal="center" vertical="center" wrapText="1"/>
      <protection/>
    </xf>
    <xf numFmtId="166" fontId="15" fillId="0" borderId="37" xfId="0" applyNumberFormat="1" applyFont="1" applyFill="1" applyBorder="1" applyAlignment="1" applyProtection="1">
      <alignment horizontal="center" vertical="center" wrapText="1"/>
      <protection/>
    </xf>
    <xf numFmtId="166" fontId="15" fillId="0" borderId="22" xfId="0" applyNumberFormat="1" applyFont="1" applyFill="1" applyBorder="1" applyAlignment="1" applyProtection="1">
      <alignment horizontal="center" vertical="center" wrapText="1"/>
      <protection/>
    </xf>
    <xf numFmtId="166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7" xfId="0" applyNumberFormat="1" applyFont="1" applyFill="1" applyBorder="1" applyAlignment="1" applyProtection="1">
      <alignment horizontal="center" vertical="center" wrapText="1"/>
      <protection/>
    </xf>
    <xf numFmtId="166" fontId="17" fillId="0" borderId="34" xfId="0" applyNumberFormat="1" applyFont="1" applyFill="1" applyBorder="1" applyAlignment="1" applyProtection="1">
      <alignment vertical="center" wrapText="1"/>
      <protection/>
    </xf>
    <xf numFmtId="166" fontId="15" fillId="0" borderId="19" xfId="0" applyNumberFormat="1" applyFont="1" applyFill="1" applyBorder="1" applyAlignment="1" applyProtection="1">
      <alignment horizontal="center" vertical="center" wrapText="1"/>
      <protection/>
    </xf>
    <xf numFmtId="166" fontId="17" fillId="0" borderId="35" xfId="0" applyNumberFormat="1" applyFont="1" applyFill="1" applyBorder="1" applyAlignment="1" applyProtection="1">
      <alignment vertical="center" wrapText="1"/>
      <protection/>
    </xf>
    <xf numFmtId="166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6" xfId="0" applyNumberFormat="1" applyFont="1" applyFill="1" applyBorder="1" applyAlignment="1" applyProtection="1">
      <alignment horizontal="center" vertical="center" wrapText="1"/>
      <protection/>
    </xf>
    <xf numFmtId="166" fontId="17" fillId="0" borderId="37" xfId="0" applyNumberFormat="1" applyFont="1" applyFill="1" applyBorder="1" applyAlignment="1" applyProtection="1">
      <alignment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0" xfId="0" applyFont="1" applyBorder="1" applyAlignment="1" applyProtection="1">
      <alignment horizontal="left" vertical="center" wrapText="1" indent="1"/>
      <protection/>
    </xf>
    <xf numFmtId="166" fontId="15" fillId="0" borderId="40" xfId="58" applyNumberFormat="1" applyFont="1" applyFill="1" applyBorder="1" applyAlignment="1" applyProtection="1">
      <alignment horizontal="right" vertical="center" wrapText="1" indent="1"/>
      <protection/>
    </xf>
    <xf numFmtId="166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6" fontId="17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6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6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29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66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8" fontId="17" fillId="0" borderId="58" xfId="40" applyNumberFormat="1" applyFont="1" applyFill="1" applyBorder="1" applyAlignment="1" applyProtection="1">
      <alignment/>
      <protection locked="0"/>
    </xf>
    <xf numFmtId="168" fontId="17" fillId="0" borderId="56" xfId="40" applyNumberFormat="1" applyFont="1" applyFill="1" applyBorder="1" applyAlignment="1" applyProtection="1">
      <alignment/>
      <protection locked="0"/>
    </xf>
    <xf numFmtId="168" fontId="17" fillId="0" borderId="51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 quotePrefix="1">
      <alignment horizontal="right" vertical="center" indent="1"/>
      <protection/>
    </xf>
    <xf numFmtId="0" fontId="7" fillId="0" borderId="59" xfId="0" applyFont="1" applyFill="1" applyBorder="1" applyAlignment="1" applyProtection="1">
      <alignment horizontal="right" vertical="center" indent="1"/>
      <protection/>
    </xf>
    <xf numFmtId="0" fontId="7" fillId="0" borderId="40" xfId="0" applyFont="1" applyFill="1" applyBorder="1" applyAlignment="1" applyProtection="1">
      <alignment horizontal="right" vertical="center" wrapText="1" indent="1"/>
      <protection/>
    </xf>
    <xf numFmtId="166" fontId="7" fillId="0" borderId="51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6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6" fontId="15" fillId="0" borderId="46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7" xfId="0" applyNumberFormat="1" applyFont="1" applyFill="1" applyBorder="1" applyAlignment="1" applyProtection="1">
      <alignment horizontal="right" vertical="center"/>
      <protection/>
    </xf>
    <xf numFmtId="49" fontId="7" fillId="0" borderId="59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0" xfId="58" applyFont="1" applyFill="1" applyBorder="1" applyAlignment="1" applyProtection="1">
      <alignment horizontal="center" vertical="center" wrapText="1"/>
      <protection/>
    </xf>
    <xf numFmtId="0" fontId="6" fillId="0" borderId="60" xfId="58" applyFont="1" applyFill="1" applyBorder="1" applyAlignment="1" applyProtection="1">
      <alignment vertical="center" wrapText="1"/>
      <protection/>
    </xf>
    <xf numFmtId="0" fontId="17" fillId="0" borderId="60" xfId="58" applyFont="1" applyFill="1" applyBorder="1" applyAlignment="1" applyProtection="1">
      <alignment horizontal="right" vertical="center" wrapText="1" indent="1"/>
      <protection locked="0"/>
    </xf>
    <xf numFmtId="166" fontId="17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20" fillId="0" borderId="40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45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6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6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2" xfId="58" applyFont="1" applyFill="1" applyBorder="1" applyAlignment="1" applyProtection="1">
      <alignment horizontal="center" vertical="center" wrapText="1"/>
      <protection/>
    </xf>
    <xf numFmtId="166" fontId="21" fillId="0" borderId="6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2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0" xfId="58" applyFont="1" applyFill="1" applyBorder="1" applyAlignment="1" applyProtection="1">
      <alignment horizontal="center" vertical="center" wrapText="1"/>
      <protection/>
    </xf>
    <xf numFmtId="166" fontId="17" fillId="0" borderId="3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6" fontId="20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0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166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31" xfId="58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6" fontId="17" fillId="33" borderId="25" xfId="58" applyNumberFormat="1" applyFont="1" applyFill="1" applyBorder="1" applyAlignment="1" applyProtection="1">
      <alignment horizontal="right" vertical="center" wrapText="1" indent="1"/>
      <protection/>
    </xf>
    <xf numFmtId="166" fontId="17" fillId="33" borderId="27" xfId="58" applyNumberFormat="1" applyFont="1" applyFill="1" applyBorder="1" applyAlignment="1" applyProtection="1">
      <alignment horizontal="right" vertical="center" wrapText="1" indent="1"/>
      <protection/>
    </xf>
    <xf numFmtId="166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8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vertical="center" wrapText="1"/>
      <protection/>
    </xf>
    <xf numFmtId="0" fontId="22" fillId="0" borderId="30" xfId="0" applyFont="1" applyBorder="1" applyAlignment="1" applyProtection="1">
      <alignment vertical="center" wrapText="1"/>
      <protection/>
    </xf>
    <xf numFmtId="166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8" fontId="3" fillId="0" borderId="23" xfId="58" applyNumberFormat="1" applyFont="1" applyFill="1" applyBorder="1">
      <alignment/>
      <protection/>
    </xf>
    <xf numFmtId="168" fontId="3" fillId="0" borderId="29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6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17" fillId="34" borderId="11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34" borderId="15" xfId="58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3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right"/>
      <protection/>
    </xf>
    <xf numFmtId="166" fontId="4" fillId="0" borderId="0" xfId="0" applyNumberFormat="1" applyFont="1" applyFill="1" applyAlignment="1" applyProtection="1">
      <alignment vertical="center"/>
      <protection/>
    </xf>
    <xf numFmtId="166" fontId="4" fillId="0" borderId="0" xfId="0" applyNumberFormat="1" applyFont="1" applyFill="1" applyAlignment="1" applyProtection="1">
      <alignment horizontal="center" vertical="center"/>
      <protection/>
    </xf>
    <xf numFmtId="166" fontId="4" fillId="0" borderId="0" xfId="0" applyNumberFormat="1" applyFont="1" applyFill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6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23" xfId="0" applyNumberFormat="1" applyFont="1" applyBorder="1" applyAlignment="1" applyProtection="1">
      <alignment horizontal="right" vertical="center" wrapText="1" indent="1"/>
      <protection/>
    </xf>
    <xf numFmtId="166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166" fontId="22" fillId="0" borderId="61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64" xfId="0" applyFont="1" applyFill="1" applyBorder="1" applyAlignment="1" applyProtection="1">
      <alignment horizontal="left" vertical="center" wrapText="1"/>
      <protection locked="0"/>
    </xf>
    <xf numFmtId="0" fontId="22" fillId="0" borderId="4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/>
    </xf>
    <xf numFmtId="0" fontId="21" fillId="0" borderId="64" xfId="0" applyFont="1" applyFill="1" applyBorder="1" applyAlignment="1" applyProtection="1">
      <alignment horizontal="left" vertical="center" wrapText="1"/>
      <protection locked="0"/>
    </xf>
    <xf numFmtId="166" fontId="2" fillId="0" borderId="0" xfId="59" applyNumberFormat="1" applyFill="1" applyAlignment="1" applyProtection="1">
      <alignment vertical="center"/>
      <protection/>
    </xf>
    <xf numFmtId="0" fontId="32" fillId="0" borderId="10" xfId="59" applyFont="1" applyFill="1" applyBorder="1" applyAlignment="1" applyProtection="1">
      <alignment horizontal="left" vertical="center" wrapText="1" indent="1"/>
      <protection/>
    </xf>
    <xf numFmtId="166" fontId="32" fillId="0" borderId="10" xfId="59" applyNumberFormat="1" applyFont="1" applyFill="1" applyBorder="1" applyAlignment="1" applyProtection="1">
      <alignment vertical="center"/>
      <protection locked="0"/>
    </xf>
    <xf numFmtId="166" fontId="32" fillId="0" borderId="26" xfId="59" applyNumberFormat="1" applyFont="1" applyFill="1" applyBorder="1" applyAlignment="1" applyProtection="1">
      <alignment vertical="center"/>
      <protection/>
    </xf>
    <xf numFmtId="0" fontId="32" fillId="0" borderId="11" xfId="59" applyFont="1" applyFill="1" applyBorder="1" applyAlignment="1" applyProtection="1">
      <alignment horizontal="left" vertical="center" wrapText="1" indent="1"/>
      <protection/>
    </xf>
    <xf numFmtId="166" fontId="32" fillId="0" borderId="11" xfId="59" applyNumberFormat="1" applyFont="1" applyFill="1" applyBorder="1" applyAlignment="1" applyProtection="1">
      <alignment vertical="center"/>
      <protection locked="0"/>
    </xf>
    <xf numFmtId="166" fontId="32" fillId="0" borderId="25" xfId="59" applyNumberFormat="1" applyFont="1" applyFill="1" applyBorder="1" applyAlignment="1" applyProtection="1">
      <alignment vertical="center"/>
      <protection/>
    </xf>
    <xf numFmtId="0" fontId="32" fillId="0" borderId="12" xfId="59" applyFont="1" applyFill="1" applyBorder="1" applyAlignment="1" applyProtection="1">
      <alignment horizontal="left" vertical="center" wrapText="1" indent="1"/>
      <protection/>
    </xf>
    <xf numFmtId="166" fontId="32" fillId="0" borderId="12" xfId="59" applyNumberFormat="1" applyFont="1" applyFill="1" applyBorder="1" applyAlignment="1" applyProtection="1">
      <alignment vertical="center"/>
      <protection locked="0"/>
    </xf>
    <xf numFmtId="166" fontId="32" fillId="0" borderId="38" xfId="59" applyNumberFormat="1" applyFont="1" applyFill="1" applyBorder="1" applyAlignment="1" applyProtection="1">
      <alignment vertical="center"/>
      <protection/>
    </xf>
    <xf numFmtId="0" fontId="32" fillId="0" borderId="11" xfId="59" applyFont="1" applyFill="1" applyBorder="1" applyAlignment="1" applyProtection="1">
      <alignment horizontal="left" vertical="center" indent="1"/>
      <protection/>
    </xf>
    <xf numFmtId="0" fontId="33" fillId="0" borderId="23" xfId="59" applyFont="1" applyFill="1" applyBorder="1" applyAlignment="1" applyProtection="1">
      <alignment horizontal="left" vertical="center" indent="1"/>
      <protection/>
    </xf>
    <xf numFmtId="166" fontId="33" fillId="0" borderId="23" xfId="59" applyNumberFormat="1" applyFont="1" applyFill="1" applyBorder="1" applyAlignment="1" applyProtection="1">
      <alignment vertical="center"/>
      <protection/>
    </xf>
    <xf numFmtId="166" fontId="33" fillId="0" borderId="29" xfId="59" applyNumberFormat="1" applyFont="1" applyFill="1" applyBorder="1" applyAlignment="1" applyProtection="1">
      <alignment vertical="center"/>
      <protection/>
    </xf>
    <xf numFmtId="0" fontId="32" fillId="0" borderId="12" xfId="59" applyFont="1" applyFill="1" applyBorder="1" applyAlignment="1" applyProtection="1">
      <alignment horizontal="left" vertical="center" indent="1"/>
      <protection/>
    </xf>
    <xf numFmtId="0" fontId="33" fillId="0" borderId="23" xfId="59" applyFont="1" applyFill="1" applyBorder="1" applyAlignment="1" applyProtection="1">
      <alignment horizontal="left" indent="1"/>
      <protection/>
    </xf>
    <xf numFmtId="166" fontId="33" fillId="0" borderId="23" xfId="59" applyNumberFormat="1" applyFont="1" applyFill="1" applyBorder="1" applyProtection="1">
      <alignment/>
      <protection/>
    </xf>
    <xf numFmtId="166" fontId="33" fillId="0" borderId="29" xfId="59" applyNumberFormat="1" applyFont="1" applyFill="1" applyBorder="1" applyProtection="1">
      <alignment/>
      <protection/>
    </xf>
    <xf numFmtId="166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0" xfId="59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0" fillId="0" borderId="0" xfId="0" applyAlignment="1">
      <alignment vertical="center" wrapText="1"/>
    </xf>
    <xf numFmtId="166" fontId="2" fillId="0" borderId="0" xfId="0" applyNumberFormat="1" applyFont="1" applyAlignment="1">
      <alignment horizontal="left" vertical="center" wrapText="1"/>
    </xf>
    <xf numFmtId="166" fontId="14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58">
      <alignment/>
      <protection/>
    </xf>
    <xf numFmtId="0" fontId="5" fillId="0" borderId="44" xfId="0" applyFont="1" applyBorder="1" applyAlignment="1">
      <alignment horizontal="right" vertical="center"/>
    </xf>
    <xf numFmtId="0" fontId="7" fillId="0" borderId="22" xfId="58" applyFont="1" applyBorder="1" applyAlignment="1">
      <alignment horizontal="center" vertical="center" wrapText="1"/>
      <protection/>
    </xf>
    <xf numFmtId="0" fontId="7" fillId="0" borderId="23" xfId="58" applyFont="1" applyBorder="1" applyAlignment="1">
      <alignment horizontal="center" vertical="center" wrapText="1"/>
      <protection/>
    </xf>
    <xf numFmtId="0" fontId="7" fillId="0" borderId="29" xfId="58" applyFont="1" applyBorder="1" applyAlignment="1">
      <alignment horizontal="center" vertical="center" wrapText="1"/>
      <protection/>
    </xf>
    <xf numFmtId="0" fontId="15" fillId="0" borderId="24" xfId="58" applyFont="1" applyBorder="1" applyAlignment="1">
      <alignment horizontal="center" vertical="center" wrapText="1"/>
      <protection/>
    </xf>
    <xf numFmtId="0" fontId="15" fillId="0" borderId="28" xfId="58" applyFont="1" applyBorder="1" applyAlignment="1">
      <alignment horizontal="center" vertical="center" wrapText="1"/>
      <protection/>
    </xf>
    <xf numFmtId="0" fontId="15" fillId="0" borderId="40" xfId="58" applyFont="1" applyBorder="1" applyAlignment="1">
      <alignment horizontal="center" vertical="center" wrapText="1"/>
      <protection/>
    </xf>
    <xf numFmtId="0" fontId="17" fillId="0" borderId="0" xfId="58" applyFont="1">
      <alignment/>
      <protection/>
    </xf>
    <xf numFmtId="0" fontId="15" fillId="0" borderId="22" xfId="58" applyFont="1" applyBorder="1" applyAlignment="1">
      <alignment horizontal="left" vertical="center" wrapText="1" indent="1"/>
      <protection/>
    </xf>
    <xf numFmtId="0" fontId="15" fillId="0" borderId="23" xfId="58" applyFont="1" applyBorder="1" applyAlignment="1">
      <alignment horizontal="left" vertical="center" wrapText="1" indent="1"/>
      <protection/>
    </xf>
    <xf numFmtId="166" fontId="15" fillId="0" borderId="29" xfId="58" applyNumberFormat="1" applyFont="1" applyBorder="1" applyAlignment="1">
      <alignment horizontal="right" vertical="center" wrapText="1" indent="1"/>
      <protection/>
    </xf>
    <xf numFmtId="0" fontId="0" fillId="0" borderId="0" xfId="58" applyFont="1">
      <alignment/>
      <protection/>
    </xf>
    <xf numFmtId="49" fontId="17" fillId="0" borderId="18" xfId="58" applyNumberFormat="1" applyFont="1" applyBorder="1" applyAlignment="1">
      <alignment horizontal="left" vertical="center" wrapText="1" indent="1"/>
      <protection/>
    </xf>
    <xf numFmtId="0" fontId="21" fillId="0" borderId="12" xfId="0" applyFont="1" applyBorder="1" applyAlignment="1">
      <alignment horizontal="left" wrapText="1" indent="1"/>
    </xf>
    <xf numFmtId="166" fontId="17" fillId="0" borderId="38" xfId="58" applyNumberFormat="1" applyFont="1" applyBorder="1" applyAlignment="1" applyProtection="1">
      <alignment horizontal="right" vertical="center" wrapText="1" indent="1"/>
      <protection locked="0"/>
    </xf>
    <xf numFmtId="49" fontId="17" fillId="0" borderId="17" xfId="58" applyNumberFormat="1" applyFont="1" applyBorder="1" applyAlignment="1">
      <alignment horizontal="left" vertical="center" wrapText="1" indent="1"/>
      <protection/>
    </xf>
    <xf numFmtId="0" fontId="21" fillId="0" borderId="11" xfId="0" applyFont="1" applyBorder="1" applyAlignment="1">
      <alignment horizontal="left" wrapText="1" indent="1"/>
    </xf>
    <xf numFmtId="166" fontId="17" fillId="0" borderId="25" xfId="58" applyNumberFormat="1" applyFont="1" applyBorder="1" applyAlignment="1" applyProtection="1">
      <alignment horizontal="right" vertical="center" wrapText="1" indent="1"/>
      <protection locked="0"/>
    </xf>
    <xf numFmtId="49" fontId="17" fillId="0" borderId="19" xfId="58" applyNumberFormat="1" applyFont="1" applyBorder="1" applyAlignment="1">
      <alignment horizontal="left" vertical="center" wrapText="1" indent="1"/>
      <protection/>
    </xf>
    <xf numFmtId="0" fontId="21" fillId="0" borderId="15" xfId="0" applyFont="1" applyBorder="1" applyAlignment="1">
      <alignment horizontal="left" wrapText="1" indent="1"/>
    </xf>
    <xf numFmtId="0" fontId="22" fillId="0" borderId="23" xfId="0" applyFont="1" applyBorder="1" applyAlignment="1">
      <alignment horizontal="left" vertical="center" wrapText="1" indent="1"/>
    </xf>
    <xf numFmtId="166" fontId="17" fillId="0" borderId="27" xfId="58" applyNumberFormat="1" applyFont="1" applyBorder="1" applyAlignment="1" applyProtection="1">
      <alignment horizontal="right" vertical="center" wrapText="1" indent="1"/>
      <protection locked="0"/>
    </xf>
    <xf numFmtId="166" fontId="15" fillId="0" borderId="29" xfId="58" applyNumberFormat="1" applyFont="1" applyBorder="1" applyAlignment="1">
      <alignment horizontal="right" vertical="center" wrapText="1" indent="1"/>
      <protection/>
    </xf>
    <xf numFmtId="166" fontId="17" fillId="0" borderId="38" xfId="58" applyNumberFormat="1" applyFont="1" applyBorder="1" applyAlignment="1">
      <alignment horizontal="right" vertical="center" wrapText="1" indent="1"/>
      <protection/>
    </xf>
    <xf numFmtId="166" fontId="17" fillId="0" borderId="25" xfId="58" applyNumberFormat="1" applyFont="1" applyBorder="1" applyAlignment="1" applyProtection="1">
      <alignment horizontal="right" vertical="center" wrapText="1" indent="1"/>
      <protection locked="0"/>
    </xf>
    <xf numFmtId="166" fontId="17" fillId="0" borderId="27" xfId="58" applyNumberFormat="1" applyFont="1" applyBorder="1" applyAlignment="1" applyProtection="1">
      <alignment horizontal="right" vertical="center" wrapText="1" indent="1"/>
      <protection locked="0"/>
    </xf>
    <xf numFmtId="166" fontId="17" fillId="0" borderId="38" xfId="58" applyNumberFormat="1" applyFont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21" fillId="0" borderId="19" xfId="0" applyFont="1" applyBorder="1" applyAlignment="1">
      <alignment wrapText="1"/>
    </xf>
    <xf numFmtId="166" fontId="15" fillId="0" borderId="29" xfId="58" applyNumberFormat="1" applyFont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>
      <alignment wrapText="1"/>
    </xf>
    <xf numFmtId="0" fontId="22" fillId="0" borderId="30" xfId="0" applyFont="1" applyBorder="1" applyAlignment="1">
      <alignment wrapText="1"/>
    </xf>
    <xf numFmtId="0" fontId="22" fillId="0" borderId="31" xfId="0" applyFont="1" applyBorder="1" applyAlignment="1">
      <alignment wrapText="1"/>
    </xf>
    <xf numFmtId="0" fontId="6" fillId="0" borderId="0" xfId="58" applyFont="1" applyAlignment="1">
      <alignment horizontal="center" vertical="center" wrapText="1"/>
      <protection/>
    </xf>
    <xf numFmtId="0" fontId="6" fillId="0" borderId="0" xfId="58" applyFont="1" applyAlignment="1">
      <alignment vertical="center" wrapText="1"/>
      <protection/>
    </xf>
    <xf numFmtId="166" fontId="6" fillId="0" borderId="0" xfId="58" applyNumberFormat="1" applyFont="1" applyAlignment="1">
      <alignment horizontal="right" vertical="center" wrapText="1" indent="1"/>
      <protection/>
    </xf>
    <xf numFmtId="0" fontId="5" fillId="0" borderId="44" xfId="0" applyFont="1" applyBorder="1" applyAlignment="1">
      <alignment horizontal="right"/>
    </xf>
    <xf numFmtId="0" fontId="15" fillId="0" borderId="22" xfId="58" applyFont="1" applyBorder="1" applyAlignment="1">
      <alignment horizontal="center" vertical="center" wrapText="1"/>
      <protection/>
    </xf>
    <xf numFmtId="0" fontId="15" fillId="0" borderId="23" xfId="58" applyFont="1" applyBorder="1" applyAlignment="1">
      <alignment horizontal="center" vertical="center" wrapText="1"/>
      <protection/>
    </xf>
    <xf numFmtId="0" fontId="15" fillId="0" borderId="29" xfId="58" applyFont="1" applyBorder="1" applyAlignment="1">
      <alignment horizontal="center" vertical="center" wrapText="1"/>
      <protection/>
    </xf>
    <xf numFmtId="0" fontId="15" fillId="0" borderId="24" xfId="58" applyFont="1" applyBorder="1" applyAlignment="1">
      <alignment horizontal="left" vertical="center" wrapText="1" indent="1"/>
      <protection/>
    </xf>
    <xf numFmtId="0" fontId="15" fillId="0" borderId="28" xfId="58" applyFont="1" applyBorder="1" applyAlignment="1">
      <alignment vertical="center" wrapText="1"/>
      <protection/>
    </xf>
    <xf numFmtId="166" fontId="15" fillId="0" borderId="40" xfId="58" applyNumberFormat="1" applyFont="1" applyBorder="1" applyAlignment="1">
      <alignment horizontal="right" vertical="center" wrapText="1" indent="1"/>
      <protection/>
    </xf>
    <xf numFmtId="49" fontId="17" fillId="0" borderId="20" xfId="58" applyNumberFormat="1" applyFont="1" applyBorder="1" applyAlignment="1">
      <alignment horizontal="left" vertical="center" wrapText="1" indent="1"/>
      <protection/>
    </xf>
    <xf numFmtId="0" fontId="17" fillId="0" borderId="13" xfId="58" applyFont="1" applyBorder="1" applyAlignment="1">
      <alignment horizontal="left" vertical="center" wrapText="1" indent="1"/>
      <protection/>
    </xf>
    <xf numFmtId="166" fontId="17" fillId="0" borderId="47" xfId="58" applyNumberFormat="1" applyFont="1" applyBorder="1" applyAlignment="1" applyProtection="1">
      <alignment horizontal="right" vertical="center" wrapText="1" indent="1"/>
      <protection locked="0"/>
    </xf>
    <xf numFmtId="166" fontId="17" fillId="0" borderId="65" xfId="58" applyNumberFormat="1" applyFont="1" applyBorder="1" applyAlignment="1" applyProtection="1">
      <alignment horizontal="right" vertical="center" wrapText="1" indent="1"/>
      <protection locked="0"/>
    </xf>
    <xf numFmtId="0" fontId="17" fillId="0" borderId="11" xfId="58" applyFont="1" applyBorder="1" applyAlignment="1">
      <alignment horizontal="left" vertical="center" wrapText="1" indent="1"/>
      <protection/>
    </xf>
    <xf numFmtId="166" fontId="17" fillId="0" borderId="34" xfId="58" applyNumberFormat="1" applyFont="1" applyBorder="1" applyAlignment="1" applyProtection="1">
      <alignment horizontal="right" vertical="center" wrapText="1" indent="1"/>
      <protection locked="0"/>
    </xf>
    <xf numFmtId="0" fontId="17" fillId="0" borderId="14" xfId="58" applyFont="1" applyBorder="1" applyAlignment="1">
      <alignment horizontal="left" vertical="center" wrapText="1" indent="1"/>
      <protection/>
    </xf>
    <xf numFmtId="0" fontId="17" fillId="0" borderId="0" xfId="58" applyFont="1" applyAlignment="1">
      <alignment horizontal="left" vertical="center" wrapText="1" indent="1"/>
      <protection/>
    </xf>
    <xf numFmtId="0" fontId="17" fillId="0" borderId="11" xfId="58" applyFont="1" applyBorder="1" applyAlignment="1">
      <alignment horizontal="left" indent="6"/>
      <protection/>
    </xf>
    <xf numFmtId="0" fontId="17" fillId="0" borderId="11" xfId="58" applyFont="1" applyBorder="1" applyAlignment="1">
      <alignment horizontal="left" vertical="center" wrapText="1" indent="6"/>
      <protection/>
    </xf>
    <xf numFmtId="49" fontId="17" fillId="0" borderId="16" xfId="58" applyNumberFormat="1" applyFont="1" applyBorder="1" applyAlignment="1">
      <alignment horizontal="left" vertical="center" wrapText="1" indent="1"/>
      <protection/>
    </xf>
    <xf numFmtId="0" fontId="17" fillId="0" borderId="15" xfId="58" applyFont="1" applyBorder="1" applyAlignment="1">
      <alignment horizontal="left" vertical="center" wrapText="1" indent="6"/>
      <protection/>
    </xf>
    <xf numFmtId="49" fontId="17" fillId="0" borderId="21" xfId="58" applyNumberFormat="1" applyFont="1" applyBorder="1" applyAlignment="1">
      <alignment horizontal="left" vertical="center" wrapText="1" indent="1"/>
      <protection/>
    </xf>
    <xf numFmtId="0" fontId="17" fillId="0" borderId="45" xfId="58" applyFont="1" applyBorder="1" applyAlignment="1">
      <alignment horizontal="left" vertical="center" wrapText="1" indent="6"/>
      <protection/>
    </xf>
    <xf numFmtId="166" fontId="17" fillId="0" borderId="39" xfId="58" applyNumberFormat="1" applyFont="1" applyBorder="1" applyAlignment="1" applyProtection="1">
      <alignment horizontal="right" vertical="center" wrapText="1" indent="1"/>
      <protection locked="0"/>
    </xf>
    <xf numFmtId="0" fontId="15" fillId="0" borderId="23" xfId="58" applyFont="1" applyBorder="1" applyAlignment="1">
      <alignment vertical="center" wrapText="1"/>
      <protection/>
    </xf>
    <xf numFmtId="0" fontId="17" fillId="0" borderId="15" xfId="58" applyFont="1" applyBorder="1" applyAlignment="1">
      <alignment horizontal="left" vertical="center" wrapText="1" indent="1"/>
      <protection/>
    </xf>
    <xf numFmtId="166" fontId="17" fillId="0" borderId="56" xfId="58" applyNumberFormat="1" applyFont="1" applyBorder="1" applyAlignment="1" applyProtection="1">
      <alignment horizontal="right" vertical="center" wrapText="1" indent="1"/>
      <protection locked="0"/>
    </xf>
    <xf numFmtId="0" fontId="21" fillId="0" borderId="15" xfId="0" applyFont="1" applyBorder="1" applyAlignment="1">
      <alignment horizontal="left" vertical="center" wrapText="1" indent="1"/>
    </xf>
    <xf numFmtId="0" fontId="21" fillId="0" borderId="11" xfId="0" applyFont="1" applyBorder="1" applyAlignment="1">
      <alignment horizontal="left" vertical="center" wrapText="1" indent="1"/>
    </xf>
    <xf numFmtId="0" fontId="17" fillId="0" borderId="12" xfId="58" applyFont="1" applyBorder="1" applyAlignment="1">
      <alignment horizontal="left" vertical="center" wrapText="1" indent="6"/>
      <protection/>
    </xf>
    <xf numFmtId="166" fontId="17" fillId="0" borderId="51" xfId="58" applyNumberFormat="1" applyFont="1" applyBorder="1" applyAlignment="1" applyProtection="1">
      <alignment horizontal="right" vertical="center" wrapText="1" indent="1"/>
      <protection locked="0"/>
    </xf>
    <xf numFmtId="0" fontId="15" fillId="0" borderId="23" xfId="58" applyFont="1" applyBorder="1" applyAlignment="1">
      <alignment horizontal="left" vertical="center" wrapText="1" indent="1"/>
      <protection/>
    </xf>
    <xf numFmtId="0" fontId="17" fillId="0" borderId="12" xfId="58" applyFont="1" applyBorder="1" applyAlignment="1">
      <alignment horizontal="left" vertical="center" wrapText="1" indent="1"/>
      <protection/>
    </xf>
    <xf numFmtId="0" fontId="17" fillId="0" borderId="10" xfId="58" applyFont="1" applyBorder="1" applyAlignment="1">
      <alignment horizontal="left" vertical="center" wrapText="1" indent="1"/>
      <protection/>
    </xf>
    <xf numFmtId="166" fontId="22" fillId="0" borderId="29" xfId="0" applyNumberFormat="1" applyFont="1" applyBorder="1" applyAlignment="1">
      <alignment horizontal="right" vertical="center" wrapText="1" indent="1"/>
    </xf>
    <xf numFmtId="166" fontId="20" fillId="0" borderId="29" xfId="0" applyNumberFormat="1" applyFont="1" applyBorder="1" applyAlignment="1" quotePrefix="1">
      <alignment horizontal="right" vertical="center" wrapText="1" indent="1"/>
    </xf>
    <xf numFmtId="0" fontId="19" fillId="0" borderId="0" xfId="58" applyFont="1">
      <alignment/>
      <protection/>
    </xf>
    <xf numFmtId="0" fontId="6" fillId="0" borderId="0" xfId="58" applyFont="1">
      <alignment/>
      <protection/>
    </xf>
    <xf numFmtId="0" fontId="22" fillId="0" borderId="30" xfId="0" applyFont="1" applyBorder="1" applyAlignment="1">
      <alignment horizontal="left" vertical="center" wrapText="1" indent="1"/>
    </xf>
    <xf numFmtId="0" fontId="20" fillId="0" borderId="31" xfId="0" applyFont="1" applyBorder="1" applyAlignment="1">
      <alignment horizontal="left" vertical="center" wrapText="1" indent="1"/>
    </xf>
    <xf numFmtId="0" fontId="2" fillId="0" borderId="0" xfId="58" applyAlignment="1">
      <alignment horizontal="right" vertical="center" indent="1"/>
      <protection/>
    </xf>
    <xf numFmtId="0" fontId="7" fillId="0" borderId="62" xfId="0" applyFont="1" applyBorder="1" applyAlignment="1">
      <alignment horizontal="center" vertical="center" wrapText="1"/>
    </xf>
    <xf numFmtId="0" fontId="7" fillId="0" borderId="47" xfId="0" applyFont="1" applyBorder="1" applyAlignment="1" quotePrefix="1">
      <alignment horizontal="right" vertical="center" indent="1"/>
    </xf>
    <xf numFmtId="0" fontId="6" fillId="0" borderId="0" xfId="0" applyFont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59" xfId="0" applyFont="1" applyBorder="1" applyAlignment="1">
      <alignment horizontal="right" vertical="center" inden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7" fillId="0" borderId="5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49" fontId="17" fillId="0" borderId="18" xfId="58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49" fontId="17" fillId="0" borderId="17" xfId="58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 vertical="center" wrapText="1"/>
    </xf>
    <xf numFmtId="166" fontId="17" fillId="34" borderId="25" xfId="58" applyNumberFormat="1" applyFont="1" applyFill="1" applyBorder="1" applyAlignment="1">
      <alignment horizontal="right" vertical="center" wrapText="1" indent="1"/>
      <protection/>
    </xf>
    <xf numFmtId="49" fontId="17" fillId="0" borderId="19" xfId="58" applyNumberFormat="1" applyFont="1" applyBorder="1" applyAlignment="1">
      <alignment horizontal="center" vertical="center" wrapText="1"/>
      <protection/>
    </xf>
    <xf numFmtId="166" fontId="17" fillId="33" borderId="27" xfId="58" applyNumberFormat="1" applyFont="1" applyFill="1" applyBorder="1" applyAlignment="1">
      <alignment horizontal="right" vertical="center" wrapText="1" indent="1"/>
      <protection/>
    </xf>
    <xf numFmtId="0" fontId="22" fillId="0" borderId="22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 indent="1"/>
    </xf>
    <xf numFmtId="166" fontId="15" fillId="0" borderId="0" xfId="0" applyNumberFormat="1" applyFont="1" applyAlignment="1">
      <alignment horizontal="right" vertical="center" wrapText="1" inden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 indent="1"/>
    </xf>
    <xf numFmtId="0" fontId="15" fillId="0" borderId="53" xfId="0" applyFont="1" applyBorder="1" applyAlignment="1">
      <alignment horizontal="center" vertical="center" wrapText="1"/>
    </xf>
    <xf numFmtId="166" fontId="15" fillId="0" borderId="46" xfId="0" applyNumberFormat="1" applyFont="1" applyBorder="1" applyAlignment="1">
      <alignment horizontal="right" vertical="center" wrapText="1" indent="1"/>
    </xf>
    <xf numFmtId="0" fontId="8" fillId="0" borderId="0" xfId="0" applyFont="1" applyAlignment="1">
      <alignment vertical="center" wrapText="1"/>
    </xf>
    <xf numFmtId="49" fontId="17" fillId="0" borderId="20" xfId="58" applyNumberFormat="1" applyFont="1" applyBorder="1" applyAlignment="1">
      <alignment horizontal="center" vertical="center" wrapText="1"/>
      <protection/>
    </xf>
    <xf numFmtId="49" fontId="17" fillId="0" borderId="16" xfId="58" applyNumberFormat="1" applyFont="1" applyBorder="1" applyAlignment="1">
      <alignment horizontal="center" vertical="center" wrapText="1"/>
      <protection/>
    </xf>
    <xf numFmtId="49" fontId="17" fillId="0" borderId="21" xfId="58" applyNumberFormat="1" applyFont="1" applyBorder="1" applyAlignment="1">
      <alignment horizontal="center" vertical="center" wrapText="1"/>
      <protection/>
    </xf>
    <xf numFmtId="16" fontId="0" fillId="0" borderId="0" xfId="0" applyNumberFormat="1" applyAlignment="1">
      <alignment vertical="center" wrapText="1"/>
    </xf>
    <xf numFmtId="0" fontId="22" fillId="0" borderId="3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/>
    </xf>
    <xf numFmtId="0" fontId="3" fillId="0" borderId="52" xfId="0" applyFont="1" applyBorder="1" applyAlignment="1">
      <alignment vertical="center" wrapText="1"/>
    </xf>
    <xf numFmtId="3" fontId="3" fillId="0" borderId="29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25" xfId="58" applyNumberFormat="1" applyFont="1" applyBorder="1" applyAlignment="1">
      <alignment horizontal="right" vertical="center" wrapText="1" inden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66" fontId="15" fillId="0" borderId="32" xfId="0" applyNumberFormat="1" applyFont="1" applyBorder="1" applyAlignment="1">
      <alignment vertical="center" wrapText="1"/>
    </xf>
    <xf numFmtId="166" fontId="15" fillId="0" borderId="31" xfId="0" applyNumberFormat="1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15" fillId="0" borderId="22" xfId="0" applyFont="1" applyBorder="1" applyAlignment="1">
      <alignment horizontal="center" vertical="center" wrapText="1"/>
    </xf>
    <xf numFmtId="166" fontId="17" fillId="0" borderId="39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45" xfId="0" applyNumberFormat="1" applyFont="1" applyBorder="1" applyAlignment="1" applyProtection="1">
      <alignment horizontal="right" vertical="center" wrapText="1" indent="1"/>
      <protection locked="0"/>
    </xf>
    <xf numFmtId="0" fontId="17" fillId="0" borderId="45" xfId="0" applyFont="1" applyBorder="1" applyAlignment="1" applyProtection="1">
      <alignment vertical="center" wrapText="1"/>
      <protection locked="0"/>
    </xf>
    <xf numFmtId="0" fontId="17" fillId="0" borderId="19" xfId="0" applyFont="1" applyBorder="1" applyAlignment="1">
      <alignment horizontal="center" vertical="center" wrapText="1"/>
    </xf>
    <xf numFmtId="166" fontId="17" fillId="0" borderId="25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11" xfId="0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 locked="0"/>
    </xf>
    <xf numFmtId="0" fontId="17" fillId="0" borderId="17" xfId="0" applyFont="1" applyBorder="1" applyAlignment="1">
      <alignment horizontal="center" vertical="center" wrapText="1"/>
    </xf>
    <xf numFmtId="0" fontId="17" fillId="0" borderId="12" xfId="0" applyFont="1" applyBorder="1" applyAlignment="1" applyProtection="1">
      <alignment vertical="center" wrapText="1"/>
      <protection locked="0"/>
    </xf>
    <xf numFmtId="166" fontId="17" fillId="0" borderId="14" xfId="0" applyNumberFormat="1" applyFont="1" applyBorder="1" applyAlignment="1" applyProtection="1">
      <alignment horizontal="right" vertical="center" wrapText="1" indent="1"/>
      <protection locked="0"/>
    </xf>
    <xf numFmtId="0" fontId="21" fillId="0" borderId="14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 indent="8"/>
    </xf>
    <xf numFmtId="166" fontId="17" fillId="0" borderId="38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66" xfId="0" applyNumberFormat="1" applyFont="1" applyBorder="1" applyAlignment="1" applyProtection="1">
      <alignment horizontal="right" vertical="center" wrapText="1" indent="1"/>
      <protection locked="0"/>
    </xf>
    <xf numFmtId="0" fontId="21" fillId="0" borderId="66" xfId="0" applyFont="1" applyBorder="1" applyAlignment="1">
      <alignment horizontal="left" vertical="center" wrapText="1" indent="1"/>
    </xf>
    <xf numFmtId="0" fontId="17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66" fontId="9" fillId="0" borderId="0" xfId="0" applyNumberFormat="1" applyFont="1" applyAlignment="1">
      <alignment vertical="center" wrapText="1"/>
    </xf>
    <xf numFmtId="166" fontId="5" fillId="0" borderId="0" xfId="0" applyNumberFormat="1" applyFont="1" applyAlignment="1">
      <alignment horizontal="right" vertical="center"/>
    </xf>
    <xf numFmtId="166" fontId="9" fillId="0" borderId="0" xfId="0" applyNumberFormat="1" applyFont="1" applyAlignment="1">
      <alignment horizontal="center" vertical="center" wrapText="1"/>
    </xf>
    <xf numFmtId="166" fontId="0" fillId="0" borderId="0" xfId="0" applyNumberFormat="1" applyAlignment="1">
      <alignment vertical="center" wrapText="1"/>
    </xf>
    <xf numFmtId="166" fontId="6" fillId="0" borderId="0" xfId="0" applyNumberFormat="1" applyFont="1" applyAlignment="1">
      <alignment horizontal="centerContinuous" vertical="center" wrapText="1"/>
    </xf>
    <xf numFmtId="166" fontId="0" fillId="0" borderId="0" xfId="0" applyNumberFormat="1" applyAlignment="1">
      <alignment horizontal="centerContinuous" vertical="center"/>
    </xf>
    <xf numFmtId="166" fontId="0" fillId="0" borderId="0" xfId="0" applyNumberFormat="1" applyAlignment="1">
      <alignment horizontal="center" vertical="center" wrapText="1"/>
    </xf>
    <xf numFmtId="166" fontId="7" fillId="0" borderId="22" xfId="0" applyNumberFormat="1" applyFont="1" applyBorder="1" applyAlignment="1">
      <alignment horizontal="centerContinuous" vertical="center" wrapText="1"/>
    </xf>
    <xf numFmtId="166" fontId="7" fillId="0" borderId="23" xfId="0" applyNumberFormat="1" applyFont="1" applyBorder="1" applyAlignment="1">
      <alignment horizontal="centerContinuous" vertical="center" wrapText="1"/>
    </xf>
    <xf numFmtId="166" fontId="7" fillId="0" borderId="29" xfId="0" applyNumberFormat="1" applyFont="1" applyBorder="1" applyAlignment="1">
      <alignment horizontal="centerContinuous" vertical="center" wrapText="1"/>
    </xf>
    <xf numFmtId="166" fontId="7" fillId="0" borderId="22" xfId="0" applyNumberFormat="1" applyFont="1" applyBorder="1" applyAlignment="1">
      <alignment horizontal="center" vertical="center" wrapText="1"/>
    </xf>
    <xf numFmtId="166" fontId="7" fillId="0" borderId="23" xfId="0" applyNumberFormat="1" applyFont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6" fontId="15" fillId="0" borderId="33" xfId="0" applyNumberFormat="1" applyFont="1" applyBorder="1" applyAlignment="1">
      <alignment horizontal="center" vertical="center" wrapText="1"/>
    </xf>
    <xf numFmtId="166" fontId="15" fillId="0" borderId="22" xfId="0" applyNumberFormat="1" applyFont="1" applyBorder="1" applyAlignment="1">
      <alignment horizontal="center" vertical="center" wrapText="1"/>
    </xf>
    <xf numFmtId="166" fontId="15" fillId="0" borderId="23" xfId="0" applyNumberFormat="1" applyFont="1" applyBorder="1" applyAlignment="1">
      <alignment horizontal="center" vertical="center" wrapText="1"/>
    </xf>
    <xf numFmtId="166" fontId="15" fillId="0" borderId="29" xfId="0" applyNumberFormat="1" applyFont="1" applyBorder="1" applyAlignment="1">
      <alignment horizontal="center" vertical="center" wrapText="1"/>
    </xf>
    <xf numFmtId="166" fontId="15" fillId="0" borderId="0" xfId="0" applyNumberFormat="1" applyFont="1" applyAlignment="1">
      <alignment horizontal="center" vertical="center" wrapText="1"/>
    </xf>
    <xf numFmtId="166" fontId="0" fillId="0" borderId="36" xfId="0" applyNumberFormat="1" applyBorder="1" applyAlignment="1">
      <alignment horizontal="left" vertical="center" wrapText="1" indent="1"/>
    </xf>
    <xf numFmtId="166" fontId="17" fillId="0" borderId="18" xfId="0" applyNumberFormat="1" applyFont="1" applyBorder="1" applyAlignment="1">
      <alignment horizontal="left" vertical="center" wrapText="1" indent="1"/>
    </xf>
    <xf numFmtId="166" fontId="17" fillId="0" borderId="12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38" xfId="0" applyNumberFormat="1" applyFont="1" applyBorder="1" applyAlignment="1" applyProtection="1">
      <alignment horizontal="right" vertical="center" wrapText="1" indent="1"/>
      <protection locked="0"/>
    </xf>
    <xf numFmtId="166" fontId="0" fillId="0" borderId="34" xfId="0" applyNumberFormat="1" applyBorder="1" applyAlignment="1">
      <alignment horizontal="left" vertical="center" wrapText="1" indent="1"/>
    </xf>
    <xf numFmtId="166" fontId="17" fillId="0" borderId="17" xfId="0" applyNumberFormat="1" applyFont="1" applyBorder="1" applyAlignment="1">
      <alignment horizontal="left" vertical="center" wrapText="1" indent="1"/>
    </xf>
    <xf numFmtId="166" fontId="17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25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67" xfId="0" applyNumberFormat="1" applyFont="1" applyBorder="1" applyAlignment="1">
      <alignment horizontal="left" vertical="center" wrapText="1" indent="1"/>
    </xf>
    <xf numFmtId="166" fontId="17" fillId="0" borderId="68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17" xfId="0" applyNumberFormat="1" applyFont="1" applyBorder="1" applyAlignment="1" applyProtection="1">
      <alignment horizontal="left" vertical="center" wrapText="1" indent="1"/>
      <protection locked="0"/>
    </xf>
    <xf numFmtId="166" fontId="17" fillId="0" borderId="0" xfId="0" applyNumberFormat="1" applyFont="1" applyAlignment="1" applyProtection="1">
      <alignment horizontal="left" vertical="center" wrapText="1" indent="1"/>
      <protection locked="0"/>
    </xf>
    <xf numFmtId="166" fontId="17" fillId="0" borderId="19" xfId="0" applyNumberFormat="1" applyFont="1" applyBorder="1" applyAlignment="1" applyProtection="1">
      <alignment horizontal="left" vertical="center" wrapText="1" indent="1"/>
      <protection locked="0"/>
    </xf>
    <xf numFmtId="166" fontId="17" fillId="0" borderId="15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27" xfId="0" applyNumberFormat="1" applyFont="1" applyBorder="1" applyAlignment="1" applyProtection="1">
      <alignment horizontal="right" vertical="center" wrapText="1" indent="1"/>
      <protection locked="0"/>
    </xf>
    <xf numFmtId="166" fontId="3" fillId="0" borderId="33" xfId="0" applyNumberFormat="1" applyFont="1" applyBorder="1" applyAlignment="1">
      <alignment horizontal="left" vertical="center" wrapText="1" indent="1"/>
    </xf>
    <xf numFmtId="166" fontId="15" fillId="0" borderId="22" xfId="0" applyNumberFormat="1" applyFont="1" applyBorder="1" applyAlignment="1">
      <alignment horizontal="left" vertical="center" wrapText="1" indent="1"/>
    </xf>
    <xf numFmtId="166" fontId="15" fillId="0" borderId="23" xfId="0" applyNumberFormat="1" applyFont="1" applyBorder="1" applyAlignment="1">
      <alignment horizontal="right" vertical="center" wrapText="1" indent="1"/>
    </xf>
    <xf numFmtId="166" fontId="15" fillId="0" borderId="29" xfId="0" applyNumberFormat="1" applyFont="1" applyBorder="1" applyAlignment="1">
      <alignment horizontal="right" vertical="center" wrapText="1" indent="1"/>
    </xf>
    <xf numFmtId="166" fontId="0" fillId="0" borderId="37" xfId="0" applyNumberFormat="1" applyFont="1" applyBorder="1" applyAlignment="1">
      <alignment horizontal="left" vertical="center" wrapText="1" indent="1"/>
    </xf>
    <xf numFmtId="166" fontId="17" fillId="0" borderId="16" xfId="0" applyNumberFormat="1" applyFont="1" applyBorder="1" applyAlignment="1">
      <alignment horizontal="left" vertical="center" wrapText="1" indent="1"/>
    </xf>
    <xf numFmtId="166" fontId="23" fillId="0" borderId="10" xfId="0" applyNumberFormat="1" applyFont="1" applyBorder="1" applyAlignment="1">
      <alignment horizontal="right" vertical="center" wrapText="1" indent="1"/>
    </xf>
    <xf numFmtId="166" fontId="17" fillId="0" borderId="17" xfId="0" applyNumberFormat="1" applyFont="1" applyBorder="1" applyAlignment="1">
      <alignment horizontal="left" vertical="center" wrapText="1" indent="1"/>
    </xf>
    <xf numFmtId="166" fontId="17" fillId="0" borderId="26" xfId="0" applyNumberFormat="1" applyFont="1" applyBorder="1" applyAlignment="1" applyProtection="1">
      <alignment horizontal="right" vertical="center" wrapText="1" indent="1"/>
      <protection locked="0"/>
    </xf>
    <xf numFmtId="166" fontId="0" fillId="0" borderId="34" xfId="0" applyNumberFormat="1" applyFont="1" applyBorder="1" applyAlignment="1">
      <alignment horizontal="left" vertical="center" wrapText="1" indent="1"/>
    </xf>
    <xf numFmtId="166" fontId="23" fillId="0" borderId="11" xfId="0" applyNumberFormat="1" applyFont="1" applyBorder="1" applyAlignment="1">
      <alignment horizontal="right" vertical="center" wrapText="1" indent="1"/>
    </xf>
    <xf numFmtId="166" fontId="17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3" fillId="0" borderId="22" xfId="0" applyNumberFormat="1" applyFont="1" applyBorder="1" applyAlignment="1">
      <alignment horizontal="left" vertical="center" wrapText="1" indent="1"/>
    </xf>
    <xf numFmtId="166" fontId="3" fillId="0" borderId="46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0" fontId="26" fillId="0" borderId="0" xfId="0" applyFont="1" applyAlignment="1">
      <alignment horizontal="right" vertical="top"/>
    </xf>
    <xf numFmtId="49" fontId="7" fillId="0" borderId="47" xfId="0" applyNumberFormat="1" applyFont="1" applyBorder="1" applyAlignment="1">
      <alignment horizontal="right" vertical="center"/>
    </xf>
    <xf numFmtId="0" fontId="7" fillId="0" borderId="48" xfId="0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right" vertical="center"/>
    </xf>
    <xf numFmtId="166" fontId="7" fillId="0" borderId="51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 indent="1"/>
    </xf>
    <xf numFmtId="49" fontId="17" fillId="0" borderId="20" xfId="0" applyNumberFormat="1" applyFont="1" applyBorder="1" applyAlignment="1">
      <alignment horizontal="center" vertical="center" wrapText="1"/>
    </xf>
    <xf numFmtId="166" fontId="17" fillId="0" borderId="47" xfId="0" applyNumberFormat="1" applyFont="1" applyBorder="1" applyAlignment="1" applyProtection="1">
      <alignment horizontal="right" vertical="center" wrapText="1" indent="1"/>
      <protection locked="0"/>
    </xf>
    <xf numFmtId="49" fontId="17" fillId="0" borderId="17" xfId="0" applyNumberFormat="1" applyFont="1" applyBorder="1" applyAlignment="1">
      <alignment horizontal="center" vertical="center" wrapText="1"/>
    </xf>
    <xf numFmtId="166" fontId="17" fillId="0" borderId="26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9" xfId="0" applyNumberFormat="1" applyFont="1" applyBorder="1" applyAlignment="1" applyProtection="1">
      <alignment horizontal="right" vertical="center" wrapText="1" indent="1"/>
      <protection locked="0"/>
    </xf>
    <xf numFmtId="49" fontId="17" fillId="0" borderId="18" xfId="0" applyNumberFormat="1" applyFont="1" applyBorder="1" applyAlignment="1">
      <alignment horizontal="center" vertical="center" wrapText="1"/>
    </xf>
    <xf numFmtId="0" fontId="17" fillId="0" borderId="12" xfId="58" applyFont="1" applyBorder="1" applyAlignment="1">
      <alignment horizontal="left" vertical="center" wrapText="1" indent="1"/>
      <protection/>
    </xf>
    <xf numFmtId="0" fontId="17" fillId="0" borderId="11" xfId="58" applyFont="1" applyBorder="1" applyAlignment="1">
      <alignment horizontal="left" vertical="center" wrapText="1" indent="1"/>
      <protection/>
    </xf>
    <xf numFmtId="0" fontId="17" fillId="0" borderId="31" xfId="58" applyFont="1" applyBorder="1" applyAlignment="1" quotePrefix="1">
      <alignment horizontal="left" vertical="center" wrapText="1" indent="1"/>
      <protection/>
    </xf>
    <xf numFmtId="0" fontId="17" fillId="0" borderId="31" xfId="58" applyFont="1" applyBorder="1" applyAlignment="1">
      <alignment horizontal="left" vertical="center" wrapText="1" indent="1"/>
      <protection/>
    </xf>
    <xf numFmtId="166" fontId="15" fillId="0" borderId="46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46" xfId="0" applyNumberFormat="1" applyFont="1" applyBorder="1" applyAlignment="1">
      <alignment horizontal="right" vertical="center" wrapText="1" indent="1"/>
    </xf>
    <xf numFmtId="0" fontId="22" fillId="0" borderId="22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left" wrapText="1" indent="1"/>
    </xf>
    <xf numFmtId="0" fontId="17" fillId="0" borderId="0" xfId="0" applyFont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 indent="1"/>
    </xf>
    <xf numFmtId="166" fontId="15" fillId="0" borderId="29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166" fontId="7" fillId="0" borderId="29" xfId="0" applyNumberFormat="1" applyFont="1" applyBorder="1" applyAlignment="1">
      <alignment horizontal="center" vertical="center" wrapText="1"/>
    </xf>
    <xf numFmtId="166" fontId="0" fillId="0" borderId="37" xfId="0" applyNumberFormat="1" applyBorder="1" applyAlignment="1">
      <alignment horizontal="left" vertical="center" wrapText="1" indent="1"/>
    </xf>
    <xf numFmtId="166" fontId="17" fillId="0" borderId="16" xfId="0" applyNumberFormat="1" applyFont="1" applyBorder="1" applyAlignment="1" applyProtection="1">
      <alignment horizontal="left" vertical="center" wrapText="1" indent="1"/>
      <protection locked="0"/>
    </xf>
    <xf numFmtId="166" fontId="17" fillId="0" borderId="63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16" xfId="0" applyNumberFormat="1" applyFont="1" applyBorder="1" applyAlignment="1">
      <alignment horizontal="left" vertical="center" wrapText="1" indent="1"/>
    </xf>
    <xf numFmtId="166" fontId="23" fillId="0" borderId="16" xfId="0" applyNumberFormat="1" applyFont="1" applyBorder="1" applyAlignment="1">
      <alignment horizontal="left" vertical="center" wrapText="1" indent="1"/>
    </xf>
    <xf numFmtId="166" fontId="23" fillId="0" borderId="12" xfId="0" applyNumberFormat="1" applyFont="1" applyBorder="1" applyAlignment="1">
      <alignment horizontal="right" vertical="center" wrapText="1" indent="1"/>
    </xf>
    <xf numFmtId="166" fontId="23" fillId="0" borderId="38" xfId="0" applyNumberFormat="1" applyFont="1" applyBorder="1" applyAlignment="1">
      <alignment horizontal="right" vertical="center" wrapText="1" indent="1"/>
    </xf>
    <xf numFmtId="166" fontId="17" fillId="0" borderId="17" xfId="0" applyNumberFormat="1" applyFont="1" applyBorder="1" applyAlignment="1">
      <alignment horizontal="left" vertical="center" wrapText="1" indent="2"/>
    </xf>
    <xf numFmtId="166" fontId="17" fillId="0" borderId="11" xfId="0" applyNumberFormat="1" applyFont="1" applyBorder="1" applyAlignment="1">
      <alignment horizontal="left" vertical="center" wrapText="1" indent="2"/>
    </xf>
    <xf numFmtId="166" fontId="23" fillId="0" borderId="11" xfId="0" applyNumberFormat="1" applyFont="1" applyBorder="1" applyAlignment="1">
      <alignment horizontal="left" vertical="center" wrapText="1" indent="1"/>
    </xf>
    <xf numFmtId="166" fontId="17" fillId="0" borderId="18" xfId="0" applyNumberFormat="1" applyFont="1" applyBorder="1" applyAlignment="1">
      <alignment horizontal="left" vertical="center" wrapText="1" indent="1"/>
    </xf>
    <xf numFmtId="166" fontId="23" fillId="0" borderId="25" xfId="0" applyNumberFormat="1" applyFont="1" applyBorder="1" applyAlignment="1">
      <alignment horizontal="right" vertical="center" wrapText="1" indent="1"/>
    </xf>
    <xf numFmtId="166" fontId="17" fillId="0" borderId="18" xfId="0" applyNumberFormat="1" applyFont="1" applyBorder="1" applyAlignment="1" applyProtection="1">
      <alignment horizontal="left" vertical="center" wrapText="1" indent="1"/>
      <protection locked="0"/>
    </xf>
    <xf numFmtId="166" fontId="17" fillId="0" borderId="18" xfId="0" applyNumberFormat="1" applyFont="1" applyBorder="1" applyAlignment="1" applyProtection="1">
      <alignment horizontal="left" vertical="center" wrapText="1" indent="1"/>
      <protection locked="0"/>
    </xf>
    <xf numFmtId="166" fontId="17" fillId="0" borderId="18" xfId="0" applyNumberFormat="1" applyFont="1" applyBorder="1" applyAlignment="1">
      <alignment horizontal="left" vertical="center" wrapText="1" indent="2"/>
    </xf>
    <xf numFmtId="166" fontId="17" fillId="0" borderId="19" xfId="0" applyNumberFormat="1" applyFont="1" applyBorder="1" applyAlignment="1">
      <alignment horizontal="left" vertical="center" wrapText="1" indent="2"/>
    </xf>
    <xf numFmtId="166" fontId="3" fillId="16" borderId="46" xfId="0" applyNumberFormat="1" applyFont="1" applyFill="1" applyBorder="1" applyAlignment="1">
      <alignment horizontal="right" vertical="center" wrapText="1" indent="1"/>
    </xf>
    <xf numFmtId="166" fontId="17" fillId="34" borderId="27" xfId="58" applyNumberFormat="1" applyFont="1" applyFill="1" applyBorder="1" applyAlignment="1">
      <alignment horizontal="right" vertical="center" wrapText="1" indent="1"/>
      <protection/>
    </xf>
    <xf numFmtId="0" fontId="0" fillId="0" borderId="67" xfId="0" applyBorder="1" applyAlignment="1">
      <alignment vertical="center" wrapText="1"/>
    </xf>
    <xf numFmtId="166" fontId="17" fillId="0" borderId="67" xfId="58" applyNumberFormat="1" applyFont="1" applyBorder="1" applyAlignment="1" applyProtection="1">
      <alignment horizontal="right" vertical="center" wrapText="1" indent="1"/>
      <protection locked="0"/>
    </xf>
    <xf numFmtId="166" fontId="17" fillId="0" borderId="0" xfId="58" applyNumberFormat="1" applyFont="1" applyAlignment="1" applyProtection="1">
      <alignment horizontal="right" vertical="center" wrapText="1" indent="1"/>
      <protection locked="0"/>
    </xf>
    <xf numFmtId="0" fontId="8" fillId="0" borderId="67" xfId="0" applyFont="1" applyBorder="1" applyAlignment="1">
      <alignment vertical="center" wrapText="1"/>
    </xf>
    <xf numFmtId="166" fontId="6" fillId="0" borderId="0" xfId="58" applyNumberFormat="1" applyFont="1" applyAlignment="1">
      <alignment horizontal="center" vertical="center"/>
      <protection/>
    </xf>
    <xf numFmtId="0" fontId="0" fillId="0" borderId="0" xfId="0" applyAlignment="1">
      <alignment/>
    </xf>
    <xf numFmtId="166" fontId="16" fillId="0" borderId="44" xfId="58" applyNumberFormat="1" applyFont="1" applyBorder="1" applyAlignment="1">
      <alignment horizontal="left" vertical="center"/>
      <protection/>
    </xf>
    <xf numFmtId="166" fontId="16" fillId="0" borderId="44" xfId="58" applyNumberFormat="1" applyFont="1" applyBorder="1" applyAlignment="1">
      <alignment horizontal="left"/>
      <protection/>
    </xf>
    <xf numFmtId="0" fontId="6" fillId="0" borderId="0" xfId="58" applyFont="1" applyAlignment="1">
      <alignment horizontal="center"/>
      <protection/>
    </xf>
    <xf numFmtId="0" fontId="6" fillId="0" borderId="0" xfId="58" applyFont="1" applyFill="1" applyAlignment="1" applyProtection="1">
      <alignment horizontal="center"/>
      <protection/>
    </xf>
    <xf numFmtId="166" fontId="16" fillId="0" borderId="44" xfId="58" applyNumberFormat="1" applyFont="1" applyFill="1" applyBorder="1" applyAlignment="1" applyProtection="1">
      <alignment horizontal="left" vertical="center"/>
      <protection/>
    </xf>
    <xf numFmtId="166" fontId="6" fillId="0" borderId="0" xfId="58" applyNumberFormat="1" applyFont="1" applyFill="1" applyBorder="1" applyAlignment="1" applyProtection="1">
      <alignment horizontal="center" vertical="center"/>
      <protection/>
    </xf>
    <xf numFmtId="166" fontId="16" fillId="0" borderId="44" xfId="58" applyNumberFormat="1" applyFont="1" applyFill="1" applyBorder="1" applyAlignment="1" applyProtection="1">
      <alignment horizontal="left"/>
      <protection/>
    </xf>
    <xf numFmtId="166" fontId="8" fillId="0" borderId="0" xfId="0" applyNumberFormat="1" applyFont="1" applyAlignment="1">
      <alignment horizontal="center" textRotation="180" wrapText="1"/>
    </xf>
    <xf numFmtId="166" fontId="7" fillId="0" borderId="69" xfId="0" applyNumberFormat="1" applyFont="1" applyBorder="1" applyAlignment="1">
      <alignment horizontal="center" vertical="center" wrapText="1"/>
    </xf>
    <xf numFmtId="166" fontId="7" fillId="0" borderId="70" xfId="0" applyNumberFormat="1" applyFont="1" applyBorder="1" applyAlignment="1">
      <alignment horizontal="center" vertical="center" wrapText="1"/>
    </xf>
    <xf numFmtId="166" fontId="31" fillId="0" borderId="60" xfId="0" applyNumberFormat="1" applyFont="1" applyBorder="1" applyAlignment="1">
      <alignment horizontal="center" vertical="center" wrapText="1"/>
    </xf>
    <xf numFmtId="166" fontId="7" fillId="0" borderId="65" xfId="0" applyNumberFormat="1" applyFont="1" applyBorder="1" applyAlignment="1">
      <alignment horizontal="center" vertical="center" wrapText="1"/>
    </xf>
    <xf numFmtId="166" fontId="7" fillId="0" borderId="71" xfId="0" applyNumberFormat="1" applyFont="1" applyBorder="1" applyAlignment="1">
      <alignment horizontal="center" vertical="center" wrapText="1"/>
    </xf>
    <xf numFmtId="166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7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0" xfId="58" applyFont="1" applyFill="1" applyBorder="1" applyAlignment="1">
      <alignment horizontal="justify" vertical="center" wrapText="1"/>
      <protection/>
    </xf>
    <xf numFmtId="166" fontId="6" fillId="0" borderId="0" xfId="0" applyNumberFormat="1" applyFont="1" applyFill="1" applyAlignment="1">
      <alignment horizontal="center" vertical="center" wrapText="1"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7" fillId="0" borderId="52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7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9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7" fillId="0" borderId="72" xfId="0" applyFont="1" applyFill="1" applyBorder="1" applyAlignment="1" applyProtection="1">
      <alignment horizontal="center"/>
      <protection/>
    </xf>
    <xf numFmtId="0" fontId="7" fillId="0" borderId="60" xfId="0" applyFont="1" applyFill="1" applyBorder="1" applyAlignment="1" applyProtection="1">
      <alignment horizontal="center"/>
      <protection/>
    </xf>
    <xf numFmtId="0" fontId="7" fillId="0" borderId="73" xfId="0" applyFont="1" applyFill="1" applyBorder="1" applyAlignment="1" applyProtection="1">
      <alignment horizontal="center"/>
      <protection/>
    </xf>
    <xf numFmtId="0" fontId="17" fillId="0" borderId="62" xfId="0" applyFont="1" applyFill="1" applyBorder="1" applyAlignment="1" applyProtection="1">
      <alignment horizontal="left" indent="1"/>
      <protection locked="0"/>
    </xf>
    <xf numFmtId="0" fontId="17" fillId="0" borderId="74" xfId="0" applyFont="1" applyFill="1" applyBorder="1" applyAlignment="1" applyProtection="1">
      <alignment horizontal="left" indent="1"/>
      <protection locked="0"/>
    </xf>
    <xf numFmtId="0" fontId="17" fillId="0" borderId="75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50" xfId="0" applyFont="1" applyFill="1" applyBorder="1" applyAlignment="1" applyProtection="1">
      <alignment horizontal="left" indent="1"/>
      <protection locked="0"/>
    </xf>
    <xf numFmtId="0" fontId="17" fillId="0" borderId="76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77" xfId="0" applyFont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7" fillId="0" borderId="57" xfId="0" applyFont="1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7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7" fillId="0" borderId="54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6" fontId="6" fillId="0" borderId="0" xfId="0" applyNumberFormat="1" applyFont="1" applyFill="1" applyAlignment="1" applyProtection="1">
      <alignment horizontal="center" vertical="center" wrapText="1"/>
      <protection/>
    </xf>
    <xf numFmtId="166" fontId="7" fillId="0" borderId="53" xfId="0" applyNumberFormat="1" applyFont="1" applyFill="1" applyBorder="1" applyAlignment="1" applyProtection="1">
      <alignment horizontal="left" vertical="center" wrapText="1" indent="2"/>
      <protection/>
    </xf>
    <xf numFmtId="166" fontId="7" fillId="0" borderId="46" xfId="0" applyNumberFormat="1" applyFont="1" applyFill="1" applyBorder="1" applyAlignment="1" applyProtection="1">
      <alignment horizontal="left" vertical="center" wrapText="1" indent="2"/>
      <protection/>
    </xf>
    <xf numFmtId="166" fontId="7" fillId="0" borderId="69" xfId="0" applyNumberFormat="1" applyFont="1" applyFill="1" applyBorder="1" applyAlignment="1" applyProtection="1">
      <alignment horizontal="center" vertical="center"/>
      <protection/>
    </xf>
    <xf numFmtId="166" fontId="7" fillId="0" borderId="70" xfId="0" applyNumberFormat="1" applyFont="1" applyFill="1" applyBorder="1" applyAlignment="1" applyProtection="1">
      <alignment horizontal="center" vertical="center"/>
      <protection/>
    </xf>
    <xf numFmtId="166" fontId="7" fillId="0" borderId="62" xfId="0" applyNumberFormat="1" applyFont="1" applyFill="1" applyBorder="1" applyAlignment="1" applyProtection="1">
      <alignment horizontal="center" vertical="center"/>
      <protection/>
    </xf>
    <xf numFmtId="166" fontId="7" fillId="0" borderId="74" xfId="0" applyNumberFormat="1" applyFont="1" applyFill="1" applyBorder="1" applyAlignment="1" applyProtection="1">
      <alignment horizontal="center" vertical="center"/>
      <protection/>
    </xf>
    <xf numFmtId="166" fontId="7" fillId="0" borderId="58" xfId="0" applyNumberFormat="1" applyFont="1" applyFill="1" applyBorder="1" applyAlignment="1" applyProtection="1">
      <alignment horizontal="center" vertical="center"/>
      <protection/>
    </xf>
    <xf numFmtId="166" fontId="7" fillId="0" borderId="69" xfId="0" applyNumberFormat="1" applyFont="1" applyFill="1" applyBorder="1" applyAlignment="1" applyProtection="1">
      <alignment horizontal="center" vertical="center" wrapText="1"/>
      <protection/>
    </xf>
    <xf numFmtId="166" fontId="7" fillId="0" borderId="70" xfId="0" applyNumberFormat="1" applyFont="1" applyFill="1" applyBorder="1" applyAlignment="1" applyProtection="1">
      <alignment horizontal="center" vertical="center" wrapText="1"/>
      <protection/>
    </xf>
    <xf numFmtId="0" fontId="17" fillId="0" borderId="60" xfId="0" applyFont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3" xfId="59" applyFont="1" applyFill="1" applyBorder="1" applyAlignment="1" applyProtection="1">
      <alignment horizontal="left" vertical="center" indent="1"/>
      <protection/>
    </xf>
    <xf numFmtId="0" fontId="16" fillId="0" borderId="54" xfId="59" applyFont="1" applyFill="1" applyBorder="1" applyAlignment="1" applyProtection="1">
      <alignment horizontal="left" vertical="center" indent="1"/>
      <protection/>
    </xf>
    <xf numFmtId="0" fontId="16" fillId="0" borderId="46" xfId="59" applyFont="1" applyFill="1" applyBorder="1" applyAlignment="1" applyProtection="1">
      <alignment horizontal="left" vertical="center" indent="1"/>
      <protection/>
    </xf>
    <xf numFmtId="0" fontId="34" fillId="0" borderId="43" xfId="59" applyFont="1" applyFill="1" applyBorder="1" applyAlignment="1" applyProtection="1">
      <alignment horizontal="left" vertical="center" indent="1"/>
      <protection/>
    </xf>
    <xf numFmtId="0" fontId="34" fillId="0" borderId="54" xfId="59" applyFont="1" applyFill="1" applyBorder="1" applyAlignment="1" applyProtection="1">
      <alignment horizontal="left" vertical="center" indent="1"/>
      <protection/>
    </xf>
    <xf numFmtId="0" fontId="34" fillId="0" borderId="46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right" vertical="top"/>
      <protection locked="0"/>
    </xf>
    <xf numFmtId="0" fontId="7" fillId="0" borderId="43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top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Marcsi\Az%20&#246;nkorm&#225;nyzat%202019.%20&#233;vi%20k&#246;lts&#233;gvet&#233;s&#233;nek%207.%20m&#243;dos&#237;t&#225;sa%20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2.1.sz.mell  "/>
      <sheetName val="9.1. sz. mell"/>
      <sheetName val="9.1.1. sz. mell "/>
      <sheetName val="9.2. sz. mel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155</v>
      </c>
    </row>
    <row r="4" spans="1:2" ht="12.75">
      <c r="A4" s="126"/>
      <c r="B4" s="126"/>
    </row>
    <row r="5" spans="1:2" s="138" customFormat="1" ht="15.75">
      <c r="A5" s="86" t="s">
        <v>578</v>
      </c>
      <c r="B5" s="137"/>
    </row>
    <row r="6" spans="1:2" ht="12.75">
      <c r="A6" s="126"/>
      <c r="B6" s="126"/>
    </row>
    <row r="7" spans="1:2" ht="12.75">
      <c r="A7" s="126" t="s">
        <v>447</v>
      </c>
      <c r="B7" s="126" t="s">
        <v>448</v>
      </c>
    </row>
    <row r="8" spans="1:2" ht="12.75">
      <c r="A8" s="126" t="s">
        <v>449</v>
      </c>
      <c r="B8" s="126" t="s">
        <v>450</v>
      </c>
    </row>
    <row r="9" spans="1:2" ht="12.75">
      <c r="A9" s="126" t="s">
        <v>451</v>
      </c>
      <c r="B9" s="126" t="s">
        <v>452</v>
      </c>
    </row>
    <row r="10" spans="1:2" ht="12.75">
      <c r="A10" s="126"/>
      <c r="B10" s="126"/>
    </row>
    <row r="11" spans="1:2" ht="12.75">
      <c r="A11" s="126"/>
      <c r="B11" s="126"/>
    </row>
    <row r="12" spans="1:2" s="138" customFormat="1" ht="15.75">
      <c r="A12" s="86" t="s">
        <v>579</v>
      </c>
      <c r="B12" s="137"/>
    </row>
    <row r="13" spans="1:2" ht="12.75">
      <c r="A13" s="126"/>
      <c r="B13" s="126"/>
    </row>
    <row r="14" spans="1:2" ht="12.75">
      <c r="A14" s="126" t="s">
        <v>456</v>
      </c>
      <c r="B14" s="126" t="s">
        <v>455</v>
      </c>
    </row>
    <row r="15" spans="1:2" ht="12.75">
      <c r="A15" s="126" t="s">
        <v>259</v>
      </c>
      <c r="B15" s="126" t="s">
        <v>454</v>
      </c>
    </row>
    <row r="16" spans="1:2" ht="12.75">
      <c r="A16" s="126" t="s">
        <v>457</v>
      </c>
      <c r="B16" s="126" t="s">
        <v>453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G115" sqref="G115"/>
    </sheetView>
  </sheetViews>
  <sheetFormatPr defaultColWidth="9.00390625" defaultRowHeight="12.75"/>
  <cols>
    <col min="1" max="1" width="5.625" style="140" customWidth="1"/>
    <col min="2" max="2" width="68.625" style="140" customWidth="1"/>
    <col min="3" max="3" width="19.50390625" style="140" customWidth="1"/>
    <col min="4" max="16384" width="9.375" style="140" customWidth="1"/>
  </cols>
  <sheetData>
    <row r="1" spans="1:3" ht="33" customHeight="1">
      <c r="A1" s="743" t="s">
        <v>505</v>
      </c>
      <c r="B1" s="743"/>
      <c r="C1" s="743"/>
    </row>
    <row r="2" spans="1:4" ht="15.75" customHeight="1" thickBot="1">
      <c r="A2" s="141"/>
      <c r="B2" s="141"/>
      <c r="C2" s="153" t="s">
        <v>535</v>
      </c>
      <c r="D2" s="148"/>
    </row>
    <row r="3" spans="1:3" ht="26.25" customHeight="1" thickBot="1">
      <c r="A3" s="172" t="s">
        <v>18</v>
      </c>
      <c r="B3" s="173" t="s">
        <v>200</v>
      </c>
      <c r="C3" s="174" t="s">
        <v>540</v>
      </c>
    </row>
    <row r="4" spans="1:3" ht="15.75" thickBot="1">
      <c r="A4" s="175">
        <v>1</v>
      </c>
      <c r="B4" s="176">
        <v>2</v>
      </c>
      <c r="C4" s="177">
        <v>3</v>
      </c>
    </row>
    <row r="5" spans="1:3" ht="15">
      <c r="A5" s="178" t="s">
        <v>20</v>
      </c>
      <c r="B5" s="305" t="s">
        <v>60</v>
      </c>
      <c r="C5" s="302">
        <v>50000000</v>
      </c>
    </row>
    <row r="6" spans="1:3" ht="24.75">
      <c r="A6" s="179" t="s">
        <v>21</v>
      </c>
      <c r="B6" s="336" t="s">
        <v>256</v>
      </c>
      <c r="C6" s="303"/>
    </row>
    <row r="7" spans="1:3" ht="15">
      <c r="A7" s="179" t="s">
        <v>22</v>
      </c>
      <c r="B7" s="337" t="s">
        <v>503</v>
      </c>
      <c r="C7" s="303"/>
    </row>
    <row r="8" spans="1:3" ht="24.75">
      <c r="A8" s="179" t="s">
        <v>23</v>
      </c>
      <c r="B8" s="337" t="s">
        <v>258</v>
      </c>
      <c r="C8" s="303"/>
    </row>
    <row r="9" spans="1:3" ht="15">
      <c r="A9" s="180" t="s">
        <v>24</v>
      </c>
      <c r="B9" s="337" t="s">
        <v>257</v>
      </c>
      <c r="C9" s="304">
        <v>200000</v>
      </c>
    </row>
    <row r="10" spans="1:3" ht="15.75" thickBot="1">
      <c r="A10" s="179" t="s">
        <v>25</v>
      </c>
      <c r="B10" s="338" t="s">
        <v>201</v>
      </c>
      <c r="C10" s="303"/>
    </row>
    <row r="11" spans="1:3" ht="15.75" thickBot="1">
      <c r="A11" s="752" t="s">
        <v>204</v>
      </c>
      <c r="B11" s="753"/>
      <c r="C11" s="181">
        <f>SUM(C5:C10)</f>
        <v>50200000</v>
      </c>
    </row>
    <row r="12" spans="1:3" ht="23.25" customHeight="1">
      <c r="A12" s="754" t="s">
        <v>231</v>
      </c>
      <c r="B12" s="754"/>
      <c r="C12" s="754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3 /2019. (II.11.)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G115" sqref="G115"/>
    </sheetView>
  </sheetViews>
  <sheetFormatPr defaultColWidth="9.00390625" defaultRowHeight="12.75"/>
  <cols>
    <col min="1" max="1" width="5.625" style="140" customWidth="1"/>
    <col min="2" max="2" width="66.875" style="140" customWidth="1"/>
    <col min="3" max="3" width="27.00390625" style="140" customWidth="1"/>
    <col min="4" max="16384" width="9.375" style="140" customWidth="1"/>
  </cols>
  <sheetData>
    <row r="1" spans="1:3" ht="33" customHeight="1">
      <c r="A1" s="743" t="s">
        <v>542</v>
      </c>
      <c r="B1" s="743"/>
      <c r="C1" s="743"/>
    </row>
    <row r="2" spans="1:4" ht="15.75" customHeight="1" thickBot="1">
      <c r="A2" s="141"/>
      <c r="B2" s="141"/>
      <c r="C2" s="153" t="s">
        <v>56</v>
      </c>
      <c r="D2" s="148"/>
    </row>
    <row r="3" spans="1:3" ht="26.25" customHeight="1" thickBot="1">
      <c r="A3" s="172" t="s">
        <v>18</v>
      </c>
      <c r="B3" s="173" t="s">
        <v>205</v>
      </c>
      <c r="C3" s="174" t="s">
        <v>229</v>
      </c>
    </row>
    <row r="4" spans="1:3" ht="15.75" thickBot="1">
      <c r="A4" s="175">
        <v>1</v>
      </c>
      <c r="B4" s="176">
        <v>2</v>
      </c>
      <c r="C4" s="177">
        <v>3</v>
      </c>
    </row>
    <row r="5" spans="1:3" ht="15">
      <c r="A5" s="178" t="s">
        <v>20</v>
      </c>
      <c r="B5" s="185"/>
      <c r="C5" s="182"/>
    </row>
    <row r="6" spans="1:3" ht="15">
      <c r="A6" s="179" t="s">
        <v>21</v>
      </c>
      <c r="B6" s="186"/>
      <c r="C6" s="183"/>
    </row>
    <row r="7" spans="1:3" ht="15.75" thickBot="1">
      <c r="A7" s="180" t="s">
        <v>22</v>
      </c>
      <c r="B7" s="187"/>
      <c r="C7" s="184"/>
    </row>
    <row r="8" spans="1:3" s="424" customFormat="1" ht="17.25" customHeight="1" thickBot="1">
      <c r="A8" s="425" t="s">
        <v>23</v>
      </c>
      <c r="B8" s="125" t="s">
        <v>206</v>
      </c>
      <c r="C8" s="181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3 /2019. (II.11.)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G115" sqref="G115"/>
    </sheetView>
  </sheetViews>
  <sheetFormatPr defaultColWidth="9.00390625" defaultRowHeight="12.75"/>
  <cols>
    <col min="1" max="1" width="47.125" style="41" customWidth="1"/>
    <col min="2" max="2" width="15.625" style="40" customWidth="1"/>
    <col min="3" max="3" width="16.375" style="40" customWidth="1"/>
    <col min="4" max="4" width="18.00390625" style="40" customWidth="1"/>
    <col min="5" max="5" width="16.625" style="40" customWidth="1"/>
    <col min="6" max="6" width="18.875" style="53" customWidth="1"/>
    <col min="7" max="8" width="12.875" style="40" customWidth="1"/>
    <col min="9" max="9" width="13.875" style="40" customWidth="1"/>
    <col min="10" max="16384" width="9.375" style="40" customWidth="1"/>
  </cols>
  <sheetData>
    <row r="1" spans="1:6" ht="25.5" customHeight="1">
      <c r="A1" s="755" t="s">
        <v>0</v>
      </c>
      <c r="B1" s="755"/>
      <c r="C1" s="755"/>
      <c r="D1" s="755"/>
      <c r="E1" s="755"/>
      <c r="F1" s="755"/>
    </row>
    <row r="2" spans="1:6" ht="22.5" customHeight="1" thickBot="1">
      <c r="A2" s="190"/>
      <c r="B2" s="53"/>
      <c r="C2" s="53"/>
      <c r="D2" s="53"/>
      <c r="E2" s="53"/>
      <c r="F2" s="48" t="s">
        <v>535</v>
      </c>
    </row>
    <row r="3" spans="1:6" s="42" customFormat="1" ht="44.25" customHeight="1" thickBot="1">
      <c r="A3" s="191" t="s">
        <v>71</v>
      </c>
      <c r="B3" s="192" t="s">
        <v>72</v>
      </c>
      <c r="C3" s="192" t="s">
        <v>73</v>
      </c>
      <c r="D3" s="192" t="s">
        <v>545</v>
      </c>
      <c r="E3" s="192" t="s">
        <v>540</v>
      </c>
      <c r="F3" s="49" t="s">
        <v>546</v>
      </c>
    </row>
    <row r="4" spans="1:6" s="53" customFormat="1" ht="12" customHeight="1" thickBot="1">
      <c r="A4" s="50">
        <v>1</v>
      </c>
      <c r="B4" s="51">
        <v>2</v>
      </c>
      <c r="C4" s="51">
        <v>3</v>
      </c>
      <c r="D4" s="51">
        <v>4</v>
      </c>
      <c r="E4" s="51">
        <v>5</v>
      </c>
      <c r="F4" s="52" t="s">
        <v>92</v>
      </c>
    </row>
    <row r="5" spans="1:6" ht="15.75" customHeight="1">
      <c r="A5" s="426" t="s">
        <v>543</v>
      </c>
      <c r="B5" s="28">
        <f>11814034+320000</f>
        <v>12134034</v>
      </c>
      <c r="C5" s="428" t="s">
        <v>544</v>
      </c>
      <c r="D5" s="28">
        <v>0</v>
      </c>
      <c r="E5" s="28">
        <v>12134034</v>
      </c>
      <c r="F5" s="54">
        <f aca="true" t="shared" si="0" ref="F5:F23">B5-D5-E5</f>
        <v>0</v>
      </c>
    </row>
    <row r="6" spans="1:6" ht="15.75" customHeight="1">
      <c r="A6" s="426" t="s">
        <v>547</v>
      </c>
      <c r="B6" s="28">
        <v>1244600</v>
      </c>
      <c r="C6" s="428" t="s">
        <v>544</v>
      </c>
      <c r="D6" s="28">
        <v>0</v>
      </c>
      <c r="E6" s="28">
        <v>1244600</v>
      </c>
      <c r="F6" s="54">
        <f t="shared" si="0"/>
        <v>0</v>
      </c>
    </row>
    <row r="7" spans="1:6" ht="15.75" customHeight="1">
      <c r="A7" s="426" t="s">
        <v>511</v>
      </c>
      <c r="B7" s="28">
        <v>5219053</v>
      </c>
      <c r="C7" s="428" t="s">
        <v>544</v>
      </c>
      <c r="D7" s="28">
        <v>0</v>
      </c>
      <c r="E7" s="28">
        <v>5219053</v>
      </c>
      <c r="F7" s="54">
        <f t="shared" si="0"/>
        <v>0</v>
      </c>
    </row>
    <row r="8" spans="1:6" ht="15.75" customHeight="1">
      <c r="A8" s="473" t="s">
        <v>548</v>
      </c>
      <c r="B8" s="28">
        <v>1500000</v>
      </c>
      <c r="C8" s="428" t="s">
        <v>544</v>
      </c>
      <c r="D8" s="28"/>
      <c r="E8" s="28">
        <v>1500000</v>
      </c>
      <c r="F8" s="54">
        <f t="shared" si="0"/>
        <v>0</v>
      </c>
    </row>
    <row r="9" spans="1:6" ht="15.75" customHeight="1">
      <c r="A9" s="427" t="s">
        <v>549</v>
      </c>
      <c r="B9" s="28">
        <v>5000000</v>
      </c>
      <c r="C9" s="428" t="s">
        <v>544</v>
      </c>
      <c r="D9" s="28"/>
      <c r="E9" s="28">
        <v>5000000</v>
      </c>
      <c r="F9" s="54">
        <f>B9-D9-E9</f>
        <v>0</v>
      </c>
    </row>
    <row r="10" spans="1:6" ht="15.75" customHeight="1">
      <c r="A10" s="426"/>
      <c r="B10" s="28"/>
      <c r="C10" s="428"/>
      <c r="D10" s="28"/>
      <c r="E10" s="28"/>
      <c r="F10" s="54">
        <f>B10-D10-E10</f>
        <v>0</v>
      </c>
    </row>
    <row r="11" spans="1:6" ht="15.75" customHeight="1">
      <c r="A11" s="426"/>
      <c r="B11" s="28"/>
      <c r="C11" s="428"/>
      <c r="D11" s="28"/>
      <c r="E11" s="28"/>
      <c r="F11" s="54">
        <f t="shared" si="0"/>
        <v>0</v>
      </c>
    </row>
    <row r="12" spans="1:6" ht="15.75" customHeight="1">
      <c r="A12" s="426"/>
      <c r="B12" s="28"/>
      <c r="C12" s="428"/>
      <c r="D12" s="28"/>
      <c r="E12" s="28"/>
      <c r="F12" s="54">
        <f t="shared" si="0"/>
        <v>0</v>
      </c>
    </row>
    <row r="13" spans="1:6" ht="15.75" customHeight="1">
      <c r="A13" s="426"/>
      <c r="B13" s="28"/>
      <c r="C13" s="428"/>
      <c r="D13" s="28"/>
      <c r="E13" s="28"/>
      <c r="F13" s="54">
        <f t="shared" si="0"/>
        <v>0</v>
      </c>
    </row>
    <row r="14" spans="1:6" ht="15.75" customHeight="1">
      <c r="A14" s="426"/>
      <c r="B14" s="28"/>
      <c r="C14" s="428"/>
      <c r="D14" s="28"/>
      <c r="E14" s="28"/>
      <c r="F14" s="54">
        <f t="shared" si="0"/>
        <v>0</v>
      </c>
    </row>
    <row r="15" spans="1:6" ht="15.75" customHeight="1">
      <c r="A15" s="426"/>
      <c r="B15" s="28"/>
      <c r="C15" s="428"/>
      <c r="D15" s="28"/>
      <c r="E15" s="28"/>
      <c r="F15" s="54">
        <f t="shared" si="0"/>
        <v>0</v>
      </c>
    </row>
    <row r="16" spans="1:6" ht="15.75" customHeight="1">
      <c r="A16" s="426"/>
      <c r="B16" s="28"/>
      <c r="C16" s="428"/>
      <c r="D16" s="28"/>
      <c r="E16" s="28"/>
      <c r="F16" s="54">
        <f t="shared" si="0"/>
        <v>0</v>
      </c>
    </row>
    <row r="17" spans="1:6" ht="15.75" customHeight="1">
      <c r="A17" s="426"/>
      <c r="B17" s="28"/>
      <c r="C17" s="428"/>
      <c r="D17" s="28"/>
      <c r="E17" s="28"/>
      <c r="F17" s="54">
        <f t="shared" si="0"/>
        <v>0</v>
      </c>
    </row>
    <row r="18" spans="1:6" ht="15.75" customHeight="1">
      <c r="A18" s="426"/>
      <c r="B18" s="28"/>
      <c r="C18" s="428"/>
      <c r="D18" s="28"/>
      <c r="E18" s="28"/>
      <c r="F18" s="54">
        <f t="shared" si="0"/>
        <v>0</v>
      </c>
    </row>
    <row r="19" spans="1:6" ht="15.75" customHeight="1">
      <c r="A19" s="426"/>
      <c r="B19" s="28"/>
      <c r="C19" s="428"/>
      <c r="D19" s="28"/>
      <c r="E19" s="28"/>
      <c r="F19" s="54">
        <f t="shared" si="0"/>
        <v>0</v>
      </c>
    </row>
    <row r="20" spans="1:6" ht="15.75" customHeight="1">
      <c r="A20" s="426"/>
      <c r="B20" s="28"/>
      <c r="C20" s="428"/>
      <c r="D20" s="28"/>
      <c r="E20" s="28"/>
      <c r="F20" s="54">
        <f t="shared" si="0"/>
        <v>0</v>
      </c>
    </row>
    <row r="21" spans="1:6" ht="15.75" customHeight="1">
      <c r="A21" s="426"/>
      <c r="B21" s="28"/>
      <c r="C21" s="428"/>
      <c r="D21" s="28"/>
      <c r="E21" s="28"/>
      <c r="F21" s="54">
        <f t="shared" si="0"/>
        <v>0</v>
      </c>
    </row>
    <row r="22" spans="1:6" ht="15.75" customHeight="1">
      <c r="A22" s="426"/>
      <c r="B22" s="28"/>
      <c r="C22" s="428"/>
      <c r="D22" s="28"/>
      <c r="E22" s="28"/>
      <c r="F22" s="54">
        <f t="shared" si="0"/>
        <v>0</v>
      </c>
    </row>
    <row r="23" spans="1:6" ht="15.75" customHeight="1" thickBot="1">
      <c r="A23" s="55"/>
      <c r="B23" s="29"/>
      <c r="C23" s="429"/>
      <c r="D23" s="29"/>
      <c r="E23" s="29"/>
      <c r="F23" s="56">
        <f t="shared" si="0"/>
        <v>0</v>
      </c>
    </row>
    <row r="24" spans="1:6" s="59" customFormat="1" ht="18" customHeight="1" thickBot="1">
      <c r="A24" s="193" t="s">
        <v>70</v>
      </c>
      <c r="B24" s="57">
        <f>SUM(B5:B23)</f>
        <v>25097687</v>
      </c>
      <c r="C24" s="115"/>
      <c r="D24" s="57">
        <f>SUM(D5:D23)</f>
        <v>0</v>
      </c>
      <c r="E24" s="57">
        <f>SUM(E5:E23)</f>
        <v>25097687</v>
      </c>
      <c r="F24" s="58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3 /2019. (II.11.)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G115" sqref="G115"/>
    </sheetView>
  </sheetViews>
  <sheetFormatPr defaultColWidth="9.00390625" defaultRowHeight="12.75"/>
  <cols>
    <col min="1" max="1" width="60.625" style="41" customWidth="1"/>
    <col min="2" max="2" width="15.625" style="40" customWidth="1"/>
    <col min="3" max="3" width="16.375" style="40" customWidth="1"/>
    <col min="4" max="4" width="18.00390625" style="40" customWidth="1"/>
    <col min="5" max="5" width="16.625" style="40" customWidth="1"/>
    <col min="6" max="6" width="18.875" style="40" customWidth="1"/>
    <col min="7" max="8" width="12.875" style="40" customWidth="1"/>
    <col min="9" max="9" width="13.875" style="40" customWidth="1"/>
    <col min="10" max="16384" width="9.375" style="40" customWidth="1"/>
  </cols>
  <sheetData>
    <row r="1" spans="1:6" ht="24.75" customHeight="1">
      <c r="A1" s="755" t="s">
        <v>1</v>
      </c>
      <c r="B1" s="755"/>
      <c r="C1" s="755"/>
      <c r="D1" s="755"/>
      <c r="E1" s="755"/>
      <c r="F1" s="755"/>
    </row>
    <row r="2" spans="1:6" ht="23.25" customHeight="1" thickBot="1">
      <c r="A2" s="190"/>
      <c r="B2" s="53"/>
      <c r="C2" s="53"/>
      <c r="D2" s="53"/>
      <c r="E2" s="53"/>
      <c r="F2" s="48" t="s">
        <v>535</v>
      </c>
    </row>
    <row r="3" spans="1:6" s="42" customFormat="1" ht="48.75" customHeight="1" thickBot="1">
      <c r="A3" s="191" t="s">
        <v>74</v>
      </c>
      <c r="B3" s="192" t="s">
        <v>72</v>
      </c>
      <c r="C3" s="192" t="s">
        <v>73</v>
      </c>
      <c r="D3" s="192" t="s">
        <v>545</v>
      </c>
      <c r="E3" s="192" t="s">
        <v>540</v>
      </c>
      <c r="F3" s="49" t="s">
        <v>550</v>
      </c>
    </row>
    <row r="4" spans="1:6" s="53" customFormat="1" ht="15" customHeight="1" thickBot="1">
      <c r="A4" s="50">
        <v>1</v>
      </c>
      <c r="B4" s="51">
        <v>2</v>
      </c>
      <c r="C4" s="51">
        <v>3</v>
      </c>
      <c r="D4" s="51">
        <v>4</v>
      </c>
      <c r="E4" s="51">
        <v>5</v>
      </c>
      <c r="F4" s="52">
        <v>6</v>
      </c>
    </row>
    <row r="5" spans="1:6" ht="15.75" customHeight="1">
      <c r="A5" s="60" t="s">
        <v>551</v>
      </c>
      <c r="B5" s="61">
        <v>24101044</v>
      </c>
      <c r="C5" s="430" t="s">
        <v>544</v>
      </c>
      <c r="D5" s="61">
        <v>0</v>
      </c>
      <c r="E5" s="61">
        <v>24101044</v>
      </c>
      <c r="F5" s="62">
        <f aca="true" t="shared" si="0" ref="F5:F23">B5-D5-E5</f>
        <v>0</v>
      </c>
    </row>
    <row r="6" spans="1:6" ht="15.75" customHeight="1">
      <c r="A6" s="60" t="s">
        <v>552</v>
      </c>
      <c r="B6" s="61">
        <v>1500000</v>
      </c>
      <c r="C6" s="430" t="s">
        <v>544</v>
      </c>
      <c r="D6" s="61">
        <v>0</v>
      </c>
      <c r="E6" s="61">
        <v>1500000</v>
      </c>
      <c r="F6" s="62">
        <f t="shared" si="0"/>
        <v>0</v>
      </c>
    </row>
    <row r="7" spans="1:6" ht="15.75" customHeight="1">
      <c r="A7" s="60" t="s">
        <v>553</v>
      </c>
      <c r="B7" s="61">
        <v>2000000</v>
      </c>
      <c r="C7" s="430" t="s">
        <v>544</v>
      </c>
      <c r="D7" s="61"/>
      <c r="E7" s="61">
        <v>2000000</v>
      </c>
      <c r="F7" s="62">
        <f t="shared" si="0"/>
        <v>0</v>
      </c>
    </row>
    <row r="8" spans="1:6" ht="15.75" customHeight="1">
      <c r="A8" s="60" t="s">
        <v>554</v>
      </c>
      <c r="B8" s="61">
        <v>2574925</v>
      </c>
      <c r="C8" s="430" t="s">
        <v>544</v>
      </c>
      <c r="D8" s="61"/>
      <c r="E8" s="61">
        <v>2574925</v>
      </c>
      <c r="F8" s="62">
        <f t="shared" si="0"/>
        <v>0</v>
      </c>
    </row>
    <row r="9" spans="1:6" ht="15.75" customHeight="1">
      <c r="A9" s="60"/>
      <c r="B9" s="61">
        <v>0</v>
      </c>
      <c r="C9" s="430"/>
      <c r="D9" s="61"/>
      <c r="E9" s="61">
        <v>0</v>
      </c>
      <c r="F9" s="62">
        <f t="shared" si="0"/>
        <v>0</v>
      </c>
    </row>
    <row r="10" spans="1:6" ht="15.75" customHeight="1">
      <c r="A10" s="60"/>
      <c r="B10" s="61">
        <v>0</v>
      </c>
      <c r="C10" s="430"/>
      <c r="D10" s="61"/>
      <c r="E10" s="61">
        <v>0</v>
      </c>
      <c r="F10" s="62">
        <f t="shared" si="0"/>
        <v>0</v>
      </c>
    </row>
    <row r="11" spans="1:6" ht="15.75" customHeight="1">
      <c r="A11" s="60"/>
      <c r="B11" s="61">
        <v>0</v>
      </c>
      <c r="C11" s="430"/>
      <c r="D11" s="61"/>
      <c r="E11" s="61">
        <v>0</v>
      </c>
      <c r="F11" s="62">
        <f t="shared" si="0"/>
        <v>0</v>
      </c>
    </row>
    <row r="12" spans="1:6" ht="15.75" customHeight="1">
      <c r="A12" s="60"/>
      <c r="B12" s="61"/>
      <c r="C12" s="430"/>
      <c r="D12" s="61"/>
      <c r="E12" s="61"/>
      <c r="F12" s="62">
        <f t="shared" si="0"/>
        <v>0</v>
      </c>
    </row>
    <row r="13" spans="1:6" ht="15.75" customHeight="1">
      <c r="A13" s="60"/>
      <c r="B13" s="61"/>
      <c r="C13" s="430"/>
      <c r="D13" s="61"/>
      <c r="E13" s="61"/>
      <c r="F13" s="62">
        <f t="shared" si="0"/>
        <v>0</v>
      </c>
    </row>
    <row r="14" spans="1:6" ht="15.75" customHeight="1">
      <c r="A14" s="60"/>
      <c r="B14" s="61"/>
      <c r="C14" s="430"/>
      <c r="D14" s="61"/>
      <c r="E14" s="61"/>
      <c r="F14" s="62">
        <f t="shared" si="0"/>
        <v>0</v>
      </c>
    </row>
    <row r="15" spans="1:6" ht="15.75" customHeight="1">
      <c r="A15" s="60"/>
      <c r="B15" s="61"/>
      <c r="C15" s="430"/>
      <c r="D15" s="61"/>
      <c r="E15" s="61"/>
      <c r="F15" s="62">
        <f t="shared" si="0"/>
        <v>0</v>
      </c>
    </row>
    <row r="16" spans="1:6" ht="15.75" customHeight="1">
      <c r="A16" s="60"/>
      <c r="B16" s="61"/>
      <c r="C16" s="430"/>
      <c r="D16" s="61"/>
      <c r="E16" s="61"/>
      <c r="F16" s="62">
        <f t="shared" si="0"/>
        <v>0</v>
      </c>
    </row>
    <row r="17" spans="1:6" ht="15.75" customHeight="1">
      <c r="A17" s="60"/>
      <c r="B17" s="61"/>
      <c r="C17" s="430"/>
      <c r="D17" s="61"/>
      <c r="E17" s="61"/>
      <c r="F17" s="62">
        <f t="shared" si="0"/>
        <v>0</v>
      </c>
    </row>
    <row r="18" spans="1:6" ht="15.75" customHeight="1">
      <c r="A18" s="60"/>
      <c r="B18" s="61"/>
      <c r="C18" s="430"/>
      <c r="D18" s="61"/>
      <c r="E18" s="61"/>
      <c r="F18" s="62">
        <f t="shared" si="0"/>
        <v>0</v>
      </c>
    </row>
    <row r="19" spans="1:6" ht="15.75" customHeight="1">
      <c r="A19" s="60"/>
      <c r="B19" s="61"/>
      <c r="C19" s="430"/>
      <c r="D19" s="61"/>
      <c r="E19" s="61"/>
      <c r="F19" s="62">
        <f t="shared" si="0"/>
        <v>0</v>
      </c>
    </row>
    <row r="20" spans="1:6" ht="15.75" customHeight="1">
      <c r="A20" s="60"/>
      <c r="B20" s="61"/>
      <c r="C20" s="430"/>
      <c r="D20" s="61"/>
      <c r="E20" s="61"/>
      <c r="F20" s="62">
        <f t="shared" si="0"/>
        <v>0</v>
      </c>
    </row>
    <row r="21" spans="1:6" ht="15.75" customHeight="1">
      <c r="A21" s="60"/>
      <c r="B21" s="61"/>
      <c r="C21" s="430"/>
      <c r="D21" s="61"/>
      <c r="E21" s="61"/>
      <c r="F21" s="62">
        <f t="shared" si="0"/>
        <v>0</v>
      </c>
    </row>
    <row r="22" spans="1:6" ht="15.75" customHeight="1">
      <c r="A22" s="60"/>
      <c r="B22" s="61"/>
      <c r="C22" s="430"/>
      <c r="D22" s="61"/>
      <c r="E22" s="61"/>
      <c r="F22" s="62">
        <f t="shared" si="0"/>
        <v>0</v>
      </c>
    </row>
    <row r="23" spans="1:6" ht="15.75" customHeight="1" thickBot="1">
      <c r="A23" s="63"/>
      <c r="B23" s="64"/>
      <c r="C23" s="431"/>
      <c r="D23" s="64"/>
      <c r="E23" s="64"/>
      <c r="F23" s="65">
        <f t="shared" si="0"/>
        <v>0</v>
      </c>
    </row>
    <row r="24" spans="1:6" s="59" customFormat="1" ht="18" customHeight="1" thickBot="1">
      <c r="A24" s="193" t="s">
        <v>70</v>
      </c>
      <c r="B24" s="194">
        <f>SUM(B5:B23)</f>
        <v>30175969</v>
      </c>
      <c r="C24" s="116"/>
      <c r="D24" s="194">
        <f>SUM(D5:D23)</f>
        <v>0</v>
      </c>
      <c r="E24" s="194">
        <f>SUM(E5:E23)</f>
        <v>30175969</v>
      </c>
      <c r="F24" s="66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3 /2019. (II.11.)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G115" sqref="G115"/>
    </sheetView>
  </sheetViews>
  <sheetFormatPr defaultColWidth="9.00390625" defaultRowHeight="12.75"/>
  <cols>
    <col min="1" max="1" width="38.625" style="43" customWidth="1"/>
    <col min="2" max="5" width="13.875" style="43" customWidth="1"/>
    <col min="6" max="16384" width="9.375" style="43" customWidth="1"/>
  </cols>
  <sheetData>
    <row r="1" spans="1:5" ht="12.75">
      <c r="A1" s="204"/>
      <c r="B1" s="204"/>
      <c r="C1" s="204"/>
      <c r="D1" s="204"/>
      <c r="E1" s="204"/>
    </row>
    <row r="2" spans="1:5" ht="15.75">
      <c r="A2" s="205" t="s">
        <v>141</v>
      </c>
      <c r="B2" s="777" t="s">
        <v>557</v>
      </c>
      <c r="C2" s="777"/>
      <c r="D2" s="777"/>
      <c r="E2" s="777"/>
    </row>
    <row r="3" spans="1:5" ht="14.25" thickBot="1">
      <c r="A3" s="204"/>
      <c r="B3" s="204"/>
      <c r="C3" s="204"/>
      <c r="D3" s="778" t="s">
        <v>535</v>
      </c>
      <c r="E3" s="778"/>
    </row>
    <row r="4" spans="1:5" ht="15" customHeight="1" thickBot="1">
      <c r="A4" s="206" t="s">
        <v>134</v>
      </c>
      <c r="B4" s="207" t="s">
        <v>536</v>
      </c>
      <c r="C4" s="207" t="s">
        <v>537</v>
      </c>
      <c r="D4" s="207" t="s">
        <v>555</v>
      </c>
      <c r="E4" s="208" t="s">
        <v>52</v>
      </c>
    </row>
    <row r="5" spans="1:5" ht="12.75">
      <c r="A5" s="209" t="s">
        <v>135</v>
      </c>
      <c r="B5" s="87">
        <v>0</v>
      </c>
      <c r="C5" s="87"/>
      <c r="D5" s="87"/>
      <c r="E5" s="210">
        <f aca="true" t="shared" si="0" ref="E5:E11">SUM(B5:D5)</f>
        <v>0</v>
      </c>
    </row>
    <row r="6" spans="1:5" ht="12.75">
      <c r="A6" s="211" t="s">
        <v>148</v>
      </c>
      <c r="B6" s="88"/>
      <c r="C6" s="88"/>
      <c r="D6" s="88"/>
      <c r="E6" s="212">
        <f t="shared" si="0"/>
        <v>0</v>
      </c>
    </row>
    <row r="7" spans="1:5" ht="12.75">
      <c r="A7" s="213" t="s">
        <v>136</v>
      </c>
      <c r="B7" s="89">
        <v>2711020</v>
      </c>
      <c r="C7" s="89"/>
      <c r="D7" s="89"/>
      <c r="E7" s="214">
        <f t="shared" si="0"/>
        <v>2711020</v>
      </c>
    </row>
    <row r="8" spans="1:5" ht="12.75">
      <c r="A8" s="213" t="s">
        <v>150</v>
      </c>
      <c r="B8" s="89"/>
      <c r="C8" s="89"/>
      <c r="D8" s="89"/>
      <c r="E8" s="214">
        <f t="shared" si="0"/>
        <v>0</v>
      </c>
    </row>
    <row r="9" spans="1:5" ht="12.75">
      <c r="A9" s="213" t="s">
        <v>137</v>
      </c>
      <c r="B9" s="89"/>
      <c r="C9" s="89"/>
      <c r="D9" s="89"/>
      <c r="E9" s="214">
        <f t="shared" si="0"/>
        <v>0</v>
      </c>
    </row>
    <row r="10" spans="1:5" ht="12.75">
      <c r="A10" s="213" t="s">
        <v>138</v>
      </c>
      <c r="B10" s="89"/>
      <c r="C10" s="89"/>
      <c r="D10" s="89"/>
      <c r="E10" s="214">
        <f t="shared" si="0"/>
        <v>0</v>
      </c>
    </row>
    <row r="11" spans="1:5" ht="13.5" thickBot="1">
      <c r="A11" s="90"/>
      <c r="B11" s="91"/>
      <c r="C11" s="91"/>
      <c r="D11" s="91"/>
      <c r="E11" s="214">
        <f t="shared" si="0"/>
        <v>0</v>
      </c>
    </row>
    <row r="12" spans="1:5" ht="13.5" thickBot="1">
      <c r="A12" s="215" t="s">
        <v>140</v>
      </c>
      <c r="B12" s="216">
        <f>B5+SUM(B7:B11)</f>
        <v>2711020</v>
      </c>
      <c r="C12" s="216">
        <f>C5+SUM(C7:C11)</f>
        <v>0</v>
      </c>
      <c r="D12" s="216">
        <f>D5+SUM(D7:D11)</f>
        <v>0</v>
      </c>
      <c r="E12" s="217">
        <f>E5+SUM(E7:E11)</f>
        <v>2711020</v>
      </c>
    </row>
    <row r="13" spans="1:5" ht="13.5" thickBot="1">
      <c r="A13" s="47"/>
      <c r="B13" s="47"/>
      <c r="C13" s="47"/>
      <c r="D13" s="47"/>
      <c r="E13" s="47"/>
    </row>
    <row r="14" spans="1:5" ht="15" customHeight="1" thickBot="1">
      <c r="A14" s="206" t="s">
        <v>139</v>
      </c>
      <c r="B14" s="207" t="s">
        <v>536</v>
      </c>
      <c r="C14" s="207" t="s">
        <v>537</v>
      </c>
      <c r="D14" s="207" t="s">
        <v>555</v>
      </c>
      <c r="E14" s="208" t="s">
        <v>52</v>
      </c>
    </row>
    <row r="15" spans="1:5" ht="12.75">
      <c r="A15" s="209" t="s">
        <v>144</v>
      </c>
      <c r="B15" s="87"/>
      <c r="C15" s="87"/>
      <c r="D15" s="87"/>
      <c r="E15" s="210">
        <f aca="true" t="shared" si="1" ref="E15:E21">SUM(B15:D15)</f>
        <v>0</v>
      </c>
    </row>
    <row r="16" spans="1:5" ht="12.75">
      <c r="A16" s="218" t="s">
        <v>145</v>
      </c>
      <c r="B16" s="89">
        <v>0</v>
      </c>
      <c r="C16" s="89"/>
      <c r="D16" s="89"/>
      <c r="E16" s="214">
        <f t="shared" si="1"/>
        <v>0</v>
      </c>
    </row>
    <row r="17" spans="1:5" ht="12.75">
      <c r="A17" s="213" t="s">
        <v>146</v>
      </c>
      <c r="B17" s="89">
        <v>2711020</v>
      </c>
      <c r="C17" s="89"/>
      <c r="D17" s="89"/>
      <c r="E17" s="214">
        <f t="shared" si="1"/>
        <v>2711020</v>
      </c>
    </row>
    <row r="18" spans="1:5" ht="12.75">
      <c r="A18" s="213" t="s">
        <v>147</v>
      </c>
      <c r="B18" s="89"/>
      <c r="C18" s="89"/>
      <c r="D18" s="89"/>
      <c r="E18" s="214">
        <f t="shared" si="1"/>
        <v>0</v>
      </c>
    </row>
    <row r="19" spans="1:5" ht="12.75">
      <c r="A19" s="92"/>
      <c r="B19" s="89"/>
      <c r="C19" s="89"/>
      <c r="D19" s="89"/>
      <c r="E19" s="214">
        <f t="shared" si="1"/>
        <v>0</v>
      </c>
    </row>
    <row r="20" spans="1:5" ht="12.75">
      <c r="A20" s="92"/>
      <c r="B20" s="89"/>
      <c r="C20" s="89"/>
      <c r="D20" s="89"/>
      <c r="E20" s="214">
        <f t="shared" si="1"/>
        <v>0</v>
      </c>
    </row>
    <row r="21" spans="1:5" ht="13.5" thickBot="1">
      <c r="A21" s="90"/>
      <c r="B21" s="91"/>
      <c r="C21" s="91"/>
      <c r="D21" s="91"/>
      <c r="E21" s="214">
        <f t="shared" si="1"/>
        <v>0</v>
      </c>
    </row>
    <row r="22" spans="1:5" ht="13.5" thickBot="1">
      <c r="A22" s="215" t="s">
        <v>54</v>
      </c>
      <c r="B22" s="216">
        <f>SUM(B15:B21)</f>
        <v>2711020</v>
      </c>
      <c r="C22" s="216">
        <f>SUM(C15:C21)</f>
        <v>0</v>
      </c>
      <c r="D22" s="216">
        <f>SUM(D15:D21)</f>
        <v>0</v>
      </c>
      <c r="E22" s="217">
        <f>SUM(E15:E21)</f>
        <v>2711020</v>
      </c>
    </row>
    <row r="23" spans="1:5" ht="12.75">
      <c r="A23" s="204"/>
      <c r="B23" s="204"/>
      <c r="C23" s="204"/>
      <c r="D23" s="204"/>
      <c r="E23" s="204"/>
    </row>
    <row r="24" spans="1:5" ht="12.75">
      <c r="A24" s="204"/>
      <c r="B24" s="204"/>
      <c r="C24" s="204"/>
      <c r="D24" s="204"/>
      <c r="E24" s="204"/>
    </row>
    <row r="25" spans="1:5" ht="15.75">
      <c r="A25" s="205" t="s">
        <v>141</v>
      </c>
      <c r="B25" s="777"/>
      <c r="C25" s="777"/>
      <c r="D25" s="777"/>
      <c r="E25" s="777"/>
    </row>
    <row r="26" spans="1:5" ht="14.25" thickBot="1">
      <c r="A26" s="204"/>
      <c r="B26" s="204"/>
      <c r="C26" s="204"/>
      <c r="D26" s="778" t="s">
        <v>535</v>
      </c>
      <c r="E26" s="778"/>
    </row>
    <row r="27" spans="1:5" ht="13.5" thickBot="1">
      <c r="A27" s="206" t="s">
        <v>134</v>
      </c>
      <c r="B27" s="207" t="s">
        <v>536</v>
      </c>
      <c r="C27" s="207" t="s">
        <v>537</v>
      </c>
      <c r="D27" s="207" t="s">
        <v>555</v>
      </c>
      <c r="E27" s="208" t="s">
        <v>52</v>
      </c>
    </row>
    <row r="28" spans="1:5" ht="12.75">
      <c r="A28" s="209" t="s">
        <v>135</v>
      </c>
      <c r="B28" s="87"/>
      <c r="C28" s="87"/>
      <c r="D28" s="87"/>
      <c r="E28" s="210">
        <f aca="true" t="shared" si="2" ref="E28:E34">SUM(B28:D28)</f>
        <v>0</v>
      </c>
    </row>
    <row r="29" spans="1:5" ht="12.75">
      <c r="A29" s="211" t="s">
        <v>148</v>
      </c>
      <c r="B29" s="88"/>
      <c r="C29" s="88"/>
      <c r="D29" s="88"/>
      <c r="E29" s="212">
        <f t="shared" si="2"/>
        <v>0</v>
      </c>
    </row>
    <row r="30" spans="1:5" ht="12.75">
      <c r="A30" s="213" t="s">
        <v>136</v>
      </c>
      <c r="B30" s="89"/>
      <c r="C30" s="89"/>
      <c r="D30" s="89"/>
      <c r="E30" s="214">
        <f t="shared" si="2"/>
        <v>0</v>
      </c>
    </row>
    <row r="31" spans="1:5" ht="12.75">
      <c r="A31" s="213" t="s">
        <v>150</v>
      </c>
      <c r="B31" s="89"/>
      <c r="C31" s="89"/>
      <c r="D31" s="89"/>
      <c r="E31" s="214">
        <f t="shared" si="2"/>
        <v>0</v>
      </c>
    </row>
    <row r="32" spans="1:5" ht="12.75">
      <c r="A32" s="213" t="s">
        <v>137</v>
      </c>
      <c r="B32" s="89"/>
      <c r="C32" s="89"/>
      <c r="D32" s="89"/>
      <c r="E32" s="214">
        <f t="shared" si="2"/>
        <v>0</v>
      </c>
    </row>
    <row r="33" spans="1:5" ht="12.75">
      <c r="A33" s="213" t="s">
        <v>138</v>
      </c>
      <c r="B33" s="89"/>
      <c r="C33" s="89"/>
      <c r="D33" s="89"/>
      <c r="E33" s="214">
        <f t="shared" si="2"/>
        <v>0</v>
      </c>
    </row>
    <row r="34" spans="1:5" ht="13.5" thickBot="1">
      <c r="A34" s="90"/>
      <c r="B34" s="91"/>
      <c r="C34" s="91"/>
      <c r="D34" s="91"/>
      <c r="E34" s="214">
        <f t="shared" si="2"/>
        <v>0</v>
      </c>
    </row>
    <row r="35" spans="1:5" ht="13.5" thickBot="1">
      <c r="A35" s="215" t="s">
        <v>140</v>
      </c>
      <c r="B35" s="216">
        <f>B28+SUM(B30:B34)</f>
        <v>0</v>
      </c>
      <c r="C35" s="216">
        <f>C28+SUM(C30:C34)</f>
        <v>0</v>
      </c>
      <c r="D35" s="216">
        <f>D28+SUM(D30:D34)</f>
        <v>0</v>
      </c>
      <c r="E35" s="217">
        <f>E28+SUM(E30:E34)</f>
        <v>0</v>
      </c>
    </row>
    <row r="36" spans="1:5" ht="13.5" thickBot="1">
      <c r="A36" s="47"/>
      <c r="B36" s="47"/>
      <c r="C36" s="47"/>
      <c r="D36" s="47"/>
      <c r="E36" s="47"/>
    </row>
    <row r="37" spans="1:5" ht="13.5" thickBot="1">
      <c r="A37" s="206" t="s">
        <v>139</v>
      </c>
      <c r="B37" s="207" t="s">
        <v>536</v>
      </c>
      <c r="C37" s="207" t="s">
        <v>537</v>
      </c>
      <c r="D37" s="207" t="s">
        <v>555</v>
      </c>
      <c r="E37" s="208" t="s">
        <v>52</v>
      </c>
    </row>
    <row r="38" spans="1:5" ht="12.75">
      <c r="A38" s="209" t="s">
        <v>144</v>
      </c>
      <c r="B38" s="87"/>
      <c r="C38" s="87"/>
      <c r="D38" s="87"/>
      <c r="E38" s="210">
        <f aca="true" t="shared" si="3" ref="E38:E44">SUM(B38:D38)</f>
        <v>0</v>
      </c>
    </row>
    <row r="39" spans="1:5" ht="12.75">
      <c r="A39" s="218" t="s">
        <v>145</v>
      </c>
      <c r="B39" s="89"/>
      <c r="C39" s="89"/>
      <c r="D39" s="89"/>
      <c r="E39" s="214">
        <f t="shared" si="3"/>
        <v>0</v>
      </c>
    </row>
    <row r="40" spans="1:5" ht="12.75">
      <c r="A40" s="213" t="s">
        <v>146</v>
      </c>
      <c r="B40" s="89"/>
      <c r="C40" s="89"/>
      <c r="D40" s="89"/>
      <c r="E40" s="214">
        <f t="shared" si="3"/>
        <v>0</v>
      </c>
    </row>
    <row r="41" spans="1:5" ht="12.75">
      <c r="A41" s="213" t="s">
        <v>147</v>
      </c>
      <c r="B41" s="89"/>
      <c r="C41" s="89"/>
      <c r="D41" s="89"/>
      <c r="E41" s="214">
        <f t="shared" si="3"/>
        <v>0</v>
      </c>
    </row>
    <row r="42" spans="1:5" ht="12.75">
      <c r="A42" s="92"/>
      <c r="B42" s="89"/>
      <c r="C42" s="89"/>
      <c r="D42" s="89"/>
      <c r="E42" s="214">
        <f t="shared" si="3"/>
        <v>0</v>
      </c>
    </row>
    <row r="43" spans="1:5" ht="12.75">
      <c r="A43" s="92"/>
      <c r="B43" s="89"/>
      <c r="C43" s="89"/>
      <c r="D43" s="89"/>
      <c r="E43" s="214">
        <f t="shared" si="3"/>
        <v>0</v>
      </c>
    </row>
    <row r="44" spans="1:5" ht="13.5" thickBot="1">
      <c r="A44" s="90"/>
      <c r="B44" s="91"/>
      <c r="C44" s="91"/>
      <c r="D44" s="91"/>
      <c r="E44" s="214">
        <f t="shared" si="3"/>
        <v>0</v>
      </c>
    </row>
    <row r="45" spans="1:5" ht="13.5" thickBot="1">
      <c r="A45" s="215" t="s">
        <v>54</v>
      </c>
      <c r="B45" s="216">
        <f>SUM(B38:B44)</f>
        <v>0</v>
      </c>
      <c r="C45" s="216">
        <f>SUM(C38:C44)</f>
        <v>0</v>
      </c>
      <c r="D45" s="216">
        <f>SUM(D38:D44)</f>
        <v>0</v>
      </c>
      <c r="E45" s="217">
        <f>SUM(E38:E44)</f>
        <v>0</v>
      </c>
    </row>
    <row r="46" spans="1:5" ht="12.75">
      <c r="A46" s="204"/>
      <c r="B46" s="204"/>
      <c r="C46" s="204"/>
      <c r="D46" s="204"/>
      <c r="E46" s="204"/>
    </row>
    <row r="47" spans="1:5" ht="15.75">
      <c r="A47" s="763" t="s">
        <v>556</v>
      </c>
      <c r="B47" s="763"/>
      <c r="C47" s="763"/>
      <c r="D47" s="763"/>
      <c r="E47" s="763"/>
    </row>
    <row r="48" spans="1:5" ht="13.5" thickBot="1">
      <c r="A48" s="204"/>
      <c r="B48" s="204"/>
      <c r="C48" s="204"/>
      <c r="D48" s="204"/>
      <c r="E48" s="204"/>
    </row>
    <row r="49" spans="1:8" ht="13.5" thickBot="1">
      <c r="A49" s="768" t="s">
        <v>142</v>
      </c>
      <c r="B49" s="769"/>
      <c r="C49" s="770"/>
      <c r="D49" s="766" t="s">
        <v>151</v>
      </c>
      <c r="E49" s="767"/>
      <c r="H49" s="44"/>
    </row>
    <row r="50" spans="1:5" ht="12.75">
      <c r="A50" s="771"/>
      <c r="B50" s="772"/>
      <c r="C50" s="773"/>
      <c r="D50" s="759"/>
      <c r="E50" s="760"/>
    </row>
    <row r="51" spans="1:5" ht="13.5" thickBot="1">
      <c r="A51" s="774"/>
      <c r="B51" s="775"/>
      <c r="C51" s="776"/>
      <c r="D51" s="761"/>
      <c r="E51" s="762"/>
    </row>
    <row r="52" spans="1:5" ht="13.5" thickBot="1">
      <c r="A52" s="756" t="s">
        <v>54</v>
      </c>
      <c r="B52" s="757"/>
      <c r="C52" s="758"/>
      <c r="D52" s="764">
        <f>SUM(D50:E51)</f>
        <v>0</v>
      </c>
      <c r="E52" s="765"/>
    </row>
  </sheetData>
  <sheetProtection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3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3 /2019. (II.11.)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0"/>
  <sheetViews>
    <sheetView zoomScaleSheetLayoutView="85" workbookViewId="0" topLeftCell="A1">
      <selection activeCell="M1" sqref="M1:O1"/>
    </sheetView>
  </sheetViews>
  <sheetFormatPr defaultColWidth="9.00390625" defaultRowHeight="12.75"/>
  <cols>
    <col min="1" max="1" width="19.50390625" style="475" customWidth="1"/>
    <col min="2" max="2" width="66.375" style="476" customWidth="1"/>
    <col min="3" max="3" width="18.375" style="477" customWidth="1"/>
    <col min="4" max="4" width="17.50390625" style="477" hidden="1" customWidth="1"/>
    <col min="5" max="5" width="17.875" style="477" hidden="1" customWidth="1"/>
    <col min="6" max="6" width="17.50390625" style="477" hidden="1" customWidth="1"/>
    <col min="7" max="7" width="17.875" style="477" hidden="1" customWidth="1"/>
    <col min="8" max="8" width="17.50390625" style="477" hidden="1" customWidth="1"/>
    <col min="9" max="9" width="17.875" style="477" hidden="1" customWidth="1"/>
    <col min="10" max="10" width="17.50390625" style="477" hidden="1" customWidth="1"/>
    <col min="11" max="11" width="17.875" style="477" hidden="1" customWidth="1"/>
    <col min="12" max="12" width="17.50390625" style="477" hidden="1" customWidth="1"/>
    <col min="13" max="13" width="17.875" style="477" customWidth="1"/>
    <col min="14" max="14" width="17.50390625" style="477" customWidth="1"/>
    <col min="15" max="15" width="17.875" style="477" customWidth="1"/>
    <col min="16" max="16384" width="9.375" style="478" customWidth="1"/>
  </cols>
  <sheetData>
    <row r="1" spans="5:15" ht="12.75">
      <c r="E1" s="244"/>
      <c r="G1" s="244"/>
      <c r="I1" s="244"/>
      <c r="K1" s="244"/>
      <c r="M1" s="813" t="s">
        <v>619</v>
      </c>
      <c r="N1" s="813"/>
      <c r="O1" s="813"/>
    </row>
    <row r="2" spans="1:15" s="481" customFormat="1" ht="16.5" customHeight="1" thickBot="1">
      <c r="A2" s="479"/>
      <c r="B2" s="480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 t="s">
        <v>593</v>
      </c>
    </row>
    <row r="3" spans="1:15" s="563" customFormat="1" ht="21" customHeight="1">
      <c r="A3" s="561" t="s">
        <v>68</v>
      </c>
      <c r="B3" s="779" t="s">
        <v>230</v>
      </c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  <c r="N3" s="781"/>
      <c r="O3" s="562" t="s">
        <v>55</v>
      </c>
    </row>
    <row r="4" spans="1:15" s="563" customFormat="1" ht="16.5" thickBot="1">
      <c r="A4" s="564" t="s">
        <v>207</v>
      </c>
      <c r="B4" s="782" t="s">
        <v>464</v>
      </c>
      <c r="C4" s="783"/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4"/>
      <c r="O4" s="565">
        <v>1</v>
      </c>
    </row>
    <row r="5" spans="1:15" s="568" customFormat="1" ht="15.75" customHeight="1" thickBot="1">
      <c r="A5" s="566"/>
      <c r="B5" s="566"/>
      <c r="C5" s="567"/>
      <c r="D5" s="567"/>
      <c r="E5" s="567"/>
      <c r="F5" s="567"/>
      <c r="G5" s="567"/>
      <c r="H5" s="567"/>
      <c r="I5" s="567"/>
      <c r="J5" s="567"/>
      <c r="K5" s="567"/>
      <c r="L5" s="567"/>
      <c r="M5" s="567"/>
      <c r="N5" s="567"/>
      <c r="O5" s="567" t="s">
        <v>535</v>
      </c>
    </row>
    <row r="6" spans="1:15" ht="29.25" customHeight="1" thickBot="1">
      <c r="A6" s="569" t="s">
        <v>209</v>
      </c>
      <c r="B6" s="570" t="s">
        <v>57</v>
      </c>
      <c r="C6" s="571" t="s">
        <v>582</v>
      </c>
      <c r="D6" s="571" t="s">
        <v>594</v>
      </c>
      <c r="E6" s="571" t="s">
        <v>584</v>
      </c>
      <c r="F6" s="571" t="s">
        <v>597</v>
      </c>
      <c r="G6" s="571" t="s">
        <v>584</v>
      </c>
      <c r="H6" s="571" t="s">
        <v>601</v>
      </c>
      <c r="I6" s="571" t="s">
        <v>584</v>
      </c>
      <c r="J6" s="571" t="s">
        <v>604</v>
      </c>
      <c r="K6" s="571" t="s">
        <v>584</v>
      </c>
      <c r="L6" s="571" t="s">
        <v>610</v>
      </c>
      <c r="M6" s="571" t="s">
        <v>584</v>
      </c>
      <c r="N6" s="571" t="s">
        <v>620</v>
      </c>
      <c r="O6" s="571" t="s">
        <v>584</v>
      </c>
    </row>
    <row r="7" spans="1:15" s="575" customFormat="1" ht="12.75" customHeight="1" thickBot="1">
      <c r="A7" s="572">
        <v>1</v>
      </c>
      <c r="B7" s="573">
        <v>2</v>
      </c>
      <c r="C7" s="574">
        <v>3</v>
      </c>
      <c r="D7" s="574">
        <v>4</v>
      </c>
      <c r="E7" s="574">
        <v>4</v>
      </c>
      <c r="F7" s="574">
        <v>5</v>
      </c>
      <c r="G7" s="574">
        <v>4</v>
      </c>
      <c r="H7" s="574">
        <v>5</v>
      </c>
      <c r="I7" s="574">
        <v>4</v>
      </c>
      <c r="J7" s="574">
        <v>5</v>
      </c>
      <c r="K7" s="574">
        <v>4</v>
      </c>
      <c r="L7" s="574">
        <v>5</v>
      </c>
      <c r="M7" s="574">
        <v>4</v>
      </c>
      <c r="N7" s="574">
        <v>5</v>
      </c>
      <c r="O7" s="574">
        <v>6</v>
      </c>
    </row>
    <row r="8" spans="1:15" s="575" customFormat="1" ht="15.75" customHeight="1" thickBot="1">
      <c r="A8" s="785" t="s">
        <v>59</v>
      </c>
      <c r="B8" s="786"/>
      <c r="C8" s="786"/>
      <c r="D8" s="786"/>
      <c r="E8" s="786"/>
      <c r="F8" s="786"/>
      <c r="G8" s="786"/>
      <c r="H8" s="786"/>
      <c r="I8" s="787"/>
      <c r="J8" s="478"/>
      <c r="K8" s="478"/>
      <c r="L8" s="478"/>
      <c r="M8" s="478"/>
      <c r="N8" s="478"/>
      <c r="O8" s="478"/>
    </row>
    <row r="9" spans="1:15" s="575" customFormat="1" ht="12" customHeight="1" thickBot="1">
      <c r="A9" s="523" t="s">
        <v>20</v>
      </c>
      <c r="B9" s="492" t="s">
        <v>261</v>
      </c>
      <c r="C9" s="493">
        <f aca="true" t="shared" si="0" ref="C9:O9">+C10+C11+C12+C13+C14+C15</f>
        <v>129283891</v>
      </c>
      <c r="D9" s="493">
        <f t="shared" si="0"/>
        <v>0</v>
      </c>
      <c r="E9" s="493">
        <f t="shared" si="0"/>
        <v>129283891</v>
      </c>
      <c r="F9" s="493">
        <f t="shared" si="0"/>
        <v>10147793</v>
      </c>
      <c r="G9" s="493">
        <f t="shared" si="0"/>
        <v>139431684</v>
      </c>
      <c r="H9" s="493">
        <f t="shared" si="0"/>
        <v>3202208</v>
      </c>
      <c r="I9" s="493">
        <f t="shared" si="0"/>
        <v>142633892</v>
      </c>
      <c r="J9" s="493">
        <f t="shared" si="0"/>
        <v>0</v>
      </c>
      <c r="K9" s="493">
        <f t="shared" si="0"/>
        <v>142633892</v>
      </c>
      <c r="L9" s="493">
        <f t="shared" si="0"/>
        <v>-672993</v>
      </c>
      <c r="M9" s="493">
        <f t="shared" si="0"/>
        <v>141960899</v>
      </c>
      <c r="N9" s="493">
        <f t="shared" si="0"/>
        <v>254503</v>
      </c>
      <c r="O9" s="493">
        <f t="shared" si="0"/>
        <v>142215402</v>
      </c>
    </row>
    <row r="10" spans="1:15" s="579" customFormat="1" ht="12" customHeight="1">
      <c r="A10" s="578" t="s">
        <v>107</v>
      </c>
      <c r="B10" s="496" t="s">
        <v>262</v>
      </c>
      <c r="C10" s="497">
        <v>48805752</v>
      </c>
      <c r="D10" s="497"/>
      <c r="E10" s="497">
        <f>C10+D10</f>
        <v>48805752</v>
      </c>
      <c r="F10" s="497">
        <v>1813000</v>
      </c>
      <c r="G10" s="497">
        <f>E10+F10</f>
        <v>50618752</v>
      </c>
      <c r="H10" s="497"/>
      <c r="I10" s="497">
        <f>G10+H10</f>
        <v>50618752</v>
      </c>
      <c r="J10" s="497"/>
      <c r="K10" s="497">
        <f>I10+J10</f>
        <v>50618752</v>
      </c>
      <c r="L10" s="497">
        <v>361042</v>
      </c>
      <c r="M10" s="497">
        <f>K10+L10</f>
        <v>50979794</v>
      </c>
      <c r="N10" s="497"/>
      <c r="O10" s="497">
        <f aca="true" t="shared" si="1" ref="O10:O15">M10+N10</f>
        <v>50979794</v>
      </c>
    </row>
    <row r="11" spans="1:15" s="581" customFormat="1" ht="12" customHeight="1">
      <c r="A11" s="580" t="s">
        <v>108</v>
      </c>
      <c r="B11" s="499" t="s">
        <v>263</v>
      </c>
      <c r="C11" s="500">
        <v>39125150</v>
      </c>
      <c r="D11" s="500"/>
      <c r="E11" s="497">
        <f>C11+D11</f>
        <v>39125150</v>
      </c>
      <c r="F11" s="500">
        <v>585000</v>
      </c>
      <c r="G11" s="497">
        <f>E11+F11</f>
        <v>39710150</v>
      </c>
      <c r="H11" s="500">
        <v>1619499</v>
      </c>
      <c r="I11" s="497">
        <f>G11+H11</f>
        <v>41329649</v>
      </c>
      <c r="J11" s="500"/>
      <c r="K11" s="497">
        <f>I11+J11</f>
        <v>41329649</v>
      </c>
      <c r="L11" s="500">
        <v>-421300</v>
      </c>
      <c r="M11" s="497">
        <f>K11+L11</f>
        <v>40908349</v>
      </c>
      <c r="N11" s="500"/>
      <c r="O11" s="497">
        <f t="shared" si="1"/>
        <v>40908349</v>
      </c>
    </row>
    <row r="12" spans="1:15" s="581" customFormat="1" ht="12" customHeight="1">
      <c r="A12" s="580" t="s">
        <v>109</v>
      </c>
      <c r="B12" s="499" t="s">
        <v>264</v>
      </c>
      <c r="C12" s="500">
        <v>38652269</v>
      </c>
      <c r="D12" s="500"/>
      <c r="E12" s="497">
        <f>C12+D12</f>
        <v>38652269</v>
      </c>
      <c r="F12" s="500">
        <v>2748193</v>
      </c>
      <c r="G12" s="497">
        <f>E12+F12</f>
        <v>41400462</v>
      </c>
      <c r="H12" s="500">
        <f>1410965-76000-1084-110720</f>
        <v>1223161</v>
      </c>
      <c r="I12" s="497">
        <f>G12+H12</f>
        <v>42623623</v>
      </c>
      <c r="J12" s="500"/>
      <c r="K12" s="497">
        <f>I12+J12</f>
        <v>42623623</v>
      </c>
      <c r="L12" s="500">
        <f>-475000-494263-335498+77498+221440</f>
        <v>-1005823</v>
      </c>
      <c r="M12" s="497">
        <f>K12+L12</f>
        <v>41617800</v>
      </c>
      <c r="N12" s="500"/>
      <c r="O12" s="497">
        <f t="shared" si="1"/>
        <v>41617800</v>
      </c>
    </row>
    <row r="13" spans="1:15" s="581" customFormat="1" ht="12" customHeight="1">
      <c r="A13" s="580" t="s">
        <v>110</v>
      </c>
      <c r="B13" s="499" t="s">
        <v>265</v>
      </c>
      <c r="C13" s="500">
        <v>2700720</v>
      </c>
      <c r="D13" s="500"/>
      <c r="E13" s="497">
        <f>C13+D13</f>
        <v>2700720</v>
      </c>
      <c r="F13" s="500">
        <v>92000</v>
      </c>
      <c r="G13" s="497">
        <f>E13+F13</f>
        <v>2792720</v>
      </c>
      <c r="H13" s="500">
        <v>359548</v>
      </c>
      <c r="I13" s="497">
        <f>G13+H13</f>
        <v>3152268</v>
      </c>
      <c r="J13" s="500"/>
      <c r="K13" s="497">
        <f>I13+J13</f>
        <v>3152268</v>
      </c>
      <c r="L13" s="500">
        <v>393088</v>
      </c>
      <c r="M13" s="497">
        <f>K13+L13</f>
        <v>3545356</v>
      </c>
      <c r="N13" s="500"/>
      <c r="O13" s="497">
        <f t="shared" si="1"/>
        <v>3545356</v>
      </c>
    </row>
    <row r="14" spans="1:15" s="581" customFormat="1" ht="12" customHeight="1">
      <c r="A14" s="580" t="s">
        <v>152</v>
      </c>
      <c r="B14" s="499" t="s">
        <v>533</v>
      </c>
      <c r="C14" s="582">
        <v>0</v>
      </c>
      <c r="D14" s="582">
        <v>0</v>
      </c>
      <c r="E14" s="497">
        <f>C14+D14</f>
        <v>0</v>
      </c>
      <c r="F14" s="582">
        <v>4909600</v>
      </c>
      <c r="G14" s="497">
        <f>E14+F14</f>
        <v>4909600</v>
      </c>
      <c r="H14" s="582"/>
      <c r="I14" s="497">
        <f>G14+H14</f>
        <v>4909600</v>
      </c>
      <c r="J14" s="582"/>
      <c r="K14" s="497">
        <f>I14+J14</f>
        <v>4909600</v>
      </c>
      <c r="L14" s="582"/>
      <c r="M14" s="497">
        <f>K14+L14</f>
        <v>4909600</v>
      </c>
      <c r="N14" s="582"/>
      <c r="O14" s="497">
        <f t="shared" si="1"/>
        <v>4909600</v>
      </c>
    </row>
    <row r="15" spans="1:15" s="579" customFormat="1" ht="12" customHeight="1" thickBot="1">
      <c r="A15" s="583" t="s">
        <v>111</v>
      </c>
      <c r="B15" s="502" t="s">
        <v>534</v>
      </c>
      <c r="C15" s="723"/>
      <c r="D15" s="723"/>
      <c r="E15" s="723"/>
      <c r="F15" s="723"/>
      <c r="G15" s="723"/>
      <c r="H15" s="723"/>
      <c r="I15" s="723"/>
      <c r="J15" s="723"/>
      <c r="K15" s="723"/>
      <c r="L15" s="723"/>
      <c r="M15" s="723"/>
      <c r="N15" s="723">
        <v>254503</v>
      </c>
      <c r="O15" s="497">
        <f t="shared" si="1"/>
        <v>254503</v>
      </c>
    </row>
    <row r="16" spans="1:15" s="579" customFormat="1" ht="12" customHeight="1" thickBot="1">
      <c r="A16" s="523" t="s">
        <v>21</v>
      </c>
      <c r="B16" s="503" t="s">
        <v>268</v>
      </c>
      <c r="C16" s="493">
        <f aca="true" t="shared" si="2" ref="C16:O16">+C17+C18+C19+C20+C21</f>
        <v>15820260</v>
      </c>
      <c r="D16" s="493">
        <f t="shared" si="2"/>
        <v>0</v>
      </c>
      <c r="E16" s="493">
        <f t="shared" si="2"/>
        <v>15820260</v>
      </c>
      <c r="F16" s="493">
        <f t="shared" si="2"/>
        <v>5014708</v>
      </c>
      <c r="G16" s="493">
        <f t="shared" si="2"/>
        <v>20834968</v>
      </c>
      <c r="H16" s="493">
        <f t="shared" si="2"/>
        <v>3438725</v>
      </c>
      <c r="I16" s="493">
        <f t="shared" si="2"/>
        <v>24273693</v>
      </c>
      <c r="J16" s="493">
        <f t="shared" si="2"/>
        <v>590337</v>
      </c>
      <c r="K16" s="493">
        <f t="shared" si="2"/>
        <v>24864030</v>
      </c>
      <c r="L16" s="493">
        <f t="shared" si="2"/>
        <v>964547</v>
      </c>
      <c r="M16" s="493">
        <f t="shared" si="2"/>
        <v>25828577</v>
      </c>
      <c r="N16" s="493">
        <f t="shared" si="2"/>
        <v>0</v>
      </c>
      <c r="O16" s="493">
        <f t="shared" si="2"/>
        <v>25828577</v>
      </c>
    </row>
    <row r="17" spans="1:15" s="579" customFormat="1" ht="12" customHeight="1">
      <c r="A17" s="578" t="s">
        <v>113</v>
      </c>
      <c r="B17" s="496" t="s">
        <v>269</v>
      </c>
      <c r="C17" s="497"/>
      <c r="D17" s="497"/>
      <c r="E17" s="497"/>
      <c r="F17" s="497"/>
      <c r="G17" s="497"/>
      <c r="H17" s="497"/>
      <c r="I17" s="497"/>
      <c r="J17" s="497"/>
      <c r="K17" s="497"/>
      <c r="L17" s="497"/>
      <c r="M17" s="497"/>
      <c r="N17" s="497"/>
      <c r="O17" s="497"/>
    </row>
    <row r="18" spans="1:15" s="579" customFormat="1" ht="12" customHeight="1">
      <c r="A18" s="580" t="s">
        <v>114</v>
      </c>
      <c r="B18" s="499" t="s">
        <v>270</v>
      </c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</row>
    <row r="19" spans="1:15" s="579" customFormat="1" ht="12" customHeight="1">
      <c r="A19" s="580" t="s">
        <v>115</v>
      </c>
      <c r="B19" s="499" t="s">
        <v>493</v>
      </c>
      <c r="C19" s="500"/>
      <c r="D19" s="500"/>
      <c r="E19" s="500"/>
      <c r="F19" s="500"/>
      <c r="G19" s="500"/>
      <c r="H19" s="500"/>
      <c r="I19" s="500"/>
      <c r="J19" s="500"/>
      <c r="K19" s="500"/>
      <c r="L19" s="500"/>
      <c r="M19" s="500"/>
      <c r="N19" s="500"/>
      <c r="O19" s="500"/>
    </row>
    <row r="20" spans="1:15" s="579" customFormat="1" ht="12" customHeight="1">
      <c r="A20" s="580" t="s">
        <v>116</v>
      </c>
      <c r="B20" s="499" t="s">
        <v>494</v>
      </c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s="579" customFormat="1" ht="12" customHeight="1">
      <c r="A21" s="580" t="s">
        <v>117</v>
      </c>
      <c r="B21" s="499" t="s">
        <v>271</v>
      </c>
      <c r="C21" s="500">
        <v>15820260</v>
      </c>
      <c r="D21" s="500"/>
      <c r="E21" s="500">
        <f>C21+D21</f>
        <v>15820260</v>
      </c>
      <c r="F21" s="500">
        <v>5014708</v>
      </c>
      <c r="G21" s="500">
        <f>E21+F21</f>
        <v>20834968</v>
      </c>
      <c r="H21" s="500">
        <f>-367500+270000+2536225+1000000</f>
        <v>3438725</v>
      </c>
      <c r="I21" s="500">
        <f>G21+H21</f>
        <v>24273693</v>
      </c>
      <c r="J21" s="500">
        <v>590337</v>
      </c>
      <c r="K21" s="500">
        <f>I21+J21</f>
        <v>24864030</v>
      </c>
      <c r="L21" s="500">
        <v>964547</v>
      </c>
      <c r="M21" s="500">
        <f>K21+L21</f>
        <v>25828577</v>
      </c>
      <c r="N21" s="500"/>
      <c r="O21" s="500">
        <f>M21+N21</f>
        <v>25828577</v>
      </c>
    </row>
    <row r="22" spans="1:15" s="581" customFormat="1" ht="12" customHeight="1" thickBot="1">
      <c r="A22" s="583" t="s">
        <v>126</v>
      </c>
      <c r="B22" s="502" t="s">
        <v>272</v>
      </c>
      <c r="C22" s="504"/>
      <c r="D22" s="504"/>
      <c r="E22" s="504"/>
      <c r="F22" s="504"/>
      <c r="G22" s="504"/>
      <c r="H22" s="504"/>
      <c r="I22" s="504"/>
      <c r="J22" s="504"/>
      <c r="K22" s="504"/>
      <c r="L22" s="504"/>
      <c r="M22" s="504"/>
      <c r="N22" s="504"/>
      <c r="O22" s="504"/>
    </row>
    <row r="23" spans="1:15" s="581" customFormat="1" ht="12" customHeight="1" thickBot="1">
      <c r="A23" s="523" t="s">
        <v>22</v>
      </c>
      <c r="B23" s="492" t="s">
        <v>273</v>
      </c>
      <c r="C23" s="493">
        <f aca="true" t="shared" si="3" ref="C23:O23">+C24+C25+C26+C27+C28</f>
        <v>9800000</v>
      </c>
      <c r="D23" s="493">
        <f t="shared" si="3"/>
        <v>0</v>
      </c>
      <c r="E23" s="493">
        <f t="shared" si="3"/>
        <v>9800000</v>
      </c>
      <c r="F23" s="493">
        <f t="shared" si="3"/>
        <v>2926115</v>
      </c>
      <c r="G23" s="493">
        <f t="shared" si="3"/>
        <v>12726115</v>
      </c>
      <c r="H23" s="493">
        <f t="shared" si="3"/>
        <v>12746471</v>
      </c>
      <c r="I23" s="493">
        <f t="shared" si="3"/>
        <v>25472586</v>
      </c>
      <c r="J23" s="493">
        <f t="shared" si="3"/>
        <v>4999863</v>
      </c>
      <c r="K23" s="493">
        <f t="shared" si="3"/>
        <v>30472449</v>
      </c>
      <c r="L23" s="493">
        <f t="shared" si="3"/>
        <v>40819387</v>
      </c>
      <c r="M23" s="493">
        <f t="shared" si="3"/>
        <v>71291836</v>
      </c>
      <c r="N23" s="493">
        <f t="shared" si="3"/>
        <v>0</v>
      </c>
      <c r="O23" s="493">
        <f t="shared" si="3"/>
        <v>71291836</v>
      </c>
    </row>
    <row r="24" spans="1:15" s="581" customFormat="1" ht="12" customHeight="1">
      <c r="A24" s="578" t="s">
        <v>96</v>
      </c>
      <c r="B24" s="496" t="s">
        <v>274</v>
      </c>
      <c r="C24" s="497">
        <v>0</v>
      </c>
      <c r="D24" s="497">
        <v>0</v>
      </c>
      <c r="E24" s="497">
        <v>0</v>
      </c>
      <c r="F24" s="497">
        <v>0</v>
      </c>
      <c r="G24" s="497">
        <v>0</v>
      </c>
      <c r="H24" s="497">
        <v>0</v>
      </c>
      <c r="I24" s="497">
        <v>0</v>
      </c>
      <c r="J24" s="497">
        <v>0</v>
      </c>
      <c r="K24" s="497">
        <v>0</v>
      </c>
      <c r="L24" s="497">
        <v>0</v>
      </c>
      <c r="M24" s="497">
        <v>0</v>
      </c>
      <c r="N24" s="497">
        <v>0</v>
      </c>
      <c r="O24" s="497">
        <v>0</v>
      </c>
    </row>
    <row r="25" spans="1:15" s="579" customFormat="1" ht="12" customHeight="1">
      <c r="A25" s="580" t="s">
        <v>97</v>
      </c>
      <c r="B25" s="499" t="s">
        <v>275</v>
      </c>
      <c r="C25" s="500"/>
      <c r="D25" s="500"/>
      <c r="E25" s="500"/>
      <c r="F25" s="500"/>
      <c r="G25" s="500"/>
      <c r="H25" s="500"/>
      <c r="I25" s="500"/>
      <c r="J25" s="500"/>
      <c r="K25" s="500"/>
      <c r="L25" s="500"/>
      <c r="M25" s="500"/>
      <c r="N25" s="500"/>
      <c r="O25" s="500"/>
    </row>
    <row r="26" spans="1:15" s="581" customFormat="1" ht="12" customHeight="1">
      <c r="A26" s="580" t="s">
        <v>98</v>
      </c>
      <c r="B26" s="499" t="s">
        <v>495</v>
      </c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</row>
    <row r="27" spans="1:15" s="581" customFormat="1" ht="12" customHeight="1">
      <c r="A27" s="580" t="s">
        <v>99</v>
      </c>
      <c r="B27" s="499" t="s">
        <v>496</v>
      </c>
      <c r="C27" s="500"/>
      <c r="D27" s="500"/>
      <c r="E27" s="500"/>
      <c r="F27" s="500"/>
      <c r="G27" s="500"/>
      <c r="H27" s="500"/>
      <c r="I27" s="500"/>
      <c r="J27" s="500"/>
      <c r="K27" s="500"/>
      <c r="L27" s="500"/>
      <c r="M27" s="500"/>
      <c r="N27" s="500"/>
      <c r="O27" s="500"/>
    </row>
    <row r="28" spans="1:15" s="581" customFormat="1" ht="12" customHeight="1">
      <c r="A28" s="580" t="s">
        <v>175</v>
      </c>
      <c r="B28" s="499" t="s">
        <v>276</v>
      </c>
      <c r="C28" s="500">
        <v>9800000</v>
      </c>
      <c r="D28" s="500"/>
      <c r="E28" s="500">
        <f>C28+D28</f>
        <v>9800000</v>
      </c>
      <c r="F28" s="500">
        <v>2926115</v>
      </c>
      <c r="G28" s="500">
        <f>E28+F28</f>
        <v>12726115</v>
      </c>
      <c r="H28" s="500">
        <v>12746471</v>
      </c>
      <c r="I28" s="500">
        <f>G28+H28</f>
        <v>25472586</v>
      </c>
      <c r="J28" s="500">
        <v>4999863</v>
      </c>
      <c r="K28" s="500">
        <f>I28+J28</f>
        <v>30472449</v>
      </c>
      <c r="L28" s="500">
        <v>40819387</v>
      </c>
      <c r="M28" s="500">
        <f>K28+L28</f>
        <v>71291836</v>
      </c>
      <c r="N28" s="500"/>
      <c r="O28" s="500">
        <f>M28+N28</f>
        <v>71291836</v>
      </c>
    </row>
    <row r="29" spans="1:15" s="581" customFormat="1" ht="12" customHeight="1" thickBot="1">
      <c r="A29" s="583" t="s">
        <v>176</v>
      </c>
      <c r="B29" s="502" t="s">
        <v>277</v>
      </c>
      <c r="C29" s="504"/>
      <c r="D29" s="504"/>
      <c r="E29" s="504"/>
      <c r="F29" s="504"/>
      <c r="G29" s="504"/>
      <c r="H29" s="504"/>
      <c r="I29" s="504"/>
      <c r="J29" s="504"/>
      <c r="K29" s="504"/>
      <c r="L29" s="504"/>
      <c r="M29" s="504"/>
      <c r="N29" s="504"/>
      <c r="O29" s="504"/>
    </row>
    <row r="30" spans="1:15" s="581" customFormat="1" ht="12" customHeight="1" thickBot="1">
      <c r="A30" s="523" t="s">
        <v>177</v>
      </c>
      <c r="B30" s="492" t="s">
        <v>278</v>
      </c>
      <c r="C30" s="505">
        <f aca="true" t="shared" si="4" ref="C30:O30">+C31+C34+C35+C36</f>
        <v>60200000</v>
      </c>
      <c r="D30" s="505">
        <f t="shared" si="4"/>
        <v>0</v>
      </c>
      <c r="E30" s="505">
        <f t="shared" si="4"/>
        <v>60200000</v>
      </c>
      <c r="F30" s="505">
        <f t="shared" si="4"/>
        <v>0</v>
      </c>
      <c r="G30" s="505">
        <f t="shared" si="4"/>
        <v>60200000</v>
      </c>
      <c r="H30" s="505">
        <f t="shared" si="4"/>
        <v>0</v>
      </c>
      <c r="I30" s="505">
        <f t="shared" si="4"/>
        <v>60200000</v>
      </c>
      <c r="J30" s="505">
        <f t="shared" si="4"/>
        <v>11255764</v>
      </c>
      <c r="K30" s="505">
        <f t="shared" si="4"/>
        <v>71455764</v>
      </c>
      <c r="L30" s="505">
        <f t="shared" si="4"/>
        <v>24111367</v>
      </c>
      <c r="M30" s="505">
        <f t="shared" si="4"/>
        <v>95567131</v>
      </c>
      <c r="N30" s="505">
        <f t="shared" si="4"/>
        <v>0</v>
      </c>
      <c r="O30" s="505">
        <f t="shared" si="4"/>
        <v>95567131</v>
      </c>
    </row>
    <row r="31" spans="1:15" s="581" customFormat="1" ht="12" customHeight="1">
      <c r="A31" s="578" t="s">
        <v>279</v>
      </c>
      <c r="B31" s="496" t="s">
        <v>285</v>
      </c>
      <c r="C31" s="506">
        <f aca="true" t="shared" si="5" ref="C31:O31">C32+C33</f>
        <v>50000000</v>
      </c>
      <c r="D31" s="506">
        <f t="shared" si="5"/>
        <v>0</v>
      </c>
      <c r="E31" s="506">
        <f t="shared" si="5"/>
        <v>50000000</v>
      </c>
      <c r="F31" s="506">
        <f t="shared" si="5"/>
        <v>0</v>
      </c>
      <c r="G31" s="506">
        <f t="shared" si="5"/>
        <v>50000000</v>
      </c>
      <c r="H31" s="506">
        <f t="shared" si="5"/>
        <v>0</v>
      </c>
      <c r="I31" s="506">
        <f t="shared" si="5"/>
        <v>50000000</v>
      </c>
      <c r="J31" s="506">
        <f t="shared" si="5"/>
        <v>11255764</v>
      </c>
      <c r="K31" s="506">
        <f t="shared" si="5"/>
        <v>61255764</v>
      </c>
      <c r="L31" s="506">
        <f t="shared" si="5"/>
        <v>23228887</v>
      </c>
      <c r="M31" s="506">
        <f t="shared" si="5"/>
        <v>84484651</v>
      </c>
      <c r="N31" s="506">
        <f t="shared" si="5"/>
        <v>0</v>
      </c>
      <c r="O31" s="506">
        <f t="shared" si="5"/>
        <v>84484651</v>
      </c>
    </row>
    <row r="32" spans="1:15" s="581" customFormat="1" ht="12" customHeight="1">
      <c r="A32" s="580" t="s">
        <v>280</v>
      </c>
      <c r="B32" s="499" t="s">
        <v>286</v>
      </c>
      <c r="C32" s="500">
        <v>10000000</v>
      </c>
      <c r="D32" s="500"/>
      <c r="E32" s="500">
        <f>C32+D32</f>
        <v>10000000</v>
      </c>
      <c r="F32" s="500"/>
      <c r="G32" s="500">
        <f>E32+F32</f>
        <v>10000000</v>
      </c>
      <c r="H32" s="500"/>
      <c r="I32" s="500">
        <f>G32+H32</f>
        <v>10000000</v>
      </c>
      <c r="J32" s="500"/>
      <c r="K32" s="500">
        <f>I32+J32</f>
        <v>10000000</v>
      </c>
      <c r="L32" s="500">
        <v>445250</v>
      </c>
      <c r="M32" s="500">
        <f>K32+L32</f>
        <v>10445250</v>
      </c>
      <c r="N32" s="500"/>
      <c r="O32" s="500">
        <f>M32+N32</f>
        <v>10445250</v>
      </c>
    </row>
    <row r="33" spans="1:15" s="581" customFormat="1" ht="12" customHeight="1">
      <c r="A33" s="580" t="s">
        <v>281</v>
      </c>
      <c r="B33" s="499" t="s">
        <v>287</v>
      </c>
      <c r="C33" s="500">
        <v>40000000</v>
      </c>
      <c r="D33" s="500"/>
      <c r="E33" s="500">
        <f>C33+D33</f>
        <v>40000000</v>
      </c>
      <c r="F33" s="500"/>
      <c r="G33" s="500">
        <f>E33+F33</f>
        <v>40000000</v>
      </c>
      <c r="H33" s="500"/>
      <c r="I33" s="500">
        <f>G33+H33</f>
        <v>40000000</v>
      </c>
      <c r="J33" s="500">
        <v>11255764</v>
      </c>
      <c r="K33" s="500">
        <f>I33+J33</f>
        <v>51255764</v>
      </c>
      <c r="L33" s="500">
        <f>15148016+7635621</f>
        <v>22783637</v>
      </c>
      <c r="M33" s="500">
        <f>K33+L33</f>
        <v>74039401</v>
      </c>
      <c r="N33" s="500"/>
      <c r="O33" s="500">
        <f>M33+N33</f>
        <v>74039401</v>
      </c>
    </row>
    <row r="34" spans="1:15" s="581" customFormat="1" ht="12" customHeight="1">
      <c r="A34" s="580" t="s">
        <v>282</v>
      </c>
      <c r="B34" s="499" t="s">
        <v>288</v>
      </c>
      <c r="C34" s="500">
        <v>4000000</v>
      </c>
      <c r="D34" s="500"/>
      <c r="E34" s="500">
        <f>C34+D34</f>
        <v>4000000</v>
      </c>
      <c r="F34" s="500"/>
      <c r="G34" s="500">
        <f>E34+F34</f>
        <v>4000000</v>
      </c>
      <c r="H34" s="500"/>
      <c r="I34" s="500">
        <f>G34+H34</f>
        <v>4000000</v>
      </c>
      <c r="J34" s="500"/>
      <c r="K34" s="500">
        <f>I34+J34</f>
        <v>4000000</v>
      </c>
      <c r="L34" s="500">
        <v>1166439</v>
      </c>
      <c r="M34" s="500">
        <f>K34+L34</f>
        <v>5166439</v>
      </c>
      <c r="N34" s="500"/>
      <c r="O34" s="500">
        <f>M34+N34</f>
        <v>5166439</v>
      </c>
    </row>
    <row r="35" spans="1:15" s="581" customFormat="1" ht="12" customHeight="1">
      <c r="A35" s="580" t="s">
        <v>283</v>
      </c>
      <c r="B35" s="499" t="s">
        <v>289</v>
      </c>
      <c r="C35" s="500">
        <v>3000000</v>
      </c>
      <c r="D35" s="500"/>
      <c r="E35" s="500">
        <f>C35+D35</f>
        <v>3000000</v>
      </c>
      <c r="F35" s="500"/>
      <c r="G35" s="500">
        <f>E35+F35</f>
        <v>3000000</v>
      </c>
      <c r="H35" s="500"/>
      <c r="I35" s="500">
        <f>G35+H35</f>
        <v>3000000</v>
      </c>
      <c r="J35" s="500"/>
      <c r="K35" s="500">
        <f>I35+J35</f>
        <v>3000000</v>
      </c>
      <c r="L35" s="500">
        <v>-717900</v>
      </c>
      <c r="M35" s="500">
        <f>K35+L35</f>
        <v>2282100</v>
      </c>
      <c r="N35" s="500"/>
      <c r="O35" s="500">
        <f>M35+N35</f>
        <v>2282100</v>
      </c>
    </row>
    <row r="36" spans="1:15" s="581" customFormat="1" ht="12" customHeight="1" thickBot="1">
      <c r="A36" s="583" t="s">
        <v>284</v>
      </c>
      <c r="B36" s="502" t="s">
        <v>290</v>
      </c>
      <c r="C36" s="504">
        <v>3200000</v>
      </c>
      <c r="D36" s="504"/>
      <c r="E36" s="500">
        <f>C36+D36</f>
        <v>3200000</v>
      </c>
      <c r="F36" s="504"/>
      <c r="G36" s="500">
        <f>E36+F36</f>
        <v>3200000</v>
      </c>
      <c r="H36" s="504"/>
      <c r="I36" s="500">
        <f>G36+H36</f>
        <v>3200000</v>
      </c>
      <c r="J36" s="504"/>
      <c r="K36" s="500">
        <f>I36+J36</f>
        <v>3200000</v>
      </c>
      <c r="L36" s="504">
        <v>433941</v>
      </c>
      <c r="M36" s="500">
        <f>K36+L36</f>
        <v>3633941</v>
      </c>
      <c r="N36" s="504"/>
      <c r="O36" s="500">
        <f>M36+N36</f>
        <v>3633941</v>
      </c>
    </row>
    <row r="37" spans="1:15" s="581" customFormat="1" ht="12" customHeight="1" thickBot="1">
      <c r="A37" s="523" t="s">
        <v>24</v>
      </c>
      <c r="B37" s="492" t="s">
        <v>291</v>
      </c>
      <c r="C37" s="493">
        <f aca="true" t="shared" si="6" ref="C37:O37">SUM(C38:C47)</f>
        <v>15912876</v>
      </c>
      <c r="D37" s="493">
        <f t="shared" si="6"/>
        <v>0</v>
      </c>
      <c r="E37" s="493">
        <f t="shared" si="6"/>
        <v>15912876</v>
      </c>
      <c r="F37" s="493">
        <f t="shared" si="6"/>
        <v>0</v>
      </c>
      <c r="G37" s="493">
        <f t="shared" si="6"/>
        <v>15912876</v>
      </c>
      <c r="H37" s="493">
        <f t="shared" si="6"/>
        <v>0</v>
      </c>
      <c r="I37" s="493">
        <f t="shared" si="6"/>
        <v>15912876</v>
      </c>
      <c r="J37" s="493">
        <f t="shared" si="6"/>
        <v>0</v>
      </c>
      <c r="K37" s="493">
        <f t="shared" si="6"/>
        <v>15912876</v>
      </c>
      <c r="L37" s="493">
        <f t="shared" si="6"/>
        <v>7366113</v>
      </c>
      <c r="M37" s="493">
        <f t="shared" si="6"/>
        <v>23278989</v>
      </c>
      <c r="N37" s="493">
        <f t="shared" si="6"/>
        <v>0</v>
      </c>
      <c r="O37" s="493">
        <f t="shared" si="6"/>
        <v>23278989</v>
      </c>
    </row>
    <row r="38" spans="1:15" s="581" customFormat="1" ht="12" customHeight="1">
      <c r="A38" s="578" t="s">
        <v>100</v>
      </c>
      <c r="B38" s="496" t="s">
        <v>294</v>
      </c>
      <c r="C38" s="497"/>
      <c r="D38" s="497"/>
      <c r="E38" s="497"/>
      <c r="F38" s="497"/>
      <c r="G38" s="497"/>
      <c r="H38" s="497"/>
      <c r="I38" s="497"/>
      <c r="J38" s="497"/>
      <c r="K38" s="497"/>
      <c r="L38" s="497"/>
      <c r="M38" s="497"/>
      <c r="N38" s="497"/>
      <c r="O38" s="497"/>
    </row>
    <row r="39" spans="1:15" s="581" customFormat="1" ht="12" customHeight="1">
      <c r="A39" s="580" t="s">
        <v>101</v>
      </c>
      <c r="B39" s="499" t="s">
        <v>295</v>
      </c>
      <c r="C39" s="500">
        <v>7527571</v>
      </c>
      <c r="D39" s="500"/>
      <c r="E39" s="500">
        <f>C39+D39</f>
        <v>7527571</v>
      </c>
      <c r="F39" s="500"/>
      <c r="G39" s="500">
        <f>E39+F39</f>
        <v>7527571</v>
      </c>
      <c r="H39" s="500"/>
      <c r="I39" s="500">
        <f>G39+H39</f>
        <v>7527571</v>
      </c>
      <c r="J39" s="500"/>
      <c r="K39" s="500">
        <f>I39+J39</f>
        <v>7527571</v>
      </c>
      <c r="L39" s="500">
        <v>3714872</v>
      </c>
      <c r="M39" s="500">
        <f>K39+L39</f>
        <v>11242443</v>
      </c>
      <c r="N39" s="500"/>
      <c r="O39" s="500">
        <f>M39+N39</f>
        <v>11242443</v>
      </c>
    </row>
    <row r="40" spans="1:15" s="581" customFormat="1" ht="12" customHeight="1">
      <c r="A40" s="580" t="s">
        <v>102</v>
      </c>
      <c r="B40" s="499" t="s">
        <v>296</v>
      </c>
      <c r="C40" s="500">
        <v>1100000</v>
      </c>
      <c r="D40" s="500"/>
      <c r="E40" s="500">
        <f aca="true" t="shared" si="7" ref="E40:E47">C40+D40</f>
        <v>1100000</v>
      </c>
      <c r="F40" s="500"/>
      <c r="G40" s="500">
        <f aca="true" t="shared" si="8" ref="G40:G47">E40+F40</f>
        <v>1100000</v>
      </c>
      <c r="H40" s="500"/>
      <c r="I40" s="500">
        <f aca="true" t="shared" si="9" ref="I40:I47">G40+H40</f>
        <v>1100000</v>
      </c>
      <c r="J40" s="500"/>
      <c r="K40" s="500">
        <f aca="true" t="shared" si="10" ref="K40:K47">I40+J40</f>
        <v>1100000</v>
      </c>
      <c r="L40" s="500">
        <v>750178</v>
      </c>
      <c r="M40" s="500">
        <f aca="true" t="shared" si="11" ref="M40:M47">K40+L40</f>
        <v>1850178</v>
      </c>
      <c r="N40" s="500"/>
      <c r="O40" s="500">
        <f aca="true" t="shared" si="12" ref="O40:O47">M40+N40</f>
        <v>1850178</v>
      </c>
    </row>
    <row r="41" spans="1:15" s="581" customFormat="1" ht="12" customHeight="1">
      <c r="A41" s="580" t="s">
        <v>179</v>
      </c>
      <c r="B41" s="499" t="s">
        <v>297</v>
      </c>
      <c r="C41" s="500">
        <v>4775711</v>
      </c>
      <c r="D41" s="500"/>
      <c r="E41" s="500">
        <f t="shared" si="7"/>
        <v>4775711</v>
      </c>
      <c r="F41" s="500"/>
      <c r="G41" s="500">
        <f t="shared" si="8"/>
        <v>4775711</v>
      </c>
      <c r="H41" s="500"/>
      <c r="I41" s="500">
        <f t="shared" si="9"/>
        <v>4775711</v>
      </c>
      <c r="J41" s="500"/>
      <c r="K41" s="500">
        <f t="shared" si="10"/>
        <v>4775711</v>
      </c>
      <c r="L41" s="500">
        <v>-1177212</v>
      </c>
      <c r="M41" s="500">
        <f t="shared" si="11"/>
        <v>3598499</v>
      </c>
      <c r="N41" s="500"/>
      <c r="O41" s="500">
        <f t="shared" si="12"/>
        <v>3598499</v>
      </c>
    </row>
    <row r="42" spans="1:15" s="581" customFormat="1" ht="12" customHeight="1">
      <c r="A42" s="580" t="s">
        <v>180</v>
      </c>
      <c r="B42" s="499" t="s">
        <v>298</v>
      </c>
      <c r="C42" s="500">
        <v>0</v>
      </c>
      <c r="D42" s="500"/>
      <c r="E42" s="500">
        <f t="shared" si="7"/>
        <v>0</v>
      </c>
      <c r="F42" s="500"/>
      <c r="G42" s="500">
        <f t="shared" si="8"/>
        <v>0</v>
      </c>
      <c r="H42" s="500"/>
      <c r="I42" s="500">
        <f t="shared" si="9"/>
        <v>0</v>
      </c>
      <c r="J42" s="500"/>
      <c r="K42" s="500">
        <f t="shared" si="10"/>
        <v>0</v>
      </c>
      <c r="L42" s="500">
        <v>274306</v>
      </c>
      <c r="M42" s="500">
        <f t="shared" si="11"/>
        <v>274306</v>
      </c>
      <c r="N42" s="500"/>
      <c r="O42" s="500">
        <f t="shared" si="12"/>
        <v>274306</v>
      </c>
    </row>
    <row r="43" spans="1:15" s="581" customFormat="1" ht="12" customHeight="1">
      <c r="A43" s="580" t="s">
        <v>181</v>
      </c>
      <c r="B43" s="499" t="s">
        <v>299</v>
      </c>
      <c r="C43" s="500">
        <v>1909594</v>
      </c>
      <c r="D43" s="500"/>
      <c r="E43" s="500">
        <f t="shared" si="7"/>
        <v>1909594</v>
      </c>
      <c r="F43" s="500"/>
      <c r="G43" s="500">
        <f t="shared" si="8"/>
        <v>1909594</v>
      </c>
      <c r="H43" s="500"/>
      <c r="I43" s="500">
        <f t="shared" si="9"/>
        <v>1909594</v>
      </c>
      <c r="J43" s="500"/>
      <c r="K43" s="500">
        <f t="shared" si="10"/>
        <v>1909594</v>
      </c>
      <c r="L43" s="500">
        <v>565770</v>
      </c>
      <c r="M43" s="500">
        <f t="shared" si="11"/>
        <v>2475364</v>
      </c>
      <c r="N43" s="500"/>
      <c r="O43" s="500">
        <f t="shared" si="12"/>
        <v>2475364</v>
      </c>
    </row>
    <row r="44" spans="1:15" s="581" customFormat="1" ht="12" customHeight="1">
      <c r="A44" s="580" t="s">
        <v>182</v>
      </c>
      <c r="B44" s="499" t="s">
        <v>300</v>
      </c>
      <c r="C44" s="500"/>
      <c r="D44" s="500"/>
      <c r="E44" s="500">
        <f t="shared" si="7"/>
        <v>0</v>
      </c>
      <c r="F44" s="500"/>
      <c r="G44" s="500">
        <f t="shared" si="8"/>
        <v>0</v>
      </c>
      <c r="H44" s="500"/>
      <c r="I44" s="500">
        <f t="shared" si="9"/>
        <v>0</v>
      </c>
      <c r="J44" s="500"/>
      <c r="K44" s="500">
        <f t="shared" si="10"/>
        <v>0</v>
      </c>
      <c r="L44" s="500"/>
      <c r="M44" s="500">
        <f t="shared" si="11"/>
        <v>0</v>
      </c>
      <c r="N44" s="500"/>
      <c r="O44" s="500">
        <f t="shared" si="12"/>
        <v>0</v>
      </c>
    </row>
    <row r="45" spans="1:15" s="581" customFormat="1" ht="12" customHeight="1">
      <c r="A45" s="580" t="s">
        <v>183</v>
      </c>
      <c r="B45" s="499" t="s">
        <v>301</v>
      </c>
      <c r="C45" s="500">
        <v>600000</v>
      </c>
      <c r="D45" s="500"/>
      <c r="E45" s="500">
        <f t="shared" si="7"/>
        <v>600000</v>
      </c>
      <c r="F45" s="500"/>
      <c r="G45" s="500">
        <f t="shared" si="8"/>
        <v>600000</v>
      </c>
      <c r="H45" s="500"/>
      <c r="I45" s="500">
        <f t="shared" si="9"/>
        <v>600000</v>
      </c>
      <c r="J45" s="500"/>
      <c r="K45" s="500">
        <f t="shared" si="10"/>
        <v>600000</v>
      </c>
      <c r="L45" s="500"/>
      <c r="M45" s="500">
        <f t="shared" si="11"/>
        <v>600000</v>
      </c>
      <c r="N45" s="500"/>
      <c r="O45" s="500">
        <f t="shared" si="12"/>
        <v>600000</v>
      </c>
    </row>
    <row r="46" spans="1:15" s="581" customFormat="1" ht="12" customHeight="1">
      <c r="A46" s="580" t="s">
        <v>292</v>
      </c>
      <c r="B46" s="499" t="s">
        <v>302</v>
      </c>
      <c r="C46" s="507"/>
      <c r="D46" s="507"/>
      <c r="E46" s="500">
        <f t="shared" si="7"/>
        <v>0</v>
      </c>
      <c r="F46" s="507"/>
      <c r="G46" s="500">
        <f t="shared" si="8"/>
        <v>0</v>
      </c>
      <c r="H46" s="507"/>
      <c r="I46" s="500">
        <f t="shared" si="9"/>
        <v>0</v>
      </c>
      <c r="J46" s="507"/>
      <c r="K46" s="500">
        <f t="shared" si="10"/>
        <v>0</v>
      </c>
      <c r="L46" s="507"/>
      <c r="M46" s="500">
        <f t="shared" si="11"/>
        <v>0</v>
      </c>
      <c r="N46" s="507"/>
      <c r="O46" s="500">
        <f t="shared" si="12"/>
        <v>0</v>
      </c>
    </row>
    <row r="47" spans="1:15" s="581" customFormat="1" ht="12" customHeight="1" thickBot="1">
      <c r="A47" s="583" t="s">
        <v>293</v>
      </c>
      <c r="B47" s="502" t="s">
        <v>303</v>
      </c>
      <c r="C47" s="508">
        <v>0</v>
      </c>
      <c r="D47" s="508">
        <v>0</v>
      </c>
      <c r="E47" s="500">
        <f t="shared" si="7"/>
        <v>0</v>
      </c>
      <c r="F47" s="508">
        <v>0</v>
      </c>
      <c r="G47" s="500">
        <f t="shared" si="8"/>
        <v>0</v>
      </c>
      <c r="H47" s="508">
        <v>0</v>
      </c>
      <c r="I47" s="500">
        <f t="shared" si="9"/>
        <v>0</v>
      </c>
      <c r="J47" s="508">
        <v>0</v>
      </c>
      <c r="K47" s="500">
        <f t="shared" si="10"/>
        <v>0</v>
      </c>
      <c r="L47" s="508">
        <v>3238199</v>
      </c>
      <c r="M47" s="500">
        <f t="shared" si="11"/>
        <v>3238199</v>
      </c>
      <c r="N47" s="508"/>
      <c r="O47" s="500">
        <f t="shared" si="12"/>
        <v>3238199</v>
      </c>
    </row>
    <row r="48" spans="1:15" s="581" customFormat="1" ht="12" customHeight="1" thickBot="1">
      <c r="A48" s="523" t="s">
        <v>25</v>
      </c>
      <c r="B48" s="492" t="s">
        <v>304</v>
      </c>
      <c r="C48" s="493">
        <f aca="true" t="shared" si="13" ref="C48:O48">SUM(C49:C53)</f>
        <v>0</v>
      </c>
      <c r="D48" s="493">
        <f t="shared" si="13"/>
        <v>0</v>
      </c>
      <c r="E48" s="493">
        <f t="shared" si="13"/>
        <v>0</v>
      </c>
      <c r="F48" s="493">
        <f t="shared" si="13"/>
        <v>0</v>
      </c>
      <c r="G48" s="493">
        <f t="shared" si="13"/>
        <v>0</v>
      </c>
      <c r="H48" s="493">
        <f t="shared" si="13"/>
        <v>0</v>
      </c>
      <c r="I48" s="493">
        <f t="shared" si="13"/>
        <v>0</v>
      </c>
      <c r="J48" s="493">
        <f t="shared" si="13"/>
        <v>0</v>
      </c>
      <c r="K48" s="493">
        <f t="shared" si="13"/>
        <v>0</v>
      </c>
      <c r="L48" s="493">
        <f t="shared" si="13"/>
        <v>14000000</v>
      </c>
      <c r="M48" s="493">
        <f t="shared" si="13"/>
        <v>14000000</v>
      </c>
      <c r="N48" s="493">
        <f t="shared" si="13"/>
        <v>0</v>
      </c>
      <c r="O48" s="493">
        <f t="shared" si="13"/>
        <v>14000000</v>
      </c>
    </row>
    <row r="49" spans="1:15" s="581" customFormat="1" ht="12" customHeight="1">
      <c r="A49" s="578" t="s">
        <v>103</v>
      </c>
      <c r="B49" s="496" t="s">
        <v>308</v>
      </c>
      <c r="C49" s="509"/>
      <c r="D49" s="509"/>
      <c r="E49" s="509"/>
      <c r="F49" s="509"/>
      <c r="G49" s="509"/>
      <c r="H49" s="509"/>
      <c r="I49" s="509"/>
      <c r="J49" s="509"/>
      <c r="K49" s="509"/>
      <c r="L49" s="509"/>
      <c r="M49" s="509"/>
      <c r="N49" s="509"/>
      <c r="O49" s="509"/>
    </row>
    <row r="50" spans="1:15" s="581" customFormat="1" ht="12" customHeight="1">
      <c r="A50" s="580" t="s">
        <v>104</v>
      </c>
      <c r="B50" s="499" t="s">
        <v>309</v>
      </c>
      <c r="C50" s="507"/>
      <c r="D50" s="507"/>
      <c r="E50" s="507"/>
      <c r="F50" s="507"/>
      <c r="G50" s="507"/>
      <c r="H50" s="507"/>
      <c r="I50" s="507"/>
      <c r="J50" s="507"/>
      <c r="K50" s="507"/>
      <c r="L50" s="507">
        <v>14000000</v>
      </c>
      <c r="M50" s="507">
        <f>K50+L50</f>
        <v>14000000</v>
      </c>
      <c r="N50" s="507"/>
      <c r="O50" s="507">
        <f>M50+N50</f>
        <v>14000000</v>
      </c>
    </row>
    <row r="51" spans="1:15" s="581" customFormat="1" ht="12" customHeight="1">
      <c r="A51" s="580" t="s">
        <v>305</v>
      </c>
      <c r="B51" s="499" t="s">
        <v>310</v>
      </c>
      <c r="C51" s="507"/>
      <c r="D51" s="507"/>
      <c r="E51" s="507"/>
      <c r="F51" s="507"/>
      <c r="G51" s="507"/>
      <c r="H51" s="507"/>
      <c r="I51" s="507"/>
      <c r="J51" s="507"/>
      <c r="K51" s="507"/>
      <c r="L51" s="507"/>
      <c r="M51" s="507"/>
      <c r="N51" s="507"/>
      <c r="O51" s="507"/>
    </row>
    <row r="52" spans="1:15" s="581" customFormat="1" ht="12" customHeight="1">
      <c r="A52" s="580" t="s">
        <v>306</v>
      </c>
      <c r="B52" s="499" t="s">
        <v>311</v>
      </c>
      <c r="C52" s="507"/>
      <c r="D52" s="507"/>
      <c r="E52" s="507"/>
      <c r="F52" s="507"/>
      <c r="G52" s="507"/>
      <c r="H52" s="507"/>
      <c r="I52" s="507"/>
      <c r="J52" s="507"/>
      <c r="K52" s="507"/>
      <c r="L52" s="507"/>
      <c r="M52" s="507"/>
      <c r="N52" s="507"/>
      <c r="O52" s="507"/>
    </row>
    <row r="53" spans="1:15" s="581" customFormat="1" ht="12" customHeight="1" thickBot="1">
      <c r="A53" s="583" t="s">
        <v>307</v>
      </c>
      <c r="B53" s="502" t="s">
        <v>312</v>
      </c>
      <c r="C53" s="508"/>
      <c r="D53" s="508"/>
      <c r="E53" s="508"/>
      <c r="F53" s="508"/>
      <c r="G53" s="508"/>
      <c r="H53" s="508"/>
      <c r="I53" s="508"/>
      <c r="J53" s="508"/>
      <c r="K53" s="508"/>
      <c r="L53" s="508"/>
      <c r="M53" s="508"/>
      <c r="N53" s="508"/>
      <c r="O53" s="508"/>
    </row>
    <row r="54" spans="1:15" s="581" customFormat="1" ht="12" customHeight="1" thickBot="1">
      <c r="A54" s="523" t="s">
        <v>184</v>
      </c>
      <c r="B54" s="492" t="s">
        <v>313</v>
      </c>
      <c r="C54" s="493">
        <f aca="true" t="shared" si="14" ref="C54:O54">SUM(C55:C57)</f>
        <v>0</v>
      </c>
      <c r="D54" s="493">
        <f t="shared" si="14"/>
        <v>0</v>
      </c>
      <c r="E54" s="493">
        <f t="shared" si="14"/>
        <v>0</v>
      </c>
      <c r="F54" s="493">
        <f t="shared" si="14"/>
        <v>0</v>
      </c>
      <c r="G54" s="493">
        <f t="shared" si="14"/>
        <v>0</v>
      </c>
      <c r="H54" s="493">
        <f t="shared" si="14"/>
        <v>0</v>
      </c>
      <c r="I54" s="493">
        <f t="shared" si="14"/>
        <v>0</v>
      </c>
      <c r="J54" s="493">
        <f t="shared" si="14"/>
        <v>0</v>
      </c>
      <c r="K54" s="493">
        <f t="shared" si="14"/>
        <v>0</v>
      </c>
      <c r="L54" s="493">
        <f t="shared" si="14"/>
        <v>0</v>
      </c>
      <c r="M54" s="493">
        <f t="shared" si="14"/>
        <v>0</v>
      </c>
      <c r="N54" s="493">
        <f t="shared" si="14"/>
        <v>0</v>
      </c>
      <c r="O54" s="493">
        <f t="shared" si="14"/>
        <v>0</v>
      </c>
    </row>
    <row r="55" spans="1:15" s="581" customFormat="1" ht="12" customHeight="1">
      <c r="A55" s="578" t="s">
        <v>105</v>
      </c>
      <c r="B55" s="496" t="s">
        <v>314</v>
      </c>
      <c r="C55" s="497"/>
      <c r="D55" s="497"/>
      <c r="E55" s="497"/>
      <c r="F55" s="497"/>
      <c r="G55" s="497"/>
      <c r="H55" s="497"/>
      <c r="I55" s="497"/>
      <c r="J55" s="497"/>
      <c r="K55" s="497"/>
      <c r="L55" s="497"/>
      <c r="M55" s="497"/>
      <c r="N55" s="497"/>
      <c r="O55" s="497"/>
    </row>
    <row r="56" spans="1:15" s="581" customFormat="1" ht="12" customHeight="1">
      <c r="A56" s="580" t="s">
        <v>106</v>
      </c>
      <c r="B56" s="499" t="s">
        <v>497</v>
      </c>
      <c r="C56" s="500"/>
      <c r="D56" s="500"/>
      <c r="E56" s="500"/>
      <c r="F56" s="500"/>
      <c r="G56" s="500"/>
      <c r="H56" s="500"/>
      <c r="I56" s="500"/>
      <c r="J56" s="500"/>
      <c r="K56" s="500"/>
      <c r="L56" s="500"/>
      <c r="M56" s="500"/>
      <c r="N56" s="500"/>
      <c r="O56" s="500"/>
    </row>
    <row r="57" spans="1:15" s="581" customFormat="1" ht="12" customHeight="1">
      <c r="A57" s="580" t="s">
        <v>318</v>
      </c>
      <c r="B57" s="499" t="s">
        <v>316</v>
      </c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500"/>
    </row>
    <row r="58" spans="1:15" s="581" customFormat="1" ht="12" customHeight="1" thickBot="1">
      <c r="A58" s="583" t="s">
        <v>319</v>
      </c>
      <c r="B58" s="502" t="s">
        <v>317</v>
      </c>
      <c r="C58" s="504"/>
      <c r="D58" s="504"/>
      <c r="E58" s="504"/>
      <c r="F58" s="504"/>
      <c r="G58" s="504"/>
      <c r="H58" s="504"/>
      <c r="I58" s="504"/>
      <c r="J58" s="504"/>
      <c r="K58" s="504"/>
      <c r="L58" s="504"/>
      <c r="M58" s="504"/>
      <c r="N58" s="504"/>
      <c r="O58" s="504"/>
    </row>
    <row r="59" spans="1:15" s="581" customFormat="1" ht="12" customHeight="1" thickBot="1">
      <c r="A59" s="523" t="s">
        <v>27</v>
      </c>
      <c r="B59" s="503" t="s">
        <v>320</v>
      </c>
      <c r="C59" s="493">
        <f aca="true" t="shared" si="15" ref="C59:O59">SUM(C60:C62)</f>
        <v>0</v>
      </c>
      <c r="D59" s="493">
        <f t="shared" si="15"/>
        <v>0</v>
      </c>
      <c r="E59" s="493">
        <f t="shared" si="15"/>
        <v>0</v>
      </c>
      <c r="F59" s="493">
        <f t="shared" si="15"/>
        <v>0</v>
      </c>
      <c r="G59" s="493">
        <f t="shared" si="15"/>
        <v>0</v>
      </c>
      <c r="H59" s="493">
        <f t="shared" si="15"/>
        <v>0</v>
      </c>
      <c r="I59" s="493">
        <f t="shared" si="15"/>
        <v>0</v>
      </c>
      <c r="J59" s="493">
        <f t="shared" si="15"/>
        <v>0</v>
      </c>
      <c r="K59" s="493">
        <f t="shared" si="15"/>
        <v>0</v>
      </c>
      <c r="L59" s="493">
        <f t="shared" si="15"/>
        <v>0</v>
      </c>
      <c r="M59" s="493">
        <f t="shared" si="15"/>
        <v>0</v>
      </c>
      <c r="N59" s="493">
        <f t="shared" si="15"/>
        <v>0</v>
      </c>
      <c r="O59" s="493">
        <f t="shared" si="15"/>
        <v>0</v>
      </c>
    </row>
    <row r="60" spans="1:15" s="581" customFormat="1" ht="12" customHeight="1">
      <c r="A60" s="578" t="s">
        <v>185</v>
      </c>
      <c r="B60" s="496" t="s">
        <v>322</v>
      </c>
      <c r="C60" s="507"/>
      <c r="D60" s="507"/>
      <c r="E60" s="507"/>
      <c r="F60" s="507"/>
      <c r="G60" s="507"/>
      <c r="H60" s="507"/>
      <c r="I60" s="507"/>
      <c r="J60" s="507"/>
      <c r="K60" s="507"/>
      <c r="L60" s="507"/>
      <c r="M60" s="507"/>
      <c r="N60" s="507"/>
      <c r="O60" s="507"/>
    </row>
    <row r="61" spans="1:15" s="581" customFormat="1" ht="12" customHeight="1">
      <c r="A61" s="580" t="s">
        <v>186</v>
      </c>
      <c r="B61" s="499" t="s">
        <v>498</v>
      </c>
      <c r="C61" s="507"/>
      <c r="D61" s="507"/>
      <c r="E61" s="507"/>
      <c r="F61" s="507"/>
      <c r="G61" s="507"/>
      <c r="H61" s="507"/>
      <c r="I61" s="507"/>
      <c r="J61" s="507"/>
      <c r="K61" s="507"/>
      <c r="L61" s="507"/>
      <c r="M61" s="507"/>
      <c r="N61" s="507"/>
      <c r="O61" s="507"/>
    </row>
    <row r="62" spans="1:15" s="581" customFormat="1" ht="12" customHeight="1">
      <c r="A62" s="580" t="s">
        <v>235</v>
      </c>
      <c r="B62" s="499" t="s">
        <v>323</v>
      </c>
      <c r="C62" s="507">
        <v>0</v>
      </c>
      <c r="D62" s="507">
        <v>0</v>
      </c>
      <c r="E62" s="507">
        <v>0</v>
      </c>
      <c r="F62" s="507">
        <v>0</v>
      </c>
      <c r="G62" s="507">
        <v>0</v>
      </c>
      <c r="H62" s="507">
        <v>0</v>
      </c>
      <c r="I62" s="507">
        <v>0</v>
      </c>
      <c r="J62" s="507">
        <v>0</v>
      </c>
      <c r="K62" s="507">
        <v>0</v>
      </c>
      <c r="L62" s="507">
        <v>0</v>
      </c>
      <c r="M62" s="507">
        <v>0</v>
      </c>
      <c r="N62" s="507">
        <v>0</v>
      </c>
      <c r="O62" s="507">
        <v>0</v>
      </c>
    </row>
    <row r="63" spans="1:15" s="581" customFormat="1" ht="12" customHeight="1" thickBot="1">
      <c r="A63" s="583" t="s">
        <v>321</v>
      </c>
      <c r="B63" s="502" t="s">
        <v>324</v>
      </c>
      <c r="C63" s="507"/>
      <c r="D63" s="507"/>
      <c r="E63" s="507"/>
      <c r="F63" s="507"/>
      <c r="G63" s="507"/>
      <c r="H63" s="507"/>
      <c r="I63" s="507"/>
      <c r="J63" s="507"/>
      <c r="K63" s="507"/>
      <c r="L63" s="507"/>
      <c r="M63" s="507"/>
      <c r="N63" s="507"/>
      <c r="O63" s="507"/>
    </row>
    <row r="64" spans="1:15" s="581" customFormat="1" ht="12" customHeight="1" thickBot="1">
      <c r="A64" s="523" t="s">
        <v>28</v>
      </c>
      <c r="B64" s="492" t="s">
        <v>325</v>
      </c>
      <c r="C64" s="505">
        <f aca="true" t="shared" si="16" ref="C64:O64">+C9+C16+C23+C30+C37+C48+C54+C59</f>
        <v>231017027</v>
      </c>
      <c r="D64" s="505">
        <f t="shared" si="16"/>
        <v>0</v>
      </c>
      <c r="E64" s="505">
        <f t="shared" si="16"/>
        <v>231017027</v>
      </c>
      <c r="F64" s="505">
        <f t="shared" si="16"/>
        <v>18088616</v>
      </c>
      <c r="G64" s="505">
        <f t="shared" si="16"/>
        <v>249105643</v>
      </c>
      <c r="H64" s="505">
        <f t="shared" si="16"/>
        <v>19387404</v>
      </c>
      <c r="I64" s="505">
        <f t="shared" si="16"/>
        <v>268493047</v>
      </c>
      <c r="J64" s="505">
        <f t="shared" si="16"/>
        <v>16845964</v>
      </c>
      <c r="K64" s="505">
        <f t="shared" si="16"/>
        <v>285339011</v>
      </c>
      <c r="L64" s="505">
        <f t="shared" si="16"/>
        <v>86588421</v>
      </c>
      <c r="M64" s="505">
        <f t="shared" si="16"/>
        <v>371927432</v>
      </c>
      <c r="N64" s="505">
        <f t="shared" si="16"/>
        <v>254503</v>
      </c>
      <c r="O64" s="505">
        <f t="shared" si="16"/>
        <v>372181935</v>
      </c>
    </row>
    <row r="65" spans="1:15" s="581" customFormat="1" ht="12" customHeight="1" thickBot="1">
      <c r="A65" s="585" t="s">
        <v>459</v>
      </c>
      <c r="B65" s="503" t="s">
        <v>327</v>
      </c>
      <c r="C65" s="493">
        <f aca="true" t="shared" si="17" ref="C65:O65">SUM(C66:C68)</f>
        <v>0</v>
      </c>
      <c r="D65" s="493">
        <f t="shared" si="17"/>
        <v>0</v>
      </c>
      <c r="E65" s="493">
        <f t="shared" si="17"/>
        <v>0</v>
      </c>
      <c r="F65" s="493">
        <f t="shared" si="17"/>
        <v>0</v>
      </c>
      <c r="G65" s="493">
        <f t="shared" si="17"/>
        <v>0</v>
      </c>
      <c r="H65" s="493">
        <f t="shared" si="17"/>
        <v>0</v>
      </c>
      <c r="I65" s="493">
        <f t="shared" si="17"/>
        <v>0</v>
      </c>
      <c r="J65" s="493">
        <f t="shared" si="17"/>
        <v>0</v>
      </c>
      <c r="K65" s="493">
        <f t="shared" si="17"/>
        <v>0</v>
      </c>
      <c r="L65" s="493">
        <f t="shared" si="17"/>
        <v>0</v>
      </c>
      <c r="M65" s="493">
        <f t="shared" si="17"/>
        <v>0</v>
      </c>
      <c r="N65" s="493">
        <f t="shared" si="17"/>
        <v>0</v>
      </c>
      <c r="O65" s="493">
        <f t="shared" si="17"/>
        <v>0</v>
      </c>
    </row>
    <row r="66" spans="1:15" s="581" customFormat="1" ht="12" customHeight="1">
      <c r="A66" s="578" t="s">
        <v>360</v>
      </c>
      <c r="B66" s="496" t="s">
        <v>328</v>
      </c>
      <c r="C66" s="507"/>
      <c r="D66" s="507"/>
      <c r="E66" s="507"/>
      <c r="F66" s="507"/>
      <c r="G66" s="507"/>
      <c r="H66" s="507"/>
      <c r="I66" s="507"/>
      <c r="J66" s="507"/>
      <c r="K66" s="507"/>
      <c r="L66" s="507"/>
      <c r="M66" s="507"/>
      <c r="N66" s="507"/>
      <c r="O66" s="507"/>
    </row>
    <row r="67" spans="1:15" s="581" customFormat="1" ht="12" customHeight="1">
      <c r="A67" s="580" t="s">
        <v>369</v>
      </c>
      <c r="B67" s="499" t="s">
        <v>329</v>
      </c>
      <c r="C67" s="507"/>
      <c r="D67" s="507"/>
      <c r="E67" s="507"/>
      <c r="F67" s="507"/>
      <c r="G67" s="507"/>
      <c r="H67" s="507"/>
      <c r="I67" s="507"/>
      <c r="J67" s="507"/>
      <c r="K67" s="507"/>
      <c r="L67" s="507"/>
      <c r="M67" s="507"/>
      <c r="N67" s="507"/>
      <c r="O67" s="507"/>
    </row>
    <row r="68" spans="1:15" s="581" customFormat="1" ht="12" customHeight="1" thickBot="1">
      <c r="A68" s="583" t="s">
        <v>370</v>
      </c>
      <c r="B68" s="511" t="s">
        <v>330</v>
      </c>
      <c r="C68" s="507"/>
      <c r="D68" s="507"/>
      <c r="E68" s="507"/>
      <c r="F68" s="507"/>
      <c r="G68" s="507"/>
      <c r="H68" s="507"/>
      <c r="I68" s="507"/>
      <c r="J68" s="507"/>
      <c r="K68" s="507"/>
      <c r="L68" s="507"/>
      <c r="M68" s="507"/>
      <c r="N68" s="507"/>
      <c r="O68" s="507"/>
    </row>
    <row r="69" spans="1:15" s="581" customFormat="1" ht="12" customHeight="1" thickBot="1">
      <c r="A69" s="585" t="s">
        <v>331</v>
      </c>
      <c r="B69" s="503" t="s">
        <v>332</v>
      </c>
      <c r="C69" s="493">
        <f aca="true" t="shared" si="18" ref="C69:O69">SUM(C70:C73)</f>
        <v>0</v>
      </c>
      <c r="D69" s="493">
        <f t="shared" si="18"/>
        <v>0</v>
      </c>
      <c r="E69" s="493">
        <f t="shared" si="18"/>
        <v>0</v>
      </c>
      <c r="F69" s="493">
        <f t="shared" si="18"/>
        <v>0</v>
      </c>
      <c r="G69" s="493">
        <f t="shared" si="18"/>
        <v>0</v>
      </c>
      <c r="H69" s="493">
        <f t="shared" si="18"/>
        <v>0</v>
      </c>
      <c r="I69" s="493">
        <f t="shared" si="18"/>
        <v>0</v>
      </c>
      <c r="J69" s="493">
        <f t="shared" si="18"/>
        <v>0</v>
      </c>
      <c r="K69" s="493">
        <f t="shared" si="18"/>
        <v>0</v>
      </c>
      <c r="L69" s="493">
        <f t="shared" si="18"/>
        <v>0</v>
      </c>
      <c r="M69" s="493">
        <f t="shared" si="18"/>
        <v>0</v>
      </c>
      <c r="N69" s="493">
        <f t="shared" si="18"/>
        <v>0</v>
      </c>
      <c r="O69" s="493">
        <f t="shared" si="18"/>
        <v>0</v>
      </c>
    </row>
    <row r="70" spans="1:15" s="581" customFormat="1" ht="12" customHeight="1">
      <c r="A70" s="578" t="s">
        <v>153</v>
      </c>
      <c r="B70" s="496" t="s">
        <v>333</v>
      </c>
      <c r="C70" s="507"/>
      <c r="D70" s="507"/>
      <c r="E70" s="507"/>
      <c r="F70" s="507"/>
      <c r="G70" s="507"/>
      <c r="H70" s="507"/>
      <c r="I70" s="507"/>
      <c r="J70" s="507"/>
      <c r="K70" s="507"/>
      <c r="L70" s="507"/>
      <c r="M70" s="507"/>
      <c r="N70" s="507"/>
      <c r="O70" s="507"/>
    </row>
    <row r="71" spans="1:15" s="581" customFormat="1" ht="12" customHeight="1">
      <c r="A71" s="580" t="s">
        <v>154</v>
      </c>
      <c r="B71" s="499" t="s">
        <v>334</v>
      </c>
      <c r="C71" s="507"/>
      <c r="D71" s="507"/>
      <c r="E71" s="507"/>
      <c r="F71" s="507"/>
      <c r="G71" s="507"/>
      <c r="H71" s="507"/>
      <c r="I71" s="507"/>
      <c r="J71" s="507"/>
      <c r="K71" s="507"/>
      <c r="L71" s="507"/>
      <c r="M71" s="507"/>
      <c r="N71" s="507"/>
      <c r="O71" s="507"/>
    </row>
    <row r="72" spans="1:15" s="581" customFormat="1" ht="12" customHeight="1">
      <c r="A72" s="580" t="s">
        <v>361</v>
      </c>
      <c r="B72" s="499" t="s">
        <v>335</v>
      </c>
      <c r="C72" s="507"/>
      <c r="D72" s="507"/>
      <c r="E72" s="507"/>
      <c r="F72" s="507"/>
      <c r="G72" s="507"/>
      <c r="H72" s="507"/>
      <c r="I72" s="507"/>
      <c r="J72" s="507"/>
      <c r="K72" s="507"/>
      <c r="L72" s="507"/>
      <c r="M72" s="507"/>
      <c r="N72" s="507"/>
      <c r="O72" s="507"/>
    </row>
    <row r="73" spans="1:15" s="581" customFormat="1" ht="12" customHeight="1" thickBot="1">
      <c r="A73" s="583" t="s">
        <v>362</v>
      </c>
      <c r="B73" s="502" t="s">
        <v>336</v>
      </c>
      <c r="C73" s="507"/>
      <c r="D73" s="507"/>
      <c r="E73" s="507"/>
      <c r="F73" s="507"/>
      <c r="G73" s="507"/>
      <c r="H73" s="507"/>
      <c r="I73" s="507"/>
      <c r="J73" s="507"/>
      <c r="K73" s="507"/>
      <c r="L73" s="507"/>
      <c r="M73" s="507"/>
      <c r="N73" s="507"/>
      <c r="O73" s="507"/>
    </row>
    <row r="74" spans="1:15" s="581" customFormat="1" ht="12" customHeight="1" thickBot="1">
      <c r="A74" s="585" t="s">
        <v>337</v>
      </c>
      <c r="B74" s="503" t="s">
        <v>338</v>
      </c>
      <c r="C74" s="493">
        <f aca="true" t="shared" si="19" ref="C74:O74">SUM(C75:C76)</f>
        <v>155465622</v>
      </c>
      <c r="D74" s="493">
        <f t="shared" si="19"/>
        <v>-1352059</v>
      </c>
      <c r="E74" s="493">
        <f t="shared" si="19"/>
        <v>154113563</v>
      </c>
      <c r="F74" s="493">
        <f t="shared" si="19"/>
        <v>0</v>
      </c>
      <c r="G74" s="493">
        <f t="shared" si="19"/>
        <v>154113563</v>
      </c>
      <c r="H74" s="493">
        <f t="shared" si="19"/>
        <v>0</v>
      </c>
      <c r="I74" s="493">
        <f t="shared" si="19"/>
        <v>154113563</v>
      </c>
      <c r="J74" s="493">
        <f t="shared" si="19"/>
        <v>0</v>
      </c>
      <c r="K74" s="493">
        <f t="shared" si="19"/>
        <v>154113563</v>
      </c>
      <c r="L74" s="493">
        <f t="shared" si="19"/>
        <v>0</v>
      </c>
      <c r="M74" s="493">
        <f t="shared" si="19"/>
        <v>154113563</v>
      </c>
      <c r="N74" s="493">
        <f t="shared" si="19"/>
        <v>0</v>
      </c>
      <c r="O74" s="493">
        <f t="shared" si="19"/>
        <v>154113563</v>
      </c>
    </row>
    <row r="75" spans="1:15" s="581" customFormat="1" ht="12" customHeight="1">
      <c r="A75" s="578" t="s">
        <v>363</v>
      </c>
      <c r="B75" s="496" t="s">
        <v>339</v>
      </c>
      <c r="C75" s="507">
        <v>155465622</v>
      </c>
      <c r="D75" s="507">
        <v>-1352059</v>
      </c>
      <c r="E75" s="507">
        <f>C75+D75</f>
        <v>154113563</v>
      </c>
      <c r="F75" s="507"/>
      <c r="G75" s="507">
        <f>E75+F75</f>
        <v>154113563</v>
      </c>
      <c r="H75" s="507"/>
      <c r="I75" s="507">
        <f>G75+H75</f>
        <v>154113563</v>
      </c>
      <c r="J75" s="507"/>
      <c r="K75" s="507">
        <f>I75+J75</f>
        <v>154113563</v>
      </c>
      <c r="L75" s="507"/>
      <c r="M75" s="507">
        <f>K75+L75</f>
        <v>154113563</v>
      </c>
      <c r="N75" s="507"/>
      <c r="O75" s="507">
        <f>M75+N75</f>
        <v>154113563</v>
      </c>
    </row>
    <row r="76" spans="1:15" s="581" customFormat="1" ht="12" customHeight="1" thickBot="1">
      <c r="A76" s="583" t="s">
        <v>364</v>
      </c>
      <c r="B76" s="502" t="s">
        <v>340</v>
      </c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507"/>
      <c r="O76" s="507"/>
    </row>
    <row r="77" spans="1:15" s="579" customFormat="1" ht="12" customHeight="1" thickBot="1">
      <c r="A77" s="585" t="s">
        <v>341</v>
      </c>
      <c r="B77" s="503" t="s">
        <v>342</v>
      </c>
      <c r="C77" s="493">
        <f aca="true" t="shared" si="20" ref="C77:O77">SUM(C78:C80)</f>
        <v>0</v>
      </c>
      <c r="D77" s="493">
        <f t="shared" si="20"/>
        <v>0</v>
      </c>
      <c r="E77" s="493">
        <f t="shared" si="20"/>
        <v>0</v>
      </c>
      <c r="F77" s="493">
        <f t="shared" si="20"/>
        <v>0</v>
      </c>
      <c r="G77" s="493">
        <f t="shared" si="20"/>
        <v>0</v>
      </c>
      <c r="H77" s="493">
        <f t="shared" si="20"/>
        <v>0</v>
      </c>
      <c r="I77" s="493">
        <f t="shared" si="20"/>
        <v>0</v>
      </c>
      <c r="J77" s="493">
        <f t="shared" si="20"/>
        <v>0</v>
      </c>
      <c r="K77" s="493">
        <f t="shared" si="20"/>
        <v>0</v>
      </c>
      <c r="L77" s="493">
        <f t="shared" si="20"/>
        <v>0</v>
      </c>
      <c r="M77" s="493">
        <f t="shared" si="20"/>
        <v>0</v>
      </c>
      <c r="N77" s="493">
        <f t="shared" si="20"/>
        <v>0</v>
      </c>
      <c r="O77" s="493">
        <f t="shared" si="20"/>
        <v>0</v>
      </c>
    </row>
    <row r="78" spans="1:15" s="581" customFormat="1" ht="12" customHeight="1">
      <c r="A78" s="578" t="s">
        <v>365</v>
      </c>
      <c r="B78" s="496" t="s">
        <v>343</v>
      </c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N78" s="507"/>
      <c r="O78" s="507"/>
    </row>
    <row r="79" spans="1:15" s="581" customFormat="1" ht="12" customHeight="1">
      <c r="A79" s="580" t="s">
        <v>366</v>
      </c>
      <c r="B79" s="499" t="s">
        <v>344</v>
      </c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N79" s="507"/>
      <c r="O79" s="507"/>
    </row>
    <row r="80" spans="1:15" s="581" customFormat="1" ht="12" customHeight="1" thickBot="1">
      <c r="A80" s="583" t="s">
        <v>367</v>
      </c>
      <c r="B80" s="502" t="s">
        <v>345</v>
      </c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7"/>
      <c r="O80" s="507"/>
    </row>
    <row r="81" spans="1:15" s="581" customFormat="1" ht="12" customHeight="1" thickBot="1">
      <c r="A81" s="585" t="s">
        <v>346</v>
      </c>
      <c r="B81" s="503" t="s">
        <v>368</v>
      </c>
      <c r="C81" s="493">
        <f aca="true" t="shared" si="21" ref="C81:O81">SUM(C82:C85)</f>
        <v>0</v>
      </c>
      <c r="D81" s="493">
        <f t="shared" si="21"/>
        <v>0</v>
      </c>
      <c r="E81" s="493">
        <f t="shared" si="21"/>
        <v>0</v>
      </c>
      <c r="F81" s="493">
        <f t="shared" si="21"/>
        <v>0</v>
      </c>
      <c r="G81" s="493">
        <f t="shared" si="21"/>
        <v>0</v>
      </c>
      <c r="H81" s="493">
        <f t="shared" si="21"/>
        <v>0</v>
      </c>
      <c r="I81" s="493">
        <f t="shared" si="21"/>
        <v>0</v>
      </c>
      <c r="J81" s="493">
        <f t="shared" si="21"/>
        <v>0</v>
      </c>
      <c r="K81" s="493">
        <f t="shared" si="21"/>
        <v>0</v>
      </c>
      <c r="L81" s="493">
        <f t="shared" si="21"/>
        <v>0</v>
      </c>
      <c r="M81" s="493">
        <f t="shared" si="21"/>
        <v>0</v>
      </c>
      <c r="N81" s="493">
        <f t="shared" si="21"/>
        <v>0</v>
      </c>
      <c r="O81" s="493">
        <f t="shared" si="21"/>
        <v>0</v>
      </c>
    </row>
    <row r="82" spans="1:15" s="581" customFormat="1" ht="12" customHeight="1">
      <c r="A82" s="586" t="s">
        <v>347</v>
      </c>
      <c r="B82" s="496" t="s">
        <v>348</v>
      </c>
      <c r="C82" s="507"/>
      <c r="D82" s="507"/>
      <c r="E82" s="507"/>
      <c r="F82" s="507"/>
      <c r="G82" s="507"/>
      <c r="H82" s="507"/>
      <c r="I82" s="507"/>
      <c r="J82" s="507"/>
      <c r="K82" s="507"/>
      <c r="L82" s="507"/>
      <c r="M82" s="507"/>
      <c r="N82" s="507"/>
      <c r="O82" s="507"/>
    </row>
    <row r="83" spans="1:15" s="581" customFormat="1" ht="12" customHeight="1">
      <c r="A83" s="587" t="s">
        <v>349</v>
      </c>
      <c r="B83" s="499" t="s">
        <v>350</v>
      </c>
      <c r="C83" s="507"/>
      <c r="D83" s="507"/>
      <c r="E83" s="507"/>
      <c r="F83" s="507"/>
      <c r="G83" s="507"/>
      <c r="H83" s="507"/>
      <c r="I83" s="507"/>
      <c r="J83" s="507"/>
      <c r="K83" s="507"/>
      <c r="L83" s="507"/>
      <c r="M83" s="507"/>
      <c r="N83" s="507"/>
      <c r="O83" s="507"/>
    </row>
    <row r="84" spans="1:15" s="581" customFormat="1" ht="12" customHeight="1">
      <c r="A84" s="587" t="s">
        <v>351</v>
      </c>
      <c r="B84" s="499" t="s">
        <v>352</v>
      </c>
      <c r="C84" s="507"/>
      <c r="D84" s="507"/>
      <c r="E84" s="507"/>
      <c r="F84" s="507"/>
      <c r="G84" s="507"/>
      <c r="H84" s="507"/>
      <c r="I84" s="507"/>
      <c r="J84" s="507"/>
      <c r="K84" s="507"/>
      <c r="L84" s="507"/>
      <c r="M84" s="507"/>
      <c r="N84" s="507"/>
      <c r="O84" s="507"/>
    </row>
    <row r="85" spans="1:15" s="579" customFormat="1" ht="12" customHeight="1" thickBot="1">
      <c r="A85" s="588" t="s">
        <v>353</v>
      </c>
      <c r="B85" s="502" t="s">
        <v>354</v>
      </c>
      <c r="C85" s="507"/>
      <c r="D85" s="507"/>
      <c r="E85" s="507"/>
      <c r="F85" s="507"/>
      <c r="G85" s="507"/>
      <c r="H85" s="507"/>
      <c r="I85" s="507"/>
      <c r="J85" s="507"/>
      <c r="K85" s="507"/>
      <c r="L85" s="507"/>
      <c r="M85" s="507"/>
      <c r="N85" s="507"/>
      <c r="O85" s="507"/>
    </row>
    <row r="86" spans="1:15" s="579" customFormat="1" ht="12" customHeight="1" thickBot="1">
      <c r="A86" s="585" t="s">
        <v>355</v>
      </c>
      <c r="B86" s="503" t="s">
        <v>356</v>
      </c>
      <c r="C86" s="515"/>
      <c r="D86" s="515"/>
      <c r="E86" s="515"/>
      <c r="F86" s="515"/>
      <c r="G86" s="515"/>
      <c r="H86" s="515"/>
      <c r="I86" s="515"/>
      <c r="J86" s="515"/>
      <c r="K86" s="515"/>
      <c r="L86" s="515"/>
      <c r="M86" s="515"/>
      <c r="N86" s="515"/>
      <c r="O86" s="515"/>
    </row>
    <row r="87" spans="1:15" s="579" customFormat="1" ht="12" customHeight="1" thickBot="1">
      <c r="A87" s="585" t="s">
        <v>357</v>
      </c>
      <c r="B87" s="516" t="s">
        <v>358</v>
      </c>
      <c r="C87" s="505">
        <f aca="true" t="shared" si="22" ref="C87:O87">+C65+C69+C74+C77+C81+C86</f>
        <v>155465622</v>
      </c>
      <c r="D87" s="505">
        <f t="shared" si="22"/>
        <v>-1352059</v>
      </c>
      <c r="E87" s="505">
        <f t="shared" si="22"/>
        <v>154113563</v>
      </c>
      <c r="F87" s="505">
        <f t="shared" si="22"/>
        <v>0</v>
      </c>
      <c r="G87" s="505">
        <f t="shared" si="22"/>
        <v>154113563</v>
      </c>
      <c r="H87" s="505">
        <f t="shared" si="22"/>
        <v>0</v>
      </c>
      <c r="I87" s="505">
        <f t="shared" si="22"/>
        <v>154113563</v>
      </c>
      <c r="J87" s="505">
        <f t="shared" si="22"/>
        <v>0</v>
      </c>
      <c r="K87" s="505">
        <f t="shared" si="22"/>
        <v>154113563</v>
      </c>
      <c r="L87" s="505">
        <f t="shared" si="22"/>
        <v>0</v>
      </c>
      <c r="M87" s="505">
        <f t="shared" si="22"/>
        <v>154113563</v>
      </c>
      <c r="N87" s="505">
        <f t="shared" si="22"/>
        <v>0</v>
      </c>
      <c r="O87" s="505">
        <f t="shared" si="22"/>
        <v>154113563</v>
      </c>
    </row>
    <row r="88" spans="1:15" s="579" customFormat="1" ht="12" customHeight="1" thickBot="1">
      <c r="A88" s="589" t="s">
        <v>371</v>
      </c>
      <c r="B88" s="518" t="s">
        <v>486</v>
      </c>
      <c r="C88" s="505">
        <f aca="true" t="shared" si="23" ref="C88:O88">+C64+C87</f>
        <v>386482649</v>
      </c>
      <c r="D88" s="505">
        <f t="shared" si="23"/>
        <v>-1352059</v>
      </c>
      <c r="E88" s="505">
        <f t="shared" si="23"/>
        <v>385130590</v>
      </c>
      <c r="F88" s="505">
        <f t="shared" si="23"/>
        <v>18088616</v>
      </c>
      <c r="G88" s="505">
        <f t="shared" si="23"/>
        <v>403219206</v>
      </c>
      <c r="H88" s="505">
        <f t="shared" si="23"/>
        <v>19387404</v>
      </c>
      <c r="I88" s="505">
        <f t="shared" si="23"/>
        <v>422606610</v>
      </c>
      <c r="J88" s="505">
        <f t="shared" si="23"/>
        <v>16845964</v>
      </c>
      <c r="K88" s="505">
        <f t="shared" si="23"/>
        <v>439452574</v>
      </c>
      <c r="L88" s="505">
        <f t="shared" si="23"/>
        <v>86588421</v>
      </c>
      <c r="M88" s="505">
        <f t="shared" si="23"/>
        <v>526040995</v>
      </c>
      <c r="N88" s="505">
        <f t="shared" si="23"/>
        <v>254503</v>
      </c>
      <c r="O88" s="505">
        <f t="shared" si="23"/>
        <v>526295498</v>
      </c>
    </row>
    <row r="89" spans="1:15" s="581" customFormat="1" ht="15" customHeight="1">
      <c r="A89" s="590"/>
      <c r="B89" s="591"/>
      <c r="C89" s="592"/>
      <c r="D89" s="592"/>
      <c r="E89" s="592"/>
      <c r="F89" s="592"/>
      <c r="G89" s="592"/>
      <c r="H89" s="592"/>
      <c r="I89" s="592"/>
      <c r="J89" s="592"/>
      <c r="K89" s="592"/>
      <c r="L89" s="592"/>
      <c r="M89" s="592"/>
      <c r="N89" s="592"/>
      <c r="O89" s="592"/>
    </row>
    <row r="90" spans="1:15" ht="13.5" thickBot="1">
      <c r="A90" s="590"/>
      <c r="B90" s="593"/>
      <c r="C90" s="594"/>
      <c r="D90" s="594"/>
      <c r="E90" s="594"/>
      <c r="F90" s="594"/>
      <c r="G90" s="594"/>
      <c r="H90" s="594"/>
      <c r="I90" s="594"/>
      <c r="J90" s="594"/>
      <c r="K90" s="594"/>
      <c r="L90" s="594"/>
      <c r="M90" s="594"/>
      <c r="N90" s="594"/>
      <c r="O90" s="594"/>
    </row>
    <row r="91" spans="1:15" s="575" customFormat="1" ht="16.5" customHeight="1" thickBot="1">
      <c r="A91" s="595"/>
      <c r="B91" s="814" t="s">
        <v>61</v>
      </c>
      <c r="C91" s="786"/>
      <c r="D91" s="786"/>
      <c r="E91" s="786"/>
      <c r="F91" s="786"/>
      <c r="G91" s="786"/>
      <c r="H91" s="786"/>
      <c r="I91" s="786"/>
      <c r="J91" s="786"/>
      <c r="K91" s="786"/>
      <c r="L91" s="786"/>
      <c r="M91" s="786"/>
      <c r="N91" s="786"/>
      <c r="O91" s="787"/>
    </row>
    <row r="92" spans="1:15" s="597" customFormat="1" ht="12" customHeight="1" thickBot="1">
      <c r="A92" s="487" t="s">
        <v>20</v>
      </c>
      <c r="B92" s="527" t="s">
        <v>374</v>
      </c>
      <c r="C92" s="528">
        <f aca="true" t="shared" si="24" ref="C92:O92">SUM(C93:C97)</f>
        <v>161881384</v>
      </c>
      <c r="D92" s="528">
        <f t="shared" si="24"/>
        <v>766189</v>
      </c>
      <c r="E92" s="528">
        <f t="shared" si="24"/>
        <v>162647573</v>
      </c>
      <c r="F92" s="528">
        <f t="shared" si="24"/>
        <v>7914901</v>
      </c>
      <c r="G92" s="528">
        <f t="shared" si="24"/>
        <v>170562474</v>
      </c>
      <c r="H92" s="528">
        <f t="shared" si="24"/>
        <v>3798273</v>
      </c>
      <c r="I92" s="528">
        <f t="shared" si="24"/>
        <v>174360747</v>
      </c>
      <c r="J92" s="528">
        <f t="shared" si="24"/>
        <v>719539</v>
      </c>
      <c r="K92" s="528">
        <f t="shared" si="24"/>
        <v>175080286</v>
      </c>
      <c r="L92" s="528">
        <f t="shared" si="24"/>
        <v>1796175</v>
      </c>
      <c r="M92" s="528">
        <f t="shared" si="24"/>
        <v>176876461</v>
      </c>
      <c r="N92" s="528">
        <f t="shared" si="24"/>
        <v>-129202</v>
      </c>
      <c r="O92" s="528">
        <f t="shared" si="24"/>
        <v>176747259</v>
      </c>
    </row>
    <row r="93" spans="1:15" ht="12" customHeight="1">
      <c r="A93" s="598" t="s">
        <v>107</v>
      </c>
      <c r="B93" s="530" t="s">
        <v>50</v>
      </c>
      <c r="C93" s="531">
        <v>43467732</v>
      </c>
      <c r="D93" s="531"/>
      <c r="E93" s="532">
        <f>C93+D93</f>
        <v>43467732</v>
      </c>
      <c r="F93" s="531">
        <v>6062689</v>
      </c>
      <c r="G93" s="532">
        <f>E93+F93</f>
        <v>49530421</v>
      </c>
      <c r="H93" s="531">
        <v>2769548</v>
      </c>
      <c r="I93" s="532">
        <f>G93+H93</f>
        <v>52299969</v>
      </c>
      <c r="J93" s="531">
        <v>590337</v>
      </c>
      <c r="K93" s="532">
        <f>I93+J93</f>
        <v>52890306</v>
      </c>
      <c r="L93" s="531">
        <v>1594540</v>
      </c>
      <c r="M93" s="532">
        <f>K93+L93</f>
        <v>54484846</v>
      </c>
      <c r="N93" s="531"/>
      <c r="O93" s="532">
        <f>M93+N93</f>
        <v>54484846</v>
      </c>
    </row>
    <row r="94" spans="1:15" ht="12" customHeight="1">
      <c r="A94" s="580" t="s">
        <v>108</v>
      </c>
      <c r="B94" s="533" t="s">
        <v>187</v>
      </c>
      <c r="C94" s="500">
        <v>9861093</v>
      </c>
      <c r="D94" s="500"/>
      <c r="E94" s="534">
        <f>C94+D94</f>
        <v>9861093</v>
      </c>
      <c r="F94" s="500">
        <v>1024712</v>
      </c>
      <c r="G94" s="534">
        <f>E94+F94</f>
        <v>10885805</v>
      </c>
      <c r="H94" s="500">
        <v>396225</v>
      </c>
      <c r="I94" s="534">
        <f>G94+H94</f>
        <v>11282030</v>
      </c>
      <c r="J94" s="500"/>
      <c r="K94" s="534">
        <f>I94+J94</f>
        <v>11282030</v>
      </c>
      <c r="L94" s="500">
        <v>201635</v>
      </c>
      <c r="M94" s="534">
        <f>K94+L94</f>
        <v>11483665</v>
      </c>
      <c r="N94" s="500"/>
      <c r="O94" s="534">
        <f>M94+N94</f>
        <v>11483665</v>
      </c>
    </row>
    <row r="95" spans="1:15" ht="12" customHeight="1">
      <c r="A95" s="580" t="s">
        <v>109</v>
      </c>
      <c r="B95" s="533" t="s">
        <v>143</v>
      </c>
      <c r="C95" s="504">
        <v>92347859</v>
      </c>
      <c r="D95" s="504"/>
      <c r="E95" s="534">
        <f>C95+D95</f>
        <v>92347859</v>
      </c>
      <c r="F95" s="504">
        <v>400000</v>
      </c>
      <c r="G95" s="534">
        <f>E95+F95</f>
        <v>92747859</v>
      </c>
      <c r="H95" s="504">
        <v>1000000</v>
      </c>
      <c r="I95" s="534">
        <f>G95+H95</f>
        <v>93747859</v>
      </c>
      <c r="J95" s="504"/>
      <c r="K95" s="534">
        <f>I95+J95</f>
        <v>93747859</v>
      </c>
      <c r="L95" s="504"/>
      <c r="M95" s="534">
        <f>K95+L95</f>
        <v>93747859</v>
      </c>
      <c r="N95" s="504"/>
      <c r="O95" s="534">
        <f>M95+N95</f>
        <v>93747859</v>
      </c>
    </row>
    <row r="96" spans="1:15" ht="12" customHeight="1">
      <c r="A96" s="580" t="s">
        <v>110</v>
      </c>
      <c r="B96" s="535" t="s">
        <v>188</v>
      </c>
      <c r="C96" s="504">
        <v>7954700</v>
      </c>
      <c r="D96" s="504"/>
      <c r="E96" s="534">
        <f>C96+D96</f>
        <v>7954700</v>
      </c>
      <c r="F96" s="504">
        <v>367500</v>
      </c>
      <c r="G96" s="534">
        <f>E96+F96</f>
        <v>8322200</v>
      </c>
      <c r="H96" s="504">
        <v>-367500</v>
      </c>
      <c r="I96" s="534">
        <f>G96+H96</f>
        <v>7954700</v>
      </c>
      <c r="J96" s="504"/>
      <c r="K96" s="534">
        <f>I96+J96</f>
        <v>7954700</v>
      </c>
      <c r="L96" s="504"/>
      <c r="M96" s="534">
        <f>K96+L96</f>
        <v>7954700</v>
      </c>
      <c r="N96" s="504"/>
      <c r="O96" s="534">
        <f>M96+N96</f>
        <v>7954700</v>
      </c>
    </row>
    <row r="97" spans="1:15" ht="12" customHeight="1">
      <c r="A97" s="580" t="s">
        <v>121</v>
      </c>
      <c r="B97" s="536" t="s">
        <v>189</v>
      </c>
      <c r="C97" s="504">
        <f aca="true" t="shared" si="25" ref="C97:O97">SUM(C98:C107)</f>
        <v>8250000</v>
      </c>
      <c r="D97" s="504">
        <f t="shared" si="25"/>
        <v>766189</v>
      </c>
      <c r="E97" s="504">
        <f t="shared" si="25"/>
        <v>9016189</v>
      </c>
      <c r="F97" s="504">
        <f t="shared" si="25"/>
        <v>60000</v>
      </c>
      <c r="G97" s="504">
        <f t="shared" si="25"/>
        <v>9076189</v>
      </c>
      <c r="H97" s="504">
        <f t="shared" si="25"/>
        <v>0</v>
      </c>
      <c r="I97" s="504">
        <f t="shared" si="25"/>
        <v>9076189</v>
      </c>
      <c r="J97" s="504">
        <f t="shared" si="25"/>
        <v>129202</v>
      </c>
      <c r="K97" s="504">
        <f t="shared" si="25"/>
        <v>9205391</v>
      </c>
      <c r="L97" s="504">
        <f t="shared" si="25"/>
        <v>0</v>
      </c>
      <c r="M97" s="504">
        <f t="shared" si="25"/>
        <v>9205391</v>
      </c>
      <c r="N97" s="504">
        <f t="shared" si="25"/>
        <v>-129202</v>
      </c>
      <c r="O97" s="504">
        <f t="shared" si="25"/>
        <v>9076189</v>
      </c>
    </row>
    <row r="98" spans="1:15" ht="12" customHeight="1">
      <c r="A98" s="580" t="s">
        <v>111</v>
      </c>
      <c r="B98" s="533" t="s">
        <v>375</v>
      </c>
      <c r="C98" s="504"/>
      <c r="D98" s="504">
        <f>266700+499489</f>
        <v>766189</v>
      </c>
      <c r="E98" s="504">
        <v>766189</v>
      </c>
      <c r="F98" s="504"/>
      <c r="G98" s="504">
        <f>E98+F98</f>
        <v>766189</v>
      </c>
      <c r="H98" s="504"/>
      <c r="I98" s="504">
        <f>G98+H98</f>
        <v>766189</v>
      </c>
      <c r="J98" s="504">
        <v>129202</v>
      </c>
      <c r="K98" s="504">
        <f>I98+J98</f>
        <v>895391</v>
      </c>
      <c r="L98" s="504"/>
      <c r="M98" s="504">
        <f>K98+L98</f>
        <v>895391</v>
      </c>
      <c r="N98" s="504">
        <v>-129202</v>
      </c>
      <c r="O98" s="504">
        <f>M98+N98</f>
        <v>766189</v>
      </c>
    </row>
    <row r="99" spans="1:15" ht="12" customHeight="1">
      <c r="A99" s="580" t="s">
        <v>112</v>
      </c>
      <c r="B99" s="537" t="s">
        <v>376</v>
      </c>
      <c r="C99" s="504"/>
      <c r="D99" s="504"/>
      <c r="E99" s="504"/>
      <c r="F99" s="504"/>
      <c r="G99" s="504"/>
      <c r="H99" s="504"/>
      <c r="I99" s="504"/>
      <c r="J99" s="504"/>
      <c r="K99" s="504"/>
      <c r="L99" s="504"/>
      <c r="M99" s="504"/>
      <c r="N99" s="504"/>
      <c r="O99" s="504"/>
    </row>
    <row r="100" spans="1:15" ht="12" customHeight="1">
      <c r="A100" s="580" t="s">
        <v>122</v>
      </c>
      <c r="B100" s="538" t="s">
        <v>377</v>
      </c>
      <c r="C100" s="504"/>
      <c r="D100" s="504"/>
      <c r="E100" s="504"/>
      <c r="F100" s="504"/>
      <c r="G100" s="504"/>
      <c r="H100" s="504"/>
      <c r="I100" s="504"/>
      <c r="J100" s="504"/>
      <c r="K100" s="504"/>
      <c r="L100" s="504"/>
      <c r="M100" s="504"/>
      <c r="N100" s="504"/>
      <c r="O100" s="504"/>
    </row>
    <row r="101" spans="1:15" ht="12" customHeight="1">
      <c r="A101" s="580" t="s">
        <v>123</v>
      </c>
      <c r="B101" s="538" t="s">
        <v>378</v>
      </c>
      <c r="C101" s="504"/>
      <c r="D101" s="504"/>
      <c r="E101" s="504"/>
      <c r="F101" s="504"/>
      <c r="G101" s="504"/>
      <c r="H101" s="504"/>
      <c r="I101" s="504"/>
      <c r="J101" s="504"/>
      <c r="K101" s="504"/>
      <c r="L101" s="504"/>
      <c r="M101" s="504"/>
      <c r="N101" s="504"/>
      <c r="O101" s="504"/>
    </row>
    <row r="102" spans="1:15" ht="12" customHeight="1">
      <c r="A102" s="580" t="s">
        <v>124</v>
      </c>
      <c r="B102" s="537" t="s">
        <v>379</v>
      </c>
      <c r="C102" s="504">
        <v>0</v>
      </c>
      <c r="D102" s="504"/>
      <c r="E102" s="504">
        <f>C102+D102</f>
        <v>0</v>
      </c>
      <c r="F102" s="504">
        <v>0</v>
      </c>
      <c r="G102" s="504">
        <f>E102+F102</f>
        <v>0</v>
      </c>
      <c r="H102" s="504">
        <v>0</v>
      </c>
      <c r="I102" s="504">
        <f>G102+H102</f>
        <v>0</v>
      </c>
      <c r="J102" s="504"/>
      <c r="K102" s="504">
        <f>I102+J102</f>
        <v>0</v>
      </c>
      <c r="L102" s="504"/>
      <c r="M102" s="504">
        <f>K102+L102</f>
        <v>0</v>
      </c>
      <c r="N102" s="504"/>
      <c r="O102" s="504">
        <f>M102+N102</f>
        <v>0</v>
      </c>
    </row>
    <row r="103" spans="1:15" ht="12" customHeight="1">
      <c r="A103" s="580" t="s">
        <v>125</v>
      </c>
      <c r="B103" s="537" t="s">
        <v>380</v>
      </c>
      <c r="C103" s="504"/>
      <c r="D103" s="504"/>
      <c r="E103" s="504"/>
      <c r="F103" s="504"/>
      <c r="G103" s="504"/>
      <c r="H103" s="504"/>
      <c r="I103" s="504"/>
      <c r="J103" s="504"/>
      <c r="K103" s="504"/>
      <c r="L103" s="504"/>
      <c r="M103" s="504"/>
      <c r="N103" s="504"/>
      <c r="O103" s="504"/>
    </row>
    <row r="104" spans="1:15" ht="12" customHeight="1">
      <c r="A104" s="580" t="s">
        <v>127</v>
      </c>
      <c r="B104" s="538" t="s">
        <v>381</v>
      </c>
      <c r="C104" s="504"/>
      <c r="D104" s="504"/>
      <c r="E104" s="504"/>
      <c r="F104" s="504"/>
      <c r="G104" s="504"/>
      <c r="H104" s="504"/>
      <c r="I104" s="504"/>
      <c r="J104" s="504"/>
      <c r="K104" s="504"/>
      <c r="L104" s="504"/>
      <c r="M104" s="504"/>
      <c r="N104" s="504"/>
      <c r="O104" s="504"/>
    </row>
    <row r="105" spans="1:15" ht="12" customHeight="1">
      <c r="A105" s="599" t="s">
        <v>190</v>
      </c>
      <c r="B105" s="540" t="s">
        <v>382</v>
      </c>
      <c r="C105" s="504"/>
      <c r="D105" s="504"/>
      <c r="E105" s="504"/>
      <c r="F105" s="504"/>
      <c r="G105" s="504"/>
      <c r="H105" s="504"/>
      <c r="I105" s="504"/>
      <c r="J105" s="504"/>
      <c r="K105" s="504"/>
      <c r="L105" s="504"/>
      <c r="M105" s="504"/>
      <c r="N105" s="504"/>
      <c r="O105" s="504"/>
    </row>
    <row r="106" spans="1:15" ht="12" customHeight="1">
      <c r="A106" s="580" t="s">
        <v>372</v>
      </c>
      <c r="B106" s="540" t="s">
        <v>383</v>
      </c>
      <c r="C106" s="504"/>
      <c r="D106" s="504"/>
      <c r="E106" s="504"/>
      <c r="F106" s="504"/>
      <c r="G106" s="504"/>
      <c r="H106" s="504"/>
      <c r="I106" s="504"/>
      <c r="J106" s="504"/>
      <c r="K106" s="504"/>
      <c r="L106" s="504"/>
      <c r="M106" s="504"/>
      <c r="N106" s="504"/>
      <c r="O106" s="504"/>
    </row>
    <row r="107" spans="1:15" ht="12" customHeight="1" thickBot="1">
      <c r="A107" s="600" t="s">
        <v>373</v>
      </c>
      <c r="B107" s="542" t="s">
        <v>384</v>
      </c>
      <c r="C107" s="543">
        <v>8250000</v>
      </c>
      <c r="D107" s="543"/>
      <c r="E107" s="543">
        <f>C107+D107</f>
        <v>8250000</v>
      </c>
      <c r="F107" s="543">
        <v>60000</v>
      </c>
      <c r="G107" s="543">
        <f>E107+F107</f>
        <v>8310000</v>
      </c>
      <c r="H107" s="543"/>
      <c r="I107" s="543">
        <f>G107+H107</f>
        <v>8310000</v>
      </c>
      <c r="J107" s="543"/>
      <c r="K107" s="543">
        <f>I107+J107</f>
        <v>8310000</v>
      </c>
      <c r="L107" s="543"/>
      <c r="M107" s="543">
        <f>K107+L107</f>
        <v>8310000</v>
      </c>
      <c r="N107" s="543"/>
      <c r="O107" s="543">
        <f>M107+N107</f>
        <v>8310000</v>
      </c>
    </row>
    <row r="108" spans="1:15" ht="12" customHeight="1" thickBot="1">
      <c r="A108" s="523" t="s">
        <v>21</v>
      </c>
      <c r="B108" s="544" t="s">
        <v>385</v>
      </c>
      <c r="C108" s="493">
        <f aca="true" t="shared" si="26" ref="C108:I108">+C109+C111+C113</f>
        <v>57168656</v>
      </c>
      <c r="D108" s="493">
        <f t="shared" si="26"/>
        <v>0</v>
      </c>
      <c r="E108" s="493">
        <f t="shared" si="26"/>
        <v>57168656</v>
      </c>
      <c r="F108" s="493">
        <f t="shared" si="26"/>
        <v>2926115</v>
      </c>
      <c r="G108" s="493">
        <f t="shared" si="26"/>
        <v>60094771</v>
      </c>
      <c r="H108" s="493">
        <f t="shared" si="26"/>
        <v>43037197</v>
      </c>
      <c r="I108" s="493">
        <f t="shared" si="26"/>
        <v>103131968</v>
      </c>
      <c r="J108" s="493">
        <f>+J109+J111+J113</f>
        <v>16934113</v>
      </c>
      <c r="K108" s="493">
        <f>+K109+K111+K113</f>
        <v>120066081</v>
      </c>
      <c r="L108" s="493">
        <f>+L109+L111+L113+L121</f>
        <v>7635621</v>
      </c>
      <c r="M108" s="493">
        <f>+M109+M111+M113</f>
        <v>127701702</v>
      </c>
      <c r="N108" s="493">
        <f>+N109+N111+N113+N121</f>
        <v>0</v>
      </c>
      <c r="O108" s="493">
        <f>+O109+O111+O113</f>
        <v>127701702</v>
      </c>
    </row>
    <row r="109" spans="1:15" ht="12" customHeight="1">
      <c r="A109" s="578" t="s">
        <v>113</v>
      </c>
      <c r="B109" s="533" t="s">
        <v>234</v>
      </c>
      <c r="C109" s="497">
        <v>24092687</v>
      </c>
      <c r="D109" s="497"/>
      <c r="E109" s="497">
        <f>C109+D109</f>
        <v>24092687</v>
      </c>
      <c r="F109" s="497">
        <v>2926115</v>
      </c>
      <c r="G109" s="497">
        <f>E109+F109</f>
        <v>27018802</v>
      </c>
      <c r="H109" s="497">
        <v>-18000000</v>
      </c>
      <c r="I109" s="497">
        <f>G109+H109</f>
        <v>9018802</v>
      </c>
      <c r="J109" s="497">
        <v>500000</v>
      </c>
      <c r="K109" s="497">
        <f>I109+J109</f>
        <v>9518802</v>
      </c>
      <c r="L109" s="497">
        <v>4999863</v>
      </c>
      <c r="M109" s="497">
        <f>K109+L109</f>
        <v>14518665</v>
      </c>
      <c r="N109" s="497"/>
      <c r="O109" s="497">
        <f>M109+N109</f>
        <v>14518665</v>
      </c>
    </row>
    <row r="110" spans="1:15" ht="12" customHeight="1">
      <c r="A110" s="578" t="s">
        <v>114</v>
      </c>
      <c r="B110" s="545" t="s">
        <v>389</v>
      </c>
      <c r="C110" s="497"/>
      <c r="D110" s="497"/>
      <c r="E110" s="497">
        <f aca="true" t="shared" si="27" ref="E110:E121">C110+D110</f>
        <v>0</v>
      </c>
      <c r="F110" s="497"/>
      <c r="G110" s="497">
        <f aca="true" t="shared" si="28" ref="G110:G121">E110+F110</f>
        <v>0</v>
      </c>
      <c r="H110" s="497"/>
      <c r="I110" s="497">
        <f aca="true" t="shared" si="29" ref="I110:I121">G110+H110</f>
        <v>0</v>
      </c>
      <c r="J110" s="497"/>
      <c r="K110" s="497">
        <f aca="true" t="shared" si="30" ref="K110:K121">I110+J110</f>
        <v>0</v>
      </c>
      <c r="L110" s="497"/>
      <c r="M110" s="497">
        <f aca="true" t="shared" si="31" ref="M110:M121">K110+L110</f>
        <v>0</v>
      </c>
      <c r="N110" s="497"/>
      <c r="O110" s="497">
        <f aca="true" t="shared" si="32" ref="O110:O121">M110+N110</f>
        <v>0</v>
      </c>
    </row>
    <row r="111" spans="1:15" ht="12" customHeight="1">
      <c r="A111" s="578" t="s">
        <v>115</v>
      </c>
      <c r="B111" s="545" t="s">
        <v>191</v>
      </c>
      <c r="C111" s="500">
        <v>30175969</v>
      </c>
      <c r="D111" s="500"/>
      <c r="E111" s="497">
        <f t="shared" si="27"/>
        <v>30175969</v>
      </c>
      <c r="F111" s="500"/>
      <c r="G111" s="497">
        <f t="shared" si="28"/>
        <v>30175969</v>
      </c>
      <c r="H111" s="500">
        <f>48290726+12746471</f>
        <v>61037197</v>
      </c>
      <c r="I111" s="497">
        <f t="shared" si="29"/>
        <v>91213166</v>
      </c>
      <c r="J111" s="500">
        <v>16934113</v>
      </c>
      <c r="K111" s="497">
        <f t="shared" si="30"/>
        <v>108147279</v>
      </c>
      <c r="L111" s="500">
        <v>2635758</v>
      </c>
      <c r="M111" s="497">
        <f t="shared" si="31"/>
        <v>110783037</v>
      </c>
      <c r="N111" s="500"/>
      <c r="O111" s="497">
        <f t="shared" si="32"/>
        <v>110783037</v>
      </c>
    </row>
    <row r="112" spans="1:15" ht="12" customHeight="1">
      <c r="A112" s="578" t="s">
        <v>116</v>
      </c>
      <c r="B112" s="545" t="s">
        <v>390</v>
      </c>
      <c r="C112" s="546"/>
      <c r="D112" s="546"/>
      <c r="E112" s="497">
        <f t="shared" si="27"/>
        <v>0</v>
      </c>
      <c r="F112" s="546"/>
      <c r="G112" s="497">
        <f t="shared" si="28"/>
        <v>0</v>
      </c>
      <c r="H112" s="546"/>
      <c r="I112" s="497">
        <f t="shared" si="29"/>
        <v>0</v>
      </c>
      <c r="J112" s="546"/>
      <c r="K112" s="497">
        <f t="shared" si="30"/>
        <v>0</v>
      </c>
      <c r="L112" s="546"/>
      <c r="M112" s="497">
        <f t="shared" si="31"/>
        <v>0</v>
      </c>
      <c r="N112" s="546"/>
      <c r="O112" s="497">
        <f t="shared" si="32"/>
        <v>0</v>
      </c>
    </row>
    <row r="113" spans="1:15" ht="12" customHeight="1">
      <c r="A113" s="578" t="s">
        <v>117</v>
      </c>
      <c r="B113" s="547" t="s">
        <v>236</v>
      </c>
      <c r="C113" s="546">
        <v>2900000</v>
      </c>
      <c r="D113" s="546"/>
      <c r="E113" s="497">
        <f t="shared" si="27"/>
        <v>2900000</v>
      </c>
      <c r="F113" s="546"/>
      <c r="G113" s="497">
        <f t="shared" si="28"/>
        <v>2900000</v>
      </c>
      <c r="H113" s="546"/>
      <c r="I113" s="497">
        <f t="shared" si="29"/>
        <v>2900000</v>
      </c>
      <c r="J113" s="546">
        <v>-500000</v>
      </c>
      <c r="K113" s="497">
        <f t="shared" si="30"/>
        <v>2400000</v>
      </c>
      <c r="L113" s="546"/>
      <c r="M113" s="497">
        <f t="shared" si="31"/>
        <v>2400000</v>
      </c>
      <c r="N113" s="546"/>
      <c r="O113" s="497">
        <f t="shared" si="32"/>
        <v>2400000</v>
      </c>
    </row>
    <row r="114" spans="1:15" ht="12" customHeight="1">
      <c r="A114" s="578" t="s">
        <v>126</v>
      </c>
      <c r="B114" s="548" t="s">
        <v>499</v>
      </c>
      <c r="C114" s="546"/>
      <c r="D114" s="546"/>
      <c r="E114" s="497">
        <f t="shared" si="27"/>
        <v>0</v>
      </c>
      <c r="F114" s="546"/>
      <c r="G114" s="497">
        <f t="shared" si="28"/>
        <v>0</v>
      </c>
      <c r="H114" s="546"/>
      <c r="I114" s="497">
        <f t="shared" si="29"/>
        <v>0</v>
      </c>
      <c r="J114" s="546"/>
      <c r="K114" s="497">
        <f t="shared" si="30"/>
        <v>0</v>
      </c>
      <c r="L114" s="546"/>
      <c r="M114" s="497">
        <f t="shared" si="31"/>
        <v>0</v>
      </c>
      <c r="N114" s="546"/>
      <c r="O114" s="497">
        <f t="shared" si="32"/>
        <v>0</v>
      </c>
    </row>
    <row r="115" spans="1:15" ht="12" customHeight="1">
      <c r="A115" s="578" t="s">
        <v>128</v>
      </c>
      <c r="B115" s="549" t="s">
        <v>395</v>
      </c>
      <c r="C115" s="546"/>
      <c r="D115" s="546"/>
      <c r="E115" s="497">
        <f t="shared" si="27"/>
        <v>0</v>
      </c>
      <c r="F115" s="546"/>
      <c r="G115" s="497">
        <f t="shared" si="28"/>
        <v>0</v>
      </c>
      <c r="H115" s="546"/>
      <c r="I115" s="497">
        <f t="shared" si="29"/>
        <v>0</v>
      </c>
      <c r="J115" s="546"/>
      <c r="K115" s="497">
        <f t="shared" si="30"/>
        <v>0</v>
      </c>
      <c r="L115" s="546"/>
      <c r="M115" s="497">
        <f t="shared" si="31"/>
        <v>0</v>
      </c>
      <c r="N115" s="546"/>
      <c r="O115" s="497">
        <f t="shared" si="32"/>
        <v>0</v>
      </c>
    </row>
    <row r="116" spans="1:15" ht="12" customHeight="1">
      <c r="A116" s="578" t="s">
        <v>192</v>
      </c>
      <c r="B116" s="538" t="s">
        <v>378</v>
      </c>
      <c r="C116" s="546"/>
      <c r="D116" s="546"/>
      <c r="E116" s="497">
        <f t="shared" si="27"/>
        <v>0</v>
      </c>
      <c r="F116" s="546"/>
      <c r="G116" s="497">
        <f t="shared" si="28"/>
        <v>0</v>
      </c>
      <c r="H116" s="546"/>
      <c r="I116" s="497">
        <f t="shared" si="29"/>
        <v>0</v>
      </c>
      <c r="J116" s="546"/>
      <c r="K116" s="497">
        <f t="shared" si="30"/>
        <v>0</v>
      </c>
      <c r="L116" s="546"/>
      <c r="M116" s="497">
        <f t="shared" si="31"/>
        <v>0</v>
      </c>
      <c r="N116" s="546"/>
      <c r="O116" s="497">
        <f t="shared" si="32"/>
        <v>0</v>
      </c>
    </row>
    <row r="117" spans="1:15" ht="12" customHeight="1">
      <c r="A117" s="578" t="s">
        <v>193</v>
      </c>
      <c r="B117" s="538" t="s">
        <v>394</v>
      </c>
      <c r="C117" s="546"/>
      <c r="D117" s="546"/>
      <c r="E117" s="497">
        <f t="shared" si="27"/>
        <v>0</v>
      </c>
      <c r="F117" s="546"/>
      <c r="G117" s="497">
        <f t="shared" si="28"/>
        <v>0</v>
      </c>
      <c r="H117" s="546"/>
      <c r="I117" s="497">
        <f t="shared" si="29"/>
        <v>0</v>
      </c>
      <c r="J117" s="546"/>
      <c r="K117" s="497">
        <f t="shared" si="30"/>
        <v>0</v>
      </c>
      <c r="L117" s="546"/>
      <c r="M117" s="497">
        <f t="shared" si="31"/>
        <v>0</v>
      </c>
      <c r="N117" s="546"/>
      <c r="O117" s="497">
        <f t="shared" si="32"/>
        <v>0</v>
      </c>
    </row>
    <row r="118" spans="1:15" ht="12" customHeight="1">
      <c r="A118" s="578" t="s">
        <v>194</v>
      </c>
      <c r="B118" s="538" t="s">
        <v>393</v>
      </c>
      <c r="C118" s="546"/>
      <c r="D118" s="546"/>
      <c r="E118" s="497">
        <f t="shared" si="27"/>
        <v>0</v>
      </c>
      <c r="F118" s="546"/>
      <c r="G118" s="497">
        <f t="shared" si="28"/>
        <v>0</v>
      </c>
      <c r="H118" s="546"/>
      <c r="I118" s="497">
        <f t="shared" si="29"/>
        <v>0</v>
      </c>
      <c r="J118" s="546"/>
      <c r="K118" s="497">
        <f t="shared" si="30"/>
        <v>0</v>
      </c>
      <c r="L118" s="546"/>
      <c r="M118" s="497">
        <f t="shared" si="31"/>
        <v>0</v>
      </c>
      <c r="N118" s="546"/>
      <c r="O118" s="497">
        <f t="shared" si="32"/>
        <v>0</v>
      </c>
    </row>
    <row r="119" spans="1:15" ht="12" customHeight="1">
      <c r="A119" s="578" t="s">
        <v>386</v>
      </c>
      <c r="B119" s="538" t="s">
        <v>381</v>
      </c>
      <c r="C119" s="546"/>
      <c r="D119" s="546"/>
      <c r="E119" s="497">
        <f t="shared" si="27"/>
        <v>0</v>
      </c>
      <c r="F119" s="546"/>
      <c r="G119" s="497">
        <f t="shared" si="28"/>
        <v>0</v>
      </c>
      <c r="H119" s="546"/>
      <c r="I119" s="497">
        <f t="shared" si="29"/>
        <v>0</v>
      </c>
      <c r="J119" s="546"/>
      <c r="K119" s="497">
        <f t="shared" si="30"/>
        <v>0</v>
      </c>
      <c r="L119" s="546"/>
      <c r="M119" s="497">
        <f t="shared" si="31"/>
        <v>0</v>
      </c>
      <c r="N119" s="546"/>
      <c r="O119" s="497">
        <f t="shared" si="32"/>
        <v>0</v>
      </c>
    </row>
    <row r="120" spans="1:15" ht="12" customHeight="1">
      <c r="A120" s="578" t="s">
        <v>387</v>
      </c>
      <c r="B120" s="538" t="s">
        <v>392</v>
      </c>
      <c r="C120" s="546"/>
      <c r="D120" s="546"/>
      <c r="E120" s="497">
        <f t="shared" si="27"/>
        <v>0</v>
      </c>
      <c r="F120" s="546"/>
      <c r="G120" s="497">
        <f t="shared" si="28"/>
        <v>0</v>
      </c>
      <c r="H120" s="546"/>
      <c r="I120" s="497">
        <f t="shared" si="29"/>
        <v>0</v>
      </c>
      <c r="J120" s="546"/>
      <c r="K120" s="497">
        <f t="shared" si="30"/>
        <v>0</v>
      </c>
      <c r="L120" s="546"/>
      <c r="M120" s="497">
        <f t="shared" si="31"/>
        <v>0</v>
      </c>
      <c r="N120" s="546"/>
      <c r="O120" s="497">
        <f t="shared" si="32"/>
        <v>0</v>
      </c>
    </row>
    <row r="121" spans="1:15" ht="12" customHeight="1" thickBot="1">
      <c r="A121" s="599" t="s">
        <v>388</v>
      </c>
      <c r="B121" s="538" t="s">
        <v>391</v>
      </c>
      <c r="C121" s="550">
        <v>2900000</v>
      </c>
      <c r="D121" s="550"/>
      <c r="E121" s="497">
        <f t="shared" si="27"/>
        <v>2900000</v>
      </c>
      <c r="F121" s="550"/>
      <c r="G121" s="497">
        <f t="shared" si="28"/>
        <v>2900000</v>
      </c>
      <c r="H121" s="550"/>
      <c r="I121" s="497">
        <f t="shared" si="29"/>
        <v>2900000</v>
      </c>
      <c r="J121" s="550">
        <v>-500000</v>
      </c>
      <c r="K121" s="497">
        <f t="shared" si="30"/>
        <v>2400000</v>
      </c>
      <c r="L121" s="550"/>
      <c r="M121" s="497">
        <f t="shared" si="31"/>
        <v>2400000</v>
      </c>
      <c r="N121" s="550"/>
      <c r="O121" s="497">
        <f t="shared" si="32"/>
        <v>2400000</v>
      </c>
    </row>
    <row r="122" spans="1:15" ht="12" customHeight="1" thickBot="1">
      <c r="A122" s="523" t="s">
        <v>22</v>
      </c>
      <c r="B122" s="551" t="s">
        <v>396</v>
      </c>
      <c r="C122" s="493">
        <f aca="true" t="shared" si="33" ref="C122:O122">+C123+C124</f>
        <v>37406066</v>
      </c>
      <c r="D122" s="493">
        <f t="shared" si="33"/>
        <v>-2118248</v>
      </c>
      <c r="E122" s="493">
        <f t="shared" si="33"/>
        <v>35287818</v>
      </c>
      <c r="F122" s="493">
        <f t="shared" si="33"/>
        <v>-60000</v>
      </c>
      <c r="G122" s="493">
        <f t="shared" si="33"/>
        <v>35227818</v>
      </c>
      <c r="H122" s="493">
        <f t="shared" si="33"/>
        <v>-30290726</v>
      </c>
      <c r="I122" s="493">
        <f t="shared" si="33"/>
        <v>4937092</v>
      </c>
      <c r="J122" s="493">
        <f t="shared" si="33"/>
        <v>-807688</v>
      </c>
      <c r="K122" s="493">
        <f t="shared" si="33"/>
        <v>4129404</v>
      </c>
      <c r="L122" s="493">
        <f t="shared" si="33"/>
        <v>78661246</v>
      </c>
      <c r="M122" s="493">
        <f t="shared" si="33"/>
        <v>82790650</v>
      </c>
      <c r="N122" s="493">
        <f t="shared" si="33"/>
        <v>383705</v>
      </c>
      <c r="O122" s="493">
        <f t="shared" si="33"/>
        <v>83174355</v>
      </c>
    </row>
    <row r="123" spans="1:15" ht="12" customHeight="1">
      <c r="A123" s="578" t="s">
        <v>96</v>
      </c>
      <c r="B123" s="552" t="s">
        <v>63</v>
      </c>
      <c r="C123" s="497">
        <v>37406066</v>
      </c>
      <c r="D123" s="497">
        <f>-1352059-266700-499489</f>
        <v>-2118248</v>
      </c>
      <c r="E123" s="497">
        <f>C123+D123</f>
        <v>35287818</v>
      </c>
      <c r="F123" s="497">
        <v>-60000</v>
      </c>
      <c r="G123" s="497">
        <f>E123+F123</f>
        <v>35227818</v>
      </c>
      <c r="H123" s="497">
        <v>-30290726</v>
      </c>
      <c r="I123" s="497">
        <f>G123+H123</f>
        <v>4937092</v>
      </c>
      <c r="J123" s="497">
        <v>-807688</v>
      </c>
      <c r="K123" s="497">
        <f>I123+J123</f>
        <v>4129404</v>
      </c>
      <c r="L123" s="497">
        <v>78661246</v>
      </c>
      <c r="M123" s="497">
        <f>K123+L123</f>
        <v>82790650</v>
      </c>
      <c r="N123" s="497">
        <v>383705</v>
      </c>
      <c r="O123" s="497">
        <f>M123+N123</f>
        <v>83174355</v>
      </c>
    </row>
    <row r="124" spans="1:15" ht="12" customHeight="1" thickBot="1">
      <c r="A124" s="583" t="s">
        <v>97</v>
      </c>
      <c r="B124" s="545" t="s">
        <v>64</v>
      </c>
      <c r="C124" s="504"/>
      <c r="D124" s="504"/>
      <c r="E124" s="504"/>
      <c r="F124" s="504"/>
      <c r="G124" s="504"/>
      <c r="H124" s="504"/>
      <c r="I124" s="504"/>
      <c r="J124" s="504"/>
      <c r="K124" s="504"/>
      <c r="L124" s="504"/>
      <c r="M124" s="504"/>
      <c r="N124" s="504"/>
      <c r="O124" s="504"/>
    </row>
    <row r="125" spans="1:15" ht="12" customHeight="1" thickBot="1">
      <c r="A125" s="523" t="s">
        <v>23</v>
      </c>
      <c r="B125" s="551" t="s">
        <v>397</v>
      </c>
      <c r="C125" s="493">
        <f aca="true" t="shared" si="34" ref="C125:O125">+C92+C108+C122</f>
        <v>256456106</v>
      </c>
      <c r="D125" s="493">
        <f t="shared" si="34"/>
        <v>-1352059</v>
      </c>
      <c r="E125" s="493">
        <f t="shared" si="34"/>
        <v>255104047</v>
      </c>
      <c r="F125" s="493">
        <f t="shared" si="34"/>
        <v>10781016</v>
      </c>
      <c r="G125" s="493">
        <f t="shared" si="34"/>
        <v>265885063</v>
      </c>
      <c r="H125" s="493">
        <f t="shared" si="34"/>
        <v>16544744</v>
      </c>
      <c r="I125" s="493">
        <f t="shared" si="34"/>
        <v>282429807</v>
      </c>
      <c r="J125" s="493">
        <f t="shared" si="34"/>
        <v>16845964</v>
      </c>
      <c r="K125" s="493">
        <f t="shared" si="34"/>
        <v>299275771</v>
      </c>
      <c r="L125" s="493">
        <f t="shared" si="34"/>
        <v>88093042</v>
      </c>
      <c r="M125" s="493">
        <f t="shared" si="34"/>
        <v>387368813</v>
      </c>
      <c r="N125" s="493">
        <f t="shared" si="34"/>
        <v>254503</v>
      </c>
      <c r="O125" s="493">
        <f t="shared" si="34"/>
        <v>387623316</v>
      </c>
    </row>
    <row r="126" spans="1:15" ht="12" customHeight="1" thickBot="1">
      <c r="A126" s="523" t="s">
        <v>24</v>
      </c>
      <c r="B126" s="551" t="s">
        <v>398</v>
      </c>
      <c r="C126" s="493">
        <f aca="true" t="shared" si="35" ref="C126:O126">+C127+C128+C129</f>
        <v>0</v>
      </c>
      <c r="D126" s="493">
        <f t="shared" si="35"/>
        <v>0</v>
      </c>
      <c r="E126" s="493">
        <f t="shared" si="35"/>
        <v>0</v>
      </c>
      <c r="F126" s="493">
        <f t="shared" si="35"/>
        <v>0</v>
      </c>
      <c r="G126" s="493">
        <f t="shared" si="35"/>
        <v>0</v>
      </c>
      <c r="H126" s="493">
        <f t="shared" si="35"/>
        <v>0</v>
      </c>
      <c r="I126" s="493">
        <f t="shared" si="35"/>
        <v>0</v>
      </c>
      <c r="J126" s="493">
        <f t="shared" si="35"/>
        <v>0</v>
      </c>
      <c r="K126" s="493">
        <f t="shared" si="35"/>
        <v>0</v>
      </c>
      <c r="L126" s="493">
        <f t="shared" si="35"/>
        <v>0</v>
      </c>
      <c r="M126" s="493">
        <f t="shared" si="35"/>
        <v>0</v>
      </c>
      <c r="N126" s="493">
        <f t="shared" si="35"/>
        <v>0</v>
      </c>
      <c r="O126" s="493">
        <f t="shared" si="35"/>
        <v>0</v>
      </c>
    </row>
    <row r="127" spans="1:15" s="597" customFormat="1" ht="12" customHeight="1">
      <c r="A127" s="578" t="s">
        <v>100</v>
      </c>
      <c r="B127" s="552" t="s">
        <v>399</v>
      </c>
      <c r="C127" s="546"/>
      <c r="D127" s="546"/>
      <c r="E127" s="546"/>
      <c r="F127" s="546"/>
      <c r="G127" s="546"/>
      <c r="H127" s="546"/>
      <c r="I127" s="546"/>
      <c r="J127" s="546"/>
      <c r="K127" s="546"/>
      <c r="L127" s="546"/>
      <c r="M127" s="546"/>
      <c r="N127" s="546"/>
      <c r="O127" s="546"/>
    </row>
    <row r="128" spans="1:15" ht="12" customHeight="1">
      <c r="A128" s="578" t="s">
        <v>101</v>
      </c>
      <c r="B128" s="552" t="s">
        <v>400</v>
      </c>
      <c r="C128" s="546"/>
      <c r="D128" s="546"/>
      <c r="E128" s="546"/>
      <c r="F128" s="546"/>
      <c r="G128" s="546"/>
      <c r="H128" s="546"/>
      <c r="I128" s="546"/>
      <c r="J128" s="546"/>
      <c r="K128" s="546"/>
      <c r="L128" s="546"/>
      <c r="M128" s="546"/>
      <c r="N128" s="546"/>
      <c r="O128" s="546"/>
    </row>
    <row r="129" spans="1:15" ht="12" customHeight="1" thickBot="1">
      <c r="A129" s="599" t="s">
        <v>102</v>
      </c>
      <c r="B129" s="553" t="s">
        <v>401</v>
      </c>
      <c r="C129" s="546"/>
      <c r="D129" s="546"/>
      <c r="E129" s="546"/>
      <c r="F129" s="546"/>
      <c r="G129" s="546"/>
      <c r="H129" s="546"/>
      <c r="I129" s="546"/>
      <c r="J129" s="546"/>
      <c r="K129" s="546"/>
      <c r="L129" s="546"/>
      <c r="M129" s="546"/>
      <c r="N129" s="546"/>
      <c r="O129" s="546"/>
    </row>
    <row r="130" spans="1:15" ht="12" customHeight="1" thickBot="1">
      <c r="A130" s="523" t="s">
        <v>25</v>
      </c>
      <c r="B130" s="551" t="s">
        <v>458</v>
      </c>
      <c r="C130" s="493">
        <f aca="true" t="shared" si="36" ref="C130:O130">+C131+C132+C133+C134</f>
        <v>0</v>
      </c>
      <c r="D130" s="493">
        <f t="shared" si="36"/>
        <v>0</v>
      </c>
      <c r="E130" s="493">
        <f t="shared" si="36"/>
        <v>0</v>
      </c>
      <c r="F130" s="493">
        <f t="shared" si="36"/>
        <v>0</v>
      </c>
      <c r="G130" s="493">
        <f t="shared" si="36"/>
        <v>0</v>
      </c>
      <c r="H130" s="493">
        <f t="shared" si="36"/>
        <v>0</v>
      </c>
      <c r="I130" s="493">
        <f t="shared" si="36"/>
        <v>0</v>
      </c>
      <c r="J130" s="493">
        <f t="shared" si="36"/>
        <v>0</v>
      </c>
      <c r="K130" s="493">
        <f t="shared" si="36"/>
        <v>0</v>
      </c>
      <c r="L130" s="493">
        <f t="shared" si="36"/>
        <v>0</v>
      </c>
      <c r="M130" s="493">
        <f t="shared" si="36"/>
        <v>0</v>
      </c>
      <c r="N130" s="493">
        <f t="shared" si="36"/>
        <v>0</v>
      </c>
      <c r="O130" s="493">
        <f t="shared" si="36"/>
        <v>0</v>
      </c>
    </row>
    <row r="131" spans="1:15" ht="12" customHeight="1">
      <c r="A131" s="578" t="s">
        <v>103</v>
      </c>
      <c r="B131" s="552" t="s">
        <v>402</v>
      </c>
      <c r="C131" s="546"/>
      <c r="D131" s="546"/>
      <c r="E131" s="546"/>
      <c r="F131" s="546"/>
      <c r="G131" s="546"/>
      <c r="H131" s="546"/>
      <c r="I131" s="546"/>
      <c r="J131" s="546"/>
      <c r="K131" s="546"/>
      <c r="L131" s="546"/>
      <c r="M131" s="546"/>
      <c r="N131" s="546"/>
      <c r="O131" s="546"/>
    </row>
    <row r="132" spans="1:15" ht="12" customHeight="1">
      <c r="A132" s="578" t="s">
        <v>104</v>
      </c>
      <c r="B132" s="552" t="s">
        <v>403</v>
      </c>
      <c r="C132" s="546"/>
      <c r="D132" s="546"/>
      <c r="E132" s="546"/>
      <c r="F132" s="546"/>
      <c r="G132" s="546"/>
      <c r="H132" s="546"/>
      <c r="I132" s="546"/>
      <c r="J132" s="546"/>
      <c r="K132" s="546"/>
      <c r="L132" s="546"/>
      <c r="M132" s="546"/>
      <c r="N132" s="546"/>
      <c r="O132" s="546"/>
    </row>
    <row r="133" spans="1:15" ht="12" customHeight="1">
      <c r="A133" s="578" t="s">
        <v>305</v>
      </c>
      <c r="B133" s="552" t="s">
        <v>404</v>
      </c>
      <c r="C133" s="546"/>
      <c r="D133" s="546"/>
      <c r="E133" s="546"/>
      <c r="F133" s="546"/>
      <c r="G133" s="546"/>
      <c r="H133" s="546"/>
      <c r="I133" s="546"/>
      <c r="J133" s="546"/>
      <c r="K133" s="546"/>
      <c r="L133" s="546"/>
      <c r="M133" s="546"/>
      <c r="N133" s="546"/>
      <c r="O133" s="546"/>
    </row>
    <row r="134" spans="1:15" s="597" customFormat="1" ht="12" customHeight="1" thickBot="1">
      <c r="A134" s="599" t="s">
        <v>306</v>
      </c>
      <c r="B134" s="553" t="s">
        <v>405</v>
      </c>
      <c r="C134" s="546"/>
      <c r="D134" s="546"/>
      <c r="E134" s="546"/>
      <c r="F134" s="546"/>
      <c r="G134" s="546"/>
      <c r="H134" s="546"/>
      <c r="I134" s="546"/>
      <c r="J134" s="546"/>
      <c r="K134" s="546"/>
      <c r="L134" s="546"/>
      <c r="M134" s="546"/>
      <c r="N134" s="546"/>
      <c r="O134" s="546"/>
    </row>
    <row r="135" spans="1:21" ht="12" customHeight="1" thickBot="1">
      <c r="A135" s="523" t="s">
        <v>26</v>
      </c>
      <c r="B135" s="551" t="s">
        <v>406</v>
      </c>
      <c r="C135" s="505">
        <f aca="true" t="shared" si="37" ref="C135:O135">+C136+C137+C138+C139</f>
        <v>130026543</v>
      </c>
      <c r="D135" s="505">
        <f t="shared" si="37"/>
        <v>0</v>
      </c>
      <c r="E135" s="505">
        <f t="shared" si="37"/>
        <v>130026543</v>
      </c>
      <c r="F135" s="505">
        <f t="shared" si="37"/>
        <v>7307600</v>
      </c>
      <c r="G135" s="505">
        <f t="shared" si="37"/>
        <v>137334143</v>
      </c>
      <c r="H135" s="505">
        <f t="shared" si="37"/>
        <v>2842660</v>
      </c>
      <c r="I135" s="505">
        <f t="shared" si="37"/>
        <v>140176803</v>
      </c>
      <c r="J135" s="505">
        <f t="shared" si="37"/>
        <v>0</v>
      </c>
      <c r="K135" s="505">
        <f t="shared" si="37"/>
        <v>140176803</v>
      </c>
      <c r="L135" s="505">
        <f t="shared" si="37"/>
        <v>-1504621</v>
      </c>
      <c r="M135" s="505">
        <f t="shared" si="37"/>
        <v>138672182</v>
      </c>
      <c r="N135" s="505">
        <f t="shared" si="37"/>
        <v>0</v>
      </c>
      <c r="O135" s="505">
        <f t="shared" si="37"/>
        <v>138672182</v>
      </c>
      <c r="U135" s="601"/>
    </row>
    <row r="136" spans="1:15" ht="12.75">
      <c r="A136" s="578" t="s">
        <v>105</v>
      </c>
      <c r="B136" s="552" t="s">
        <v>407</v>
      </c>
      <c r="C136" s="546"/>
      <c r="D136" s="546"/>
      <c r="E136" s="546"/>
      <c r="F136" s="546"/>
      <c r="G136" s="546"/>
      <c r="H136" s="546"/>
      <c r="I136" s="546"/>
      <c r="J136" s="546"/>
      <c r="K136" s="546"/>
      <c r="L136" s="546"/>
      <c r="M136" s="546"/>
      <c r="N136" s="546"/>
      <c r="O136" s="546"/>
    </row>
    <row r="137" spans="1:15" ht="12" customHeight="1">
      <c r="A137" s="578" t="s">
        <v>106</v>
      </c>
      <c r="B137" s="552" t="s">
        <v>417</v>
      </c>
      <c r="C137" s="546">
        <v>4649687</v>
      </c>
      <c r="D137" s="546"/>
      <c r="E137" s="546">
        <f>C137+D137</f>
        <v>4649687</v>
      </c>
      <c r="F137" s="546"/>
      <c r="G137" s="546">
        <f>E137+F137</f>
        <v>4649687</v>
      </c>
      <c r="H137" s="546"/>
      <c r="I137" s="546">
        <f>G137+H137</f>
        <v>4649687</v>
      </c>
      <c r="J137" s="546"/>
      <c r="K137" s="546">
        <f>I137+J137</f>
        <v>4649687</v>
      </c>
      <c r="L137" s="546"/>
      <c r="M137" s="546">
        <f>K137+L137</f>
        <v>4649687</v>
      </c>
      <c r="N137" s="546"/>
      <c r="O137" s="546">
        <f>M137+N137</f>
        <v>4649687</v>
      </c>
    </row>
    <row r="138" spans="1:15" s="597" customFormat="1" ht="12" customHeight="1">
      <c r="A138" s="578" t="s">
        <v>318</v>
      </c>
      <c r="B138" s="694" t="s">
        <v>481</v>
      </c>
      <c r="C138" s="504">
        <v>125376856</v>
      </c>
      <c r="D138" s="504"/>
      <c r="E138" s="504">
        <f>C138+D138</f>
        <v>125376856</v>
      </c>
      <c r="F138" s="504">
        <v>7307600</v>
      </c>
      <c r="G138" s="504">
        <f>E138+F138</f>
        <v>132684456</v>
      </c>
      <c r="H138" s="504">
        <v>2842660</v>
      </c>
      <c r="I138" s="504">
        <f>G138+H138</f>
        <v>135527116</v>
      </c>
      <c r="J138" s="504"/>
      <c r="K138" s="504">
        <f>I138+J138</f>
        <v>135527116</v>
      </c>
      <c r="L138" s="504">
        <v>-1504621</v>
      </c>
      <c r="M138" s="504">
        <f>K138+L138</f>
        <v>134022495</v>
      </c>
      <c r="N138" s="504"/>
      <c r="O138" s="504">
        <f>M138+N138</f>
        <v>134022495</v>
      </c>
    </row>
    <row r="139" spans="1:15" s="597" customFormat="1" ht="12" customHeight="1">
      <c r="A139" s="580" t="s">
        <v>319</v>
      </c>
      <c r="B139" s="552" t="s">
        <v>408</v>
      </c>
      <c r="C139" s="546"/>
      <c r="D139" s="546"/>
      <c r="E139" s="546"/>
      <c r="F139" s="546"/>
      <c r="G139" s="546"/>
      <c r="H139" s="546"/>
      <c r="I139" s="546"/>
      <c r="J139" s="546"/>
      <c r="K139" s="546"/>
      <c r="L139" s="546"/>
      <c r="M139" s="546"/>
      <c r="N139" s="546"/>
      <c r="O139" s="546"/>
    </row>
    <row r="140" spans="1:15" s="597" customFormat="1" ht="12" customHeight="1" thickBot="1">
      <c r="A140" s="578" t="s">
        <v>605</v>
      </c>
      <c r="B140" s="533" t="s">
        <v>409</v>
      </c>
      <c r="C140" s="546"/>
      <c r="D140" s="546"/>
      <c r="E140" s="546"/>
      <c r="F140" s="546"/>
      <c r="G140" s="546"/>
      <c r="H140" s="546"/>
      <c r="I140" s="546"/>
      <c r="J140" s="546"/>
      <c r="K140" s="546"/>
      <c r="L140" s="546"/>
      <c r="M140" s="546"/>
      <c r="N140" s="546"/>
      <c r="O140" s="546"/>
    </row>
    <row r="141" spans="1:15" s="597" customFormat="1" ht="12" customHeight="1" thickBot="1">
      <c r="A141" s="523" t="s">
        <v>27</v>
      </c>
      <c r="B141" s="551" t="s">
        <v>410</v>
      </c>
      <c r="C141" s="554">
        <f aca="true" t="shared" si="38" ref="C141:O141">+C142+C143+C144+C145</f>
        <v>0</v>
      </c>
      <c r="D141" s="554">
        <f t="shared" si="38"/>
        <v>0</v>
      </c>
      <c r="E141" s="554">
        <f t="shared" si="38"/>
        <v>0</v>
      </c>
      <c r="F141" s="554">
        <f t="shared" si="38"/>
        <v>0</v>
      </c>
      <c r="G141" s="554">
        <f t="shared" si="38"/>
        <v>0</v>
      </c>
      <c r="H141" s="554">
        <f t="shared" si="38"/>
        <v>0</v>
      </c>
      <c r="I141" s="554">
        <f t="shared" si="38"/>
        <v>0</v>
      </c>
      <c r="J141" s="554">
        <f t="shared" si="38"/>
        <v>0</v>
      </c>
      <c r="K141" s="554">
        <f t="shared" si="38"/>
        <v>0</v>
      </c>
      <c r="L141" s="554">
        <f t="shared" si="38"/>
        <v>0</v>
      </c>
      <c r="M141" s="554">
        <f t="shared" si="38"/>
        <v>0</v>
      </c>
      <c r="N141" s="554">
        <f t="shared" si="38"/>
        <v>0</v>
      </c>
      <c r="O141" s="554">
        <f t="shared" si="38"/>
        <v>0</v>
      </c>
    </row>
    <row r="142" spans="1:15" s="597" customFormat="1" ht="12" customHeight="1">
      <c r="A142" s="578" t="s">
        <v>185</v>
      </c>
      <c r="B142" s="552" t="s">
        <v>411</v>
      </c>
      <c r="C142" s="546"/>
      <c r="D142" s="546"/>
      <c r="E142" s="546"/>
      <c r="F142" s="546"/>
      <c r="G142" s="546"/>
      <c r="H142" s="546"/>
      <c r="I142" s="546"/>
      <c r="J142" s="546"/>
      <c r="K142" s="546"/>
      <c r="L142" s="546"/>
      <c r="M142" s="546"/>
      <c r="N142" s="546"/>
      <c r="O142" s="546"/>
    </row>
    <row r="143" spans="1:15" s="597" customFormat="1" ht="12" customHeight="1">
      <c r="A143" s="578" t="s">
        <v>186</v>
      </c>
      <c r="B143" s="552" t="s">
        <v>412</v>
      </c>
      <c r="C143" s="546"/>
      <c r="D143" s="546"/>
      <c r="E143" s="546"/>
      <c r="F143" s="546"/>
      <c r="G143" s="546"/>
      <c r="H143" s="546"/>
      <c r="I143" s="546"/>
      <c r="J143" s="546"/>
      <c r="K143" s="546"/>
      <c r="L143" s="546"/>
      <c r="M143" s="546"/>
      <c r="N143" s="546"/>
      <c r="O143" s="546"/>
    </row>
    <row r="144" spans="1:15" s="597" customFormat="1" ht="12" customHeight="1">
      <c r="A144" s="578" t="s">
        <v>235</v>
      </c>
      <c r="B144" s="552" t="s">
        <v>413</v>
      </c>
      <c r="C144" s="546"/>
      <c r="D144" s="546"/>
      <c r="E144" s="546"/>
      <c r="F144" s="546"/>
      <c r="G144" s="546"/>
      <c r="H144" s="546"/>
      <c r="I144" s="546"/>
      <c r="J144" s="546"/>
      <c r="K144" s="546"/>
      <c r="L144" s="546"/>
      <c r="M144" s="546"/>
      <c r="N144" s="546"/>
      <c r="O144" s="546"/>
    </row>
    <row r="145" spans="1:15" ht="12.75" customHeight="1" thickBot="1">
      <c r="A145" s="578" t="s">
        <v>321</v>
      </c>
      <c r="B145" s="552" t="s">
        <v>414</v>
      </c>
      <c r="C145" s="546"/>
      <c r="D145" s="546"/>
      <c r="E145" s="546"/>
      <c r="F145" s="546"/>
      <c r="G145" s="546"/>
      <c r="H145" s="546"/>
      <c r="I145" s="546"/>
      <c r="J145" s="546"/>
      <c r="K145" s="546"/>
      <c r="L145" s="546"/>
      <c r="M145" s="546"/>
      <c r="N145" s="546"/>
      <c r="O145" s="546"/>
    </row>
    <row r="146" spans="1:15" ht="12" customHeight="1" thickBot="1">
      <c r="A146" s="523" t="s">
        <v>28</v>
      </c>
      <c r="B146" s="551" t="s">
        <v>415</v>
      </c>
      <c r="C146" s="555">
        <f aca="true" t="shared" si="39" ref="C146:O146">+C126+C130+C135+C141</f>
        <v>130026543</v>
      </c>
      <c r="D146" s="555">
        <f t="shared" si="39"/>
        <v>0</v>
      </c>
      <c r="E146" s="555">
        <f t="shared" si="39"/>
        <v>130026543</v>
      </c>
      <c r="F146" s="555">
        <f t="shared" si="39"/>
        <v>7307600</v>
      </c>
      <c r="G146" s="555">
        <f t="shared" si="39"/>
        <v>137334143</v>
      </c>
      <c r="H146" s="555">
        <f t="shared" si="39"/>
        <v>2842660</v>
      </c>
      <c r="I146" s="555">
        <f t="shared" si="39"/>
        <v>140176803</v>
      </c>
      <c r="J146" s="555">
        <f t="shared" si="39"/>
        <v>0</v>
      </c>
      <c r="K146" s="555">
        <f t="shared" si="39"/>
        <v>140176803</v>
      </c>
      <c r="L146" s="555">
        <f t="shared" si="39"/>
        <v>-1504621</v>
      </c>
      <c r="M146" s="555">
        <f t="shared" si="39"/>
        <v>138672182</v>
      </c>
      <c r="N146" s="555">
        <f t="shared" si="39"/>
        <v>0</v>
      </c>
      <c r="O146" s="555">
        <f t="shared" si="39"/>
        <v>138672182</v>
      </c>
    </row>
    <row r="147" spans="1:15" ht="15" customHeight="1" thickBot="1">
      <c r="A147" s="602" t="s">
        <v>29</v>
      </c>
      <c r="B147" s="559" t="s">
        <v>416</v>
      </c>
      <c r="C147" s="555">
        <f aca="true" t="shared" si="40" ref="C147:O147">+C125+C146</f>
        <v>386482649</v>
      </c>
      <c r="D147" s="555">
        <f t="shared" si="40"/>
        <v>-1352059</v>
      </c>
      <c r="E147" s="555">
        <f t="shared" si="40"/>
        <v>385130590</v>
      </c>
      <c r="F147" s="555">
        <f t="shared" si="40"/>
        <v>18088616</v>
      </c>
      <c r="G147" s="555">
        <f t="shared" si="40"/>
        <v>403219206</v>
      </c>
      <c r="H147" s="555">
        <f t="shared" si="40"/>
        <v>19387404</v>
      </c>
      <c r="I147" s="555">
        <f t="shared" si="40"/>
        <v>422606610</v>
      </c>
      <c r="J147" s="555">
        <f t="shared" si="40"/>
        <v>16845964</v>
      </c>
      <c r="K147" s="555">
        <f t="shared" si="40"/>
        <v>439452574</v>
      </c>
      <c r="L147" s="555">
        <f t="shared" si="40"/>
        <v>86588421</v>
      </c>
      <c r="M147" s="555">
        <f t="shared" si="40"/>
        <v>526040995</v>
      </c>
      <c r="N147" s="555">
        <f t="shared" si="40"/>
        <v>254503</v>
      </c>
      <c r="O147" s="555">
        <f t="shared" si="40"/>
        <v>526295498</v>
      </c>
    </row>
    <row r="149" spans="1:15" ht="15" customHeight="1" hidden="1" thickBot="1">
      <c r="A149" s="603" t="s">
        <v>210</v>
      </c>
      <c r="B149" s="604"/>
      <c r="C149" s="605">
        <v>10</v>
      </c>
      <c r="D149" s="605">
        <v>0</v>
      </c>
      <c r="E149" s="605">
        <v>0</v>
      </c>
      <c r="F149" s="605">
        <v>0</v>
      </c>
      <c r="G149" s="605">
        <v>0</v>
      </c>
      <c r="H149" s="605"/>
      <c r="I149" s="605">
        <v>0</v>
      </c>
      <c r="J149" s="605"/>
      <c r="K149" s="605">
        <v>0</v>
      </c>
      <c r="L149" s="605"/>
      <c r="M149" s="605">
        <v>0</v>
      </c>
      <c r="N149" s="605"/>
      <c r="O149" s="605">
        <v>0</v>
      </c>
    </row>
    <row r="150" spans="1:15" ht="14.25" customHeight="1" hidden="1" thickBot="1">
      <c r="A150" s="603" t="s">
        <v>211</v>
      </c>
      <c r="B150" s="604"/>
      <c r="C150" s="605">
        <v>6</v>
      </c>
      <c r="D150" s="605">
        <v>0</v>
      </c>
      <c r="E150" s="605">
        <v>0</v>
      </c>
      <c r="F150" s="605">
        <v>0</v>
      </c>
      <c r="G150" s="605">
        <v>0</v>
      </c>
      <c r="H150" s="605"/>
      <c r="I150" s="605">
        <v>0</v>
      </c>
      <c r="J150" s="605"/>
      <c r="K150" s="605">
        <v>0</v>
      </c>
      <c r="L150" s="605"/>
      <c r="M150" s="605">
        <v>0</v>
      </c>
      <c r="N150" s="605"/>
      <c r="O150" s="605">
        <v>0</v>
      </c>
    </row>
  </sheetData>
  <sheetProtection formatCells="0"/>
  <mergeCells count="5">
    <mergeCell ref="M1:O1"/>
    <mergeCell ref="B3:N3"/>
    <mergeCell ref="B4:N4"/>
    <mergeCell ref="A8:I8"/>
    <mergeCell ref="B91:O9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W150"/>
  <sheetViews>
    <sheetView zoomScaleSheetLayoutView="85" workbookViewId="0" topLeftCell="A1">
      <selection activeCell="O1" sqref="O1:Q1"/>
    </sheetView>
  </sheetViews>
  <sheetFormatPr defaultColWidth="9.00390625" defaultRowHeight="12.75"/>
  <cols>
    <col min="1" max="1" width="19.50390625" style="475" customWidth="1"/>
    <col min="2" max="2" width="64.625" style="476" customWidth="1"/>
    <col min="3" max="3" width="16.375" style="477" customWidth="1"/>
    <col min="4" max="4" width="17.875" style="477" hidden="1" customWidth="1"/>
    <col min="5" max="5" width="17.00390625" style="477" hidden="1" customWidth="1"/>
    <col min="6" max="6" width="17.875" style="477" hidden="1" customWidth="1"/>
    <col min="7" max="7" width="15.875" style="477" hidden="1" customWidth="1"/>
    <col min="8" max="8" width="16.00390625" style="477" hidden="1" customWidth="1"/>
    <col min="9" max="9" width="15.00390625" style="477" hidden="1" customWidth="1"/>
    <col min="10" max="10" width="17.50390625" style="477" hidden="1" customWidth="1"/>
    <col min="11" max="11" width="15.00390625" style="477" hidden="1" customWidth="1"/>
    <col min="12" max="12" width="17.50390625" style="477" hidden="1" customWidth="1"/>
    <col min="13" max="13" width="17.875" style="477" hidden="1" customWidth="1"/>
    <col min="14" max="14" width="17.50390625" style="477" hidden="1" customWidth="1"/>
    <col min="15" max="15" width="17.875" style="477" customWidth="1"/>
    <col min="16" max="16" width="17.50390625" style="477" customWidth="1"/>
    <col min="17" max="17" width="17.875" style="477" customWidth="1"/>
    <col min="18" max="16384" width="9.375" style="478" customWidth="1"/>
  </cols>
  <sheetData>
    <row r="1" spans="5:17" ht="12.75">
      <c r="E1" s="244"/>
      <c r="G1" s="244"/>
      <c r="I1" s="244"/>
      <c r="K1" s="244"/>
      <c r="M1" s="244"/>
      <c r="O1" s="813" t="s">
        <v>621</v>
      </c>
      <c r="P1" s="813"/>
      <c r="Q1" s="813"/>
    </row>
    <row r="2" spans="1:17" s="481" customFormat="1" ht="16.5" customHeight="1" thickBot="1">
      <c r="A2" s="479"/>
      <c r="B2" s="480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 t="s">
        <v>568</v>
      </c>
    </row>
    <row r="3" spans="1:17" s="563" customFormat="1" ht="21" customHeight="1">
      <c r="A3" s="561" t="s">
        <v>68</v>
      </c>
      <c r="B3" s="779" t="s">
        <v>230</v>
      </c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  <c r="N3" s="780"/>
      <c r="O3" s="780"/>
      <c r="P3" s="781"/>
      <c r="Q3" s="562" t="s">
        <v>55</v>
      </c>
    </row>
    <row r="4" spans="1:17" s="563" customFormat="1" ht="16.5" thickBot="1">
      <c r="A4" s="564" t="s">
        <v>207</v>
      </c>
      <c r="B4" s="782" t="s">
        <v>500</v>
      </c>
      <c r="C4" s="783"/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3"/>
      <c r="O4" s="783"/>
      <c r="P4" s="784"/>
      <c r="Q4" s="565">
        <v>1</v>
      </c>
    </row>
    <row r="5" spans="1:17" s="568" customFormat="1" ht="15.75" customHeight="1" thickBot="1">
      <c r="A5" s="566"/>
      <c r="B5" s="566"/>
      <c r="C5" s="567"/>
      <c r="D5" s="567"/>
      <c r="E5" s="567" t="s">
        <v>535</v>
      </c>
      <c r="F5" s="567"/>
      <c r="G5" s="567"/>
      <c r="H5" s="567"/>
      <c r="I5" s="567"/>
      <c r="J5" s="567"/>
      <c r="K5" s="567"/>
      <c r="L5" s="567"/>
      <c r="M5" s="567"/>
      <c r="N5" s="567"/>
      <c r="O5" s="567"/>
      <c r="P5" s="567"/>
      <c r="Q5" s="567" t="s">
        <v>535</v>
      </c>
    </row>
    <row r="6" spans="1:17" ht="24" customHeight="1" thickBot="1">
      <c r="A6" s="569" t="s">
        <v>209</v>
      </c>
      <c r="B6" s="570" t="s">
        <v>57</v>
      </c>
      <c r="C6" s="571" t="s">
        <v>582</v>
      </c>
      <c r="D6" s="571" t="s">
        <v>583</v>
      </c>
      <c r="E6" s="571" t="s">
        <v>584</v>
      </c>
      <c r="F6" s="571" t="s">
        <v>594</v>
      </c>
      <c r="G6" s="571" t="s">
        <v>584</v>
      </c>
      <c r="H6" s="571" t="s">
        <v>597</v>
      </c>
      <c r="I6" s="571" t="s">
        <v>584</v>
      </c>
      <c r="J6" s="571" t="s">
        <v>601</v>
      </c>
      <c r="K6" s="571" t="s">
        <v>584</v>
      </c>
      <c r="L6" s="571" t="s">
        <v>604</v>
      </c>
      <c r="M6" s="571" t="s">
        <v>584</v>
      </c>
      <c r="N6" s="571" t="s">
        <v>610</v>
      </c>
      <c r="O6" s="571" t="s">
        <v>584</v>
      </c>
      <c r="P6" s="571" t="s">
        <v>620</v>
      </c>
      <c r="Q6" s="571" t="s">
        <v>584</v>
      </c>
    </row>
    <row r="7" spans="1:17" s="575" customFormat="1" ht="12.75" customHeight="1" thickBot="1">
      <c r="A7" s="572">
        <v>1</v>
      </c>
      <c r="B7" s="573">
        <v>2</v>
      </c>
      <c r="C7" s="574">
        <v>3</v>
      </c>
      <c r="D7" s="574">
        <v>4</v>
      </c>
      <c r="E7" s="574">
        <v>5</v>
      </c>
      <c r="F7" s="574">
        <v>4</v>
      </c>
      <c r="G7" s="574">
        <v>4</v>
      </c>
      <c r="H7" s="574">
        <v>5</v>
      </c>
      <c r="I7" s="574">
        <v>4</v>
      </c>
      <c r="J7" s="574">
        <v>5</v>
      </c>
      <c r="K7" s="574">
        <v>4</v>
      </c>
      <c r="L7" s="574">
        <v>5</v>
      </c>
      <c r="M7" s="574">
        <v>4</v>
      </c>
      <c r="N7" s="574">
        <v>5</v>
      </c>
      <c r="O7" s="574">
        <v>4</v>
      </c>
      <c r="P7" s="574">
        <v>5</v>
      </c>
      <c r="Q7" s="574">
        <v>6</v>
      </c>
    </row>
    <row r="8" spans="1:17" s="575" customFormat="1" ht="15.75" customHeight="1" thickBot="1">
      <c r="A8" s="785" t="s">
        <v>59</v>
      </c>
      <c r="B8" s="786"/>
      <c r="C8" s="786"/>
      <c r="D8" s="786"/>
      <c r="E8" s="786"/>
      <c r="F8" s="786"/>
      <c r="G8" s="786"/>
      <c r="H8" s="786"/>
      <c r="I8" s="786"/>
      <c r="J8" s="786"/>
      <c r="K8" s="787"/>
      <c r="L8" s="478"/>
      <c r="M8" s="478"/>
      <c r="N8" s="478"/>
      <c r="O8" s="478"/>
      <c r="P8" s="478"/>
      <c r="Q8" s="478"/>
    </row>
    <row r="9" spans="1:17" s="575" customFormat="1" ht="12" customHeight="1" thickBot="1">
      <c r="A9" s="523" t="s">
        <v>20</v>
      </c>
      <c r="B9" s="492" t="s">
        <v>261</v>
      </c>
      <c r="C9" s="493">
        <f aca="true" t="shared" si="0" ref="C9:Q9">+C10+C11+C12+C13+C14+C15</f>
        <v>129283891</v>
      </c>
      <c r="D9" s="493">
        <f t="shared" si="0"/>
        <v>0</v>
      </c>
      <c r="E9" s="493">
        <f t="shared" si="0"/>
        <v>129283891</v>
      </c>
      <c r="F9" s="493">
        <f t="shared" si="0"/>
        <v>0</v>
      </c>
      <c r="G9" s="493">
        <f t="shared" si="0"/>
        <v>129283891</v>
      </c>
      <c r="H9" s="493">
        <f t="shared" si="0"/>
        <v>10147793</v>
      </c>
      <c r="I9" s="493">
        <f t="shared" si="0"/>
        <v>139431684</v>
      </c>
      <c r="J9" s="493">
        <f t="shared" si="0"/>
        <v>3202208</v>
      </c>
      <c r="K9" s="493">
        <f t="shared" si="0"/>
        <v>142633892</v>
      </c>
      <c r="L9" s="493">
        <f t="shared" si="0"/>
        <v>0</v>
      </c>
      <c r="M9" s="493">
        <f t="shared" si="0"/>
        <v>142633892</v>
      </c>
      <c r="N9" s="493">
        <f t="shared" si="0"/>
        <v>-672993</v>
      </c>
      <c r="O9" s="493">
        <f t="shared" si="0"/>
        <v>141960899</v>
      </c>
      <c r="P9" s="493">
        <f t="shared" si="0"/>
        <v>254503</v>
      </c>
      <c r="Q9" s="493">
        <f t="shared" si="0"/>
        <v>142215402</v>
      </c>
    </row>
    <row r="10" spans="1:17" s="579" customFormat="1" ht="12" customHeight="1">
      <c r="A10" s="578" t="s">
        <v>107</v>
      </c>
      <c r="B10" s="496" t="s">
        <v>262</v>
      </c>
      <c r="C10" s="497">
        <v>48805752</v>
      </c>
      <c r="D10" s="497"/>
      <c r="E10" s="497">
        <f>C10+D10</f>
        <v>48805752</v>
      </c>
      <c r="F10" s="497"/>
      <c r="G10" s="497">
        <f>E10+F10</f>
        <v>48805752</v>
      </c>
      <c r="H10" s="497">
        <v>1813000</v>
      </c>
      <c r="I10" s="497">
        <f>G10+H10</f>
        <v>50618752</v>
      </c>
      <c r="J10" s="497"/>
      <c r="K10" s="497">
        <f>I10+J10</f>
        <v>50618752</v>
      </c>
      <c r="L10" s="497"/>
      <c r="M10" s="497">
        <f>K10+L10</f>
        <v>50618752</v>
      </c>
      <c r="N10" s="497">
        <v>361042</v>
      </c>
      <c r="O10" s="497">
        <f>M10+N10</f>
        <v>50979794</v>
      </c>
      <c r="P10" s="497"/>
      <c r="Q10" s="497">
        <f aca="true" t="shared" si="1" ref="Q10:Q15">O10+P10</f>
        <v>50979794</v>
      </c>
    </row>
    <row r="11" spans="1:17" s="581" customFormat="1" ht="12" customHeight="1">
      <c r="A11" s="580" t="s">
        <v>108</v>
      </c>
      <c r="B11" s="499" t="s">
        <v>263</v>
      </c>
      <c r="C11" s="500">
        <v>39125150</v>
      </c>
      <c r="D11" s="500"/>
      <c r="E11" s="497">
        <f>C11+D11</f>
        <v>39125150</v>
      </c>
      <c r="F11" s="500"/>
      <c r="G11" s="497">
        <f>E11+F11</f>
        <v>39125150</v>
      </c>
      <c r="H11" s="500">
        <v>585000</v>
      </c>
      <c r="I11" s="497">
        <f>G11+H11</f>
        <v>39710150</v>
      </c>
      <c r="J11" s="500">
        <v>1619499</v>
      </c>
      <c r="K11" s="497">
        <f>I11+J11</f>
        <v>41329649</v>
      </c>
      <c r="L11" s="500"/>
      <c r="M11" s="497">
        <f>K11+L11</f>
        <v>41329649</v>
      </c>
      <c r="N11" s="500">
        <v>-421300</v>
      </c>
      <c r="O11" s="497">
        <f>M11+N11</f>
        <v>40908349</v>
      </c>
      <c r="P11" s="500"/>
      <c r="Q11" s="497">
        <f t="shared" si="1"/>
        <v>40908349</v>
      </c>
    </row>
    <row r="12" spans="1:17" s="581" customFormat="1" ht="12" customHeight="1">
      <c r="A12" s="580" t="s">
        <v>109</v>
      </c>
      <c r="B12" s="499" t="s">
        <v>264</v>
      </c>
      <c r="C12" s="500">
        <v>38652269</v>
      </c>
      <c r="D12" s="500"/>
      <c r="E12" s="497">
        <f>C12+D12</f>
        <v>38652269</v>
      </c>
      <c r="F12" s="500"/>
      <c r="G12" s="497">
        <f>E12+F12</f>
        <v>38652269</v>
      </c>
      <c r="H12" s="500">
        <v>2748193</v>
      </c>
      <c r="I12" s="497">
        <f>G12+H12</f>
        <v>41400462</v>
      </c>
      <c r="J12" s="500">
        <f>1410965-76000-1084-110720</f>
        <v>1223161</v>
      </c>
      <c r="K12" s="497">
        <f>I12+J12</f>
        <v>42623623</v>
      </c>
      <c r="L12" s="500"/>
      <c r="M12" s="497">
        <f>K12+L12</f>
        <v>42623623</v>
      </c>
      <c r="N12" s="500">
        <f>-475000-494263-335498+77498+221440</f>
        <v>-1005823</v>
      </c>
      <c r="O12" s="497">
        <f>M12+N12</f>
        <v>41617800</v>
      </c>
      <c r="P12" s="500"/>
      <c r="Q12" s="497">
        <f t="shared" si="1"/>
        <v>41617800</v>
      </c>
    </row>
    <row r="13" spans="1:17" s="581" customFormat="1" ht="12" customHeight="1">
      <c r="A13" s="580" t="s">
        <v>110</v>
      </c>
      <c r="B13" s="499" t="s">
        <v>265</v>
      </c>
      <c r="C13" s="500">
        <v>2700720</v>
      </c>
      <c r="D13" s="500"/>
      <c r="E13" s="497">
        <f>C13+D13</f>
        <v>2700720</v>
      </c>
      <c r="F13" s="500"/>
      <c r="G13" s="497">
        <f>E13+F13</f>
        <v>2700720</v>
      </c>
      <c r="H13" s="500">
        <v>92000</v>
      </c>
      <c r="I13" s="497">
        <f>G13+H13</f>
        <v>2792720</v>
      </c>
      <c r="J13" s="500">
        <v>359548</v>
      </c>
      <c r="K13" s="497">
        <f>I13+J13</f>
        <v>3152268</v>
      </c>
      <c r="L13" s="500"/>
      <c r="M13" s="497">
        <f>K13+L13</f>
        <v>3152268</v>
      </c>
      <c r="N13" s="500">
        <v>393088</v>
      </c>
      <c r="O13" s="497">
        <f>M13+N13</f>
        <v>3545356</v>
      </c>
      <c r="P13" s="500"/>
      <c r="Q13" s="497">
        <f t="shared" si="1"/>
        <v>3545356</v>
      </c>
    </row>
    <row r="14" spans="1:17" s="581" customFormat="1" ht="12" customHeight="1">
      <c r="A14" s="580" t="s">
        <v>152</v>
      </c>
      <c r="B14" s="499" t="s">
        <v>533</v>
      </c>
      <c r="C14" s="582">
        <v>0</v>
      </c>
      <c r="D14" s="582">
        <v>0</v>
      </c>
      <c r="E14" s="497">
        <f>C14+D14</f>
        <v>0</v>
      </c>
      <c r="F14" s="582">
        <v>0</v>
      </c>
      <c r="G14" s="497">
        <f>E14+F14</f>
        <v>0</v>
      </c>
      <c r="H14" s="582">
        <v>4909600</v>
      </c>
      <c r="I14" s="497">
        <f>G14+H14</f>
        <v>4909600</v>
      </c>
      <c r="J14" s="582"/>
      <c r="K14" s="497">
        <f>I14+J14</f>
        <v>4909600</v>
      </c>
      <c r="L14" s="582"/>
      <c r="M14" s="497">
        <f>K14+L14</f>
        <v>4909600</v>
      </c>
      <c r="N14" s="582"/>
      <c r="O14" s="497">
        <f>M14+N14</f>
        <v>4909600</v>
      </c>
      <c r="P14" s="582"/>
      <c r="Q14" s="497">
        <f t="shared" si="1"/>
        <v>4909600</v>
      </c>
    </row>
    <row r="15" spans="1:17" s="579" customFormat="1" ht="12" customHeight="1" thickBot="1">
      <c r="A15" s="583" t="s">
        <v>111</v>
      </c>
      <c r="B15" s="502" t="s">
        <v>534</v>
      </c>
      <c r="C15" s="723"/>
      <c r="D15" s="723"/>
      <c r="E15" s="723"/>
      <c r="F15" s="723"/>
      <c r="G15" s="723"/>
      <c r="H15" s="723"/>
      <c r="I15" s="723"/>
      <c r="J15" s="723"/>
      <c r="K15" s="723"/>
      <c r="L15" s="723"/>
      <c r="M15" s="723"/>
      <c r="N15" s="723"/>
      <c r="O15" s="723"/>
      <c r="P15" s="723">
        <v>254503</v>
      </c>
      <c r="Q15" s="497">
        <f t="shared" si="1"/>
        <v>254503</v>
      </c>
    </row>
    <row r="16" spans="1:17" s="579" customFormat="1" ht="12" customHeight="1" thickBot="1">
      <c r="A16" s="523" t="s">
        <v>21</v>
      </c>
      <c r="B16" s="503" t="s">
        <v>268</v>
      </c>
      <c r="C16" s="493">
        <f aca="true" t="shared" si="2" ref="C16:Q16">+C17+C18+C19+C20+C21</f>
        <v>15820260</v>
      </c>
      <c r="D16" s="493">
        <f t="shared" si="2"/>
        <v>0</v>
      </c>
      <c r="E16" s="493">
        <f t="shared" si="2"/>
        <v>15820260</v>
      </c>
      <c r="F16" s="493">
        <f t="shared" si="2"/>
        <v>0</v>
      </c>
      <c r="G16" s="493">
        <f t="shared" si="2"/>
        <v>15820260</v>
      </c>
      <c r="H16" s="493">
        <f t="shared" si="2"/>
        <v>4204708</v>
      </c>
      <c r="I16" s="493">
        <f t="shared" si="2"/>
        <v>20024968</v>
      </c>
      <c r="J16" s="493">
        <f t="shared" si="2"/>
        <v>3168725</v>
      </c>
      <c r="K16" s="493">
        <f t="shared" si="2"/>
        <v>23193693</v>
      </c>
      <c r="L16" s="493">
        <f t="shared" si="2"/>
        <v>590337</v>
      </c>
      <c r="M16" s="493">
        <f t="shared" si="2"/>
        <v>23784030</v>
      </c>
      <c r="N16" s="493">
        <f t="shared" si="2"/>
        <v>694547</v>
      </c>
      <c r="O16" s="493">
        <f t="shared" si="2"/>
        <v>24478577</v>
      </c>
      <c r="P16" s="493">
        <f t="shared" si="2"/>
        <v>0</v>
      </c>
      <c r="Q16" s="493">
        <f t="shared" si="2"/>
        <v>24478577</v>
      </c>
    </row>
    <row r="17" spans="1:17" s="579" customFormat="1" ht="12" customHeight="1">
      <c r="A17" s="578" t="s">
        <v>113</v>
      </c>
      <c r="B17" s="496" t="s">
        <v>269</v>
      </c>
      <c r="C17" s="497"/>
      <c r="D17" s="497"/>
      <c r="E17" s="497"/>
      <c r="F17" s="497"/>
      <c r="G17" s="497"/>
      <c r="H17" s="497"/>
      <c r="I17" s="497"/>
      <c r="J17" s="497"/>
      <c r="K17" s="497"/>
      <c r="L17" s="497"/>
      <c r="M17" s="497"/>
      <c r="N17" s="497"/>
      <c r="O17" s="497"/>
      <c r="P17" s="497"/>
      <c r="Q17" s="497"/>
    </row>
    <row r="18" spans="1:17" s="579" customFormat="1" ht="12" customHeight="1">
      <c r="A18" s="580" t="s">
        <v>114</v>
      </c>
      <c r="B18" s="499" t="s">
        <v>270</v>
      </c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500"/>
      <c r="Q18" s="500"/>
    </row>
    <row r="19" spans="1:17" s="579" customFormat="1" ht="12" customHeight="1">
      <c r="A19" s="580" t="s">
        <v>115</v>
      </c>
      <c r="B19" s="499" t="s">
        <v>493</v>
      </c>
      <c r="C19" s="500"/>
      <c r="D19" s="500"/>
      <c r="E19" s="500"/>
      <c r="F19" s="500"/>
      <c r="G19" s="500"/>
      <c r="H19" s="500"/>
      <c r="I19" s="500"/>
      <c r="J19" s="500"/>
      <c r="K19" s="500"/>
      <c r="L19" s="500"/>
      <c r="M19" s="500"/>
      <c r="N19" s="500"/>
      <c r="O19" s="500"/>
      <c r="P19" s="500"/>
      <c r="Q19" s="500"/>
    </row>
    <row r="20" spans="1:17" s="579" customFormat="1" ht="12" customHeight="1">
      <c r="A20" s="580" t="s">
        <v>116</v>
      </c>
      <c r="B20" s="499" t="s">
        <v>494</v>
      </c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  <c r="P20" s="500"/>
      <c r="Q20" s="500"/>
    </row>
    <row r="21" spans="1:17" s="579" customFormat="1" ht="12" customHeight="1">
      <c r="A21" s="580" t="s">
        <v>117</v>
      </c>
      <c r="B21" s="499" t="s">
        <v>271</v>
      </c>
      <c r="C21" s="500">
        <v>15820260</v>
      </c>
      <c r="D21" s="500"/>
      <c r="E21" s="500">
        <f>C21+D21</f>
        <v>15820260</v>
      </c>
      <c r="F21" s="500"/>
      <c r="G21" s="500">
        <f>E21+F21</f>
        <v>15820260</v>
      </c>
      <c r="H21" s="500">
        <v>4204708</v>
      </c>
      <c r="I21" s="500">
        <f>G21+H21</f>
        <v>20024968</v>
      </c>
      <c r="J21" s="500">
        <f>-367500+2536225+1000000</f>
        <v>3168725</v>
      </c>
      <c r="K21" s="500">
        <f>I21+J21</f>
        <v>23193693</v>
      </c>
      <c r="L21" s="500">
        <v>590337</v>
      </c>
      <c r="M21" s="500">
        <f>K21+L21</f>
        <v>23784030</v>
      </c>
      <c r="N21" s="500">
        <f>964547-270000</f>
        <v>694547</v>
      </c>
      <c r="O21" s="500">
        <f>M21+N21</f>
        <v>24478577</v>
      </c>
      <c r="P21" s="500"/>
      <c r="Q21" s="500">
        <f>O21+P21</f>
        <v>24478577</v>
      </c>
    </row>
    <row r="22" spans="1:17" s="581" customFormat="1" ht="12" customHeight="1" thickBot="1">
      <c r="A22" s="583" t="s">
        <v>126</v>
      </c>
      <c r="B22" s="502" t="s">
        <v>272</v>
      </c>
      <c r="C22" s="504"/>
      <c r="D22" s="504"/>
      <c r="E22" s="504"/>
      <c r="F22" s="504"/>
      <c r="G22" s="504"/>
      <c r="H22" s="504"/>
      <c r="I22" s="504"/>
      <c r="J22" s="504"/>
      <c r="K22" s="504"/>
      <c r="L22" s="504"/>
      <c r="M22" s="504"/>
      <c r="N22" s="504"/>
      <c r="O22" s="504"/>
      <c r="P22" s="504"/>
      <c r="Q22" s="504"/>
    </row>
    <row r="23" spans="1:17" s="581" customFormat="1" ht="12" customHeight="1" thickBot="1">
      <c r="A23" s="523" t="s">
        <v>22</v>
      </c>
      <c r="B23" s="492" t="s">
        <v>273</v>
      </c>
      <c r="C23" s="493">
        <f aca="true" t="shared" si="3" ref="C23:Q23">+C24+C25+C26+C27+C28</f>
        <v>9800000</v>
      </c>
      <c r="D23" s="493">
        <f t="shared" si="3"/>
        <v>0</v>
      </c>
      <c r="E23" s="493">
        <f t="shared" si="3"/>
        <v>9800000</v>
      </c>
      <c r="F23" s="493">
        <f t="shared" si="3"/>
        <v>0</v>
      </c>
      <c r="G23" s="493">
        <f t="shared" si="3"/>
        <v>9800000</v>
      </c>
      <c r="H23" s="493">
        <f t="shared" si="3"/>
        <v>2926115</v>
      </c>
      <c r="I23" s="493">
        <f t="shared" si="3"/>
        <v>12726115</v>
      </c>
      <c r="J23" s="493">
        <f t="shared" si="3"/>
        <v>12746471</v>
      </c>
      <c r="K23" s="493">
        <f t="shared" si="3"/>
        <v>25472586</v>
      </c>
      <c r="L23" s="493">
        <f t="shared" si="3"/>
        <v>4999863</v>
      </c>
      <c r="M23" s="493">
        <f t="shared" si="3"/>
        <v>30472449</v>
      </c>
      <c r="N23" s="493">
        <f t="shared" si="3"/>
        <v>40819387</v>
      </c>
      <c r="O23" s="493">
        <f t="shared" si="3"/>
        <v>71291836</v>
      </c>
      <c r="P23" s="493">
        <f t="shared" si="3"/>
        <v>0</v>
      </c>
      <c r="Q23" s="493">
        <f t="shared" si="3"/>
        <v>71291836</v>
      </c>
    </row>
    <row r="24" spans="1:17" s="581" customFormat="1" ht="12" customHeight="1">
      <c r="A24" s="578" t="s">
        <v>96</v>
      </c>
      <c r="B24" s="496" t="s">
        <v>274</v>
      </c>
      <c r="C24" s="497">
        <v>0</v>
      </c>
      <c r="D24" s="497">
        <v>0</v>
      </c>
      <c r="E24" s="497">
        <v>0</v>
      </c>
      <c r="F24" s="497">
        <v>0</v>
      </c>
      <c r="G24" s="497">
        <v>0</v>
      </c>
      <c r="H24" s="497">
        <v>0</v>
      </c>
      <c r="I24" s="497">
        <v>0</v>
      </c>
      <c r="J24" s="497">
        <v>0</v>
      </c>
      <c r="K24" s="497">
        <v>0</v>
      </c>
      <c r="L24" s="497">
        <v>0</v>
      </c>
      <c r="M24" s="497">
        <v>0</v>
      </c>
      <c r="N24" s="497">
        <v>0</v>
      </c>
      <c r="O24" s="497">
        <v>0</v>
      </c>
      <c r="P24" s="497">
        <v>0</v>
      </c>
      <c r="Q24" s="497">
        <v>0</v>
      </c>
    </row>
    <row r="25" spans="1:17" s="579" customFormat="1" ht="12" customHeight="1">
      <c r="A25" s="580" t="s">
        <v>97</v>
      </c>
      <c r="B25" s="499" t="s">
        <v>275</v>
      </c>
      <c r="C25" s="500"/>
      <c r="D25" s="500"/>
      <c r="E25" s="500"/>
      <c r="F25" s="500"/>
      <c r="G25" s="500"/>
      <c r="H25" s="500"/>
      <c r="I25" s="500"/>
      <c r="J25" s="500"/>
      <c r="K25" s="500"/>
      <c r="L25" s="500"/>
      <c r="M25" s="500"/>
      <c r="N25" s="500"/>
      <c r="O25" s="500"/>
      <c r="P25" s="500"/>
      <c r="Q25" s="500"/>
    </row>
    <row r="26" spans="1:17" s="581" customFormat="1" ht="12" customHeight="1">
      <c r="A26" s="580" t="s">
        <v>98</v>
      </c>
      <c r="B26" s="499" t="s">
        <v>495</v>
      </c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  <c r="P26" s="500"/>
      <c r="Q26" s="500"/>
    </row>
    <row r="27" spans="1:17" s="581" customFormat="1" ht="12" customHeight="1">
      <c r="A27" s="580" t="s">
        <v>99</v>
      </c>
      <c r="B27" s="499" t="s">
        <v>496</v>
      </c>
      <c r="C27" s="500"/>
      <c r="D27" s="500"/>
      <c r="E27" s="500"/>
      <c r="F27" s="500"/>
      <c r="G27" s="500"/>
      <c r="H27" s="500"/>
      <c r="I27" s="500"/>
      <c r="J27" s="500"/>
      <c r="K27" s="500"/>
      <c r="L27" s="500"/>
      <c r="M27" s="500"/>
      <c r="N27" s="500"/>
      <c r="O27" s="500"/>
      <c r="P27" s="500"/>
      <c r="Q27" s="500"/>
    </row>
    <row r="28" spans="1:17" s="581" customFormat="1" ht="12" customHeight="1">
      <c r="A28" s="580" t="s">
        <v>175</v>
      </c>
      <c r="B28" s="499" t="s">
        <v>276</v>
      </c>
      <c r="C28" s="500">
        <v>9800000</v>
      </c>
      <c r="D28" s="500"/>
      <c r="E28" s="500">
        <f>C28+D28</f>
        <v>9800000</v>
      </c>
      <c r="F28" s="500"/>
      <c r="G28" s="500">
        <f>E28+F28</f>
        <v>9800000</v>
      </c>
      <c r="H28" s="500">
        <v>2926115</v>
      </c>
      <c r="I28" s="500">
        <f>G28+H28</f>
        <v>12726115</v>
      </c>
      <c r="J28" s="500">
        <v>12746471</v>
      </c>
      <c r="K28" s="500">
        <f>I28+J28</f>
        <v>25472586</v>
      </c>
      <c r="L28" s="500">
        <v>4999863</v>
      </c>
      <c r="M28" s="500">
        <f>K28+L28</f>
        <v>30472449</v>
      </c>
      <c r="N28" s="500">
        <v>40819387</v>
      </c>
      <c r="O28" s="500">
        <f>M28+N28</f>
        <v>71291836</v>
      </c>
      <c r="P28" s="500"/>
      <c r="Q28" s="500">
        <f>O28+P28</f>
        <v>71291836</v>
      </c>
    </row>
    <row r="29" spans="1:17" s="581" customFormat="1" ht="12" customHeight="1" thickBot="1">
      <c r="A29" s="583" t="s">
        <v>176</v>
      </c>
      <c r="B29" s="502" t="s">
        <v>277</v>
      </c>
      <c r="C29" s="504"/>
      <c r="D29" s="504"/>
      <c r="E29" s="504"/>
      <c r="F29" s="504"/>
      <c r="G29" s="504"/>
      <c r="H29" s="504"/>
      <c r="I29" s="504"/>
      <c r="J29" s="504"/>
      <c r="K29" s="504"/>
      <c r="L29" s="504"/>
      <c r="M29" s="504"/>
      <c r="N29" s="504"/>
      <c r="O29" s="504"/>
      <c r="P29" s="504"/>
      <c r="Q29" s="504"/>
    </row>
    <row r="30" spans="1:17" s="581" customFormat="1" ht="12" customHeight="1" thickBot="1">
      <c r="A30" s="523" t="s">
        <v>177</v>
      </c>
      <c r="B30" s="492" t="s">
        <v>278</v>
      </c>
      <c r="C30" s="505">
        <f aca="true" t="shared" si="4" ref="C30:Q30">+C31+C34+C35+C36</f>
        <v>60200000</v>
      </c>
      <c r="D30" s="505">
        <f t="shared" si="4"/>
        <v>-2500000</v>
      </c>
      <c r="E30" s="505">
        <f t="shared" si="4"/>
        <v>57700000</v>
      </c>
      <c r="F30" s="505">
        <f t="shared" si="4"/>
        <v>0</v>
      </c>
      <c r="G30" s="505">
        <f t="shared" si="4"/>
        <v>57700000</v>
      </c>
      <c r="H30" s="505">
        <f t="shared" si="4"/>
        <v>0</v>
      </c>
      <c r="I30" s="505">
        <f t="shared" si="4"/>
        <v>57700000</v>
      </c>
      <c r="J30" s="505">
        <f t="shared" si="4"/>
        <v>0</v>
      </c>
      <c r="K30" s="505">
        <f t="shared" si="4"/>
        <v>57700000</v>
      </c>
      <c r="L30" s="505">
        <f t="shared" si="4"/>
        <v>11255764</v>
      </c>
      <c r="M30" s="505">
        <f t="shared" si="4"/>
        <v>68955764</v>
      </c>
      <c r="N30" s="505">
        <f t="shared" si="4"/>
        <v>24111367</v>
      </c>
      <c r="O30" s="505">
        <f t="shared" si="4"/>
        <v>93067131</v>
      </c>
      <c r="P30" s="505">
        <f t="shared" si="4"/>
        <v>0</v>
      </c>
      <c r="Q30" s="505">
        <f t="shared" si="4"/>
        <v>93067131</v>
      </c>
    </row>
    <row r="31" spans="1:17" s="581" customFormat="1" ht="12" customHeight="1">
      <c r="A31" s="578" t="s">
        <v>279</v>
      </c>
      <c r="B31" s="496" t="s">
        <v>285</v>
      </c>
      <c r="C31" s="506">
        <f aca="true" t="shared" si="5" ref="C31:Q31">C32+C33</f>
        <v>50000000</v>
      </c>
      <c r="D31" s="506">
        <f t="shared" si="5"/>
        <v>0</v>
      </c>
      <c r="E31" s="506">
        <f t="shared" si="5"/>
        <v>50000000</v>
      </c>
      <c r="F31" s="506">
        <f t="shared" si="5"/>
        <v>0</v>
      </c>
      <c r="G31" s="506">
        <f t="shared" si="5"/>
        <v>50000000</v>
      </c>
      <c r="H31" s="506">
        <f t="shared" si="5"/>
        <v>0</v>
      </c>
      <c r="I31" s="506">
        <f t="shared" si="5"/>
        <v>50000000</v>
      </c>
      <c r="J31" s="506">
        <f t="shared" si="5"/>
        <v>0</v>
      </c>
      <c r="K31" s="506">
        <f t="shared" si="5"/>
        <v>50000000</v>
      </c>
      <c r="L31" s="506">
        <f t="shared" si="5"/>
        <v>11255764</v>
      </c>
      <c r="M31" s="506">
        <f t="shared" si="5"/>
        <v>61255764</v>
      </c>
      <c r="N31" s="506">
        <f t="shared" si="5"/>
        <v>23228887</v>
      </c>
      <c r="O31" s="506">
        <f t="shared" si="5"/>
        <v>84484651</v>
      </c>
      <c r="P31" s="506">
        <f t="shared" si="5"/>
        <v>0</v>
      </c>
      <c r="Q31" s="506">
        <f t="shared" si="5"/>
        <v>84484651</v>
      </c>
    </row>
    <row r="32" spans="1:17" s="581" customFormat="1" ht="12" customHeight="1">
      <c r="A32" s="580" t="s">
        <v>280</v>
      </c>
      <c r="B32" s="499" t="s">
        <v>286</v>
      </c>
      <c r="C32" s="500">
        <v>10000000</v>
      </c>
      <c r="D32" s="500"/>
      <c r="E32" s="500">
        <f>C32+D32</f>
        <v>10000000</v>
      </c>
      <c r="F32" s="500"/>
      <c r="G32" s="500">
        <f>E32+F32</f>
        <v>10000000</v>
      </c>
      <c r="H32" s="500"/>
      <c r="I32" s="500">
        <f>G32+H32</f>
        <v>10000000</v>
      </c>
      <c r="J32" s="500"/>
      <c r="K32" s="500">
        <f>I32+J32</f>
        <v>10000000</v>
      </c>
      <c r="L32" s="500"/>
      <c r="M32" s="500">
        <f>K32+L32</f>
        <v>10000000</v>
      </c>
      <c r="N32" s="500">
        <v>445250</v>
      </c>
      <c r="O32" s="500">
        <f>M32+N32</f>
        <v>10445250</v>
      </c>
      <c r="P32" s="500"/>
      <c r="Q32" s="500">
        <f>O32+P32</f>
        <v>10445250</v>
      </c>
    </row>
    <row r="33" spans="1:17" s="581" customFormat="1" ht="12" customHeight="1">
      <c r="A33" s="580" t="s">
        <v>281</v>
      </c>
      <c r="B33" s="499" t="s">
        <v>287</v>
      </c>
      <c r="C33" s="500">
        <v>40000000</v>
      </c>
      <c r="D33" s="500"/>
      <c r="E33" s="500">
        <f>C33+D33</f>
        <v>40000000</v>
      </c>
      <c r="F33" s="500"/>
      <c r="G33" s="500">
        <f>E33+F33</f>
        <v>40000000</v>
      </c>
      <c r="H33" s="500"/>
      <c r="I33" s="500">
        <f>G33+H33</f>
        <v>40000000</v>
      </c>
      <c r="J33" s="500"/>
      <c r="K33" s="500">
        <f>I33+J33</f>
        <v>40000000</v>
      </c>
      <c r="L33" s="500">
        <v>11255764</v>
      </c>
      <c r="M33" s="500">
        <f>K33+L33</f>
        <v>51255764</v>
      </c>
      <c r="N33" s="500">
        <f>15148016+7635621</f>
        <v>22783637</v>
      </c>
      <c r="O33" s="500">
        <f>M33+N33</f>
        <v>74039401</v>
      </c>
      <c r="P33" s="500"/>
      <c r="Q33" s="500">
        <f>O33+P33</f>
        <v>74039401</v>
      </c>
    </row>
    <row r="34" spans="1:17" s="581" customFormat="1" ht="12" customHeight="1">
      <c r="A34" s="580" t="s">
        <v>282</v>
      </c>
      <c r="B34" s="499" t="s">
        <v>288</v>
      </c>
      <c r="C34" s="500">
        <v>4000000</v>
      </c>
      <c r="D34" s="500"/>
      <c r="E34" s="500">
        <f>C34+D34</f>
        <v>4000000</v>
      </c>
      <c r="F34" s="500"/>
      <c r="G34" s="500">
        <f>E34+F34</f>
        <v>4000000</v>
      </c>
      <c r="H34" s="500"/>
      <c r="I34" s="500">
        <f>G34+H34</f>
        <v>4000000</v>
      </c>
      <c r="J34" s="500"/>
      <c r="K34" s="500">
        <f>I34+J34</f>
        <v>4000000</v>
      </c>
      <c r="L34" s="500"/>
      <c r="M34" s="500">
        <f>K34+L34</f>
        <v>4000000</v>
      </c>
      <c r="N34" s="500">
        <v>1166439</v>
      </c>
      <c r="O34" s="500">
        <f>M34+N34</f>
        <v>5166439</v>
      </c>
      <c r="P34" s="500"/>
      <c r="Q34" s="500">
        <f>O34+P34</f>
        <v>5166439</v>
      </c>
    </row>
    <row r="35" spans="1:17" s="581" customFormat="1" ht="12" customHeight="1">
      <c r="A35" s="580" t="s">
        <v>283</v>
      </c>
      <c r="B35" s="499" t="s">
        <v>289</v>
      </c>
      <c r="C35" s="500">
        <v>3000000</v>
      </c>
      <c r="D35" s="500"/>
      <c r="E35" s="500">
        <f>C35+D35</f>
        <v>3000000</v>
      </c>
      <c r="F35" s="500"/>
      <c r="G35" s="500">
        <f>E35+F35</f>
        <v>3000000</v>
      </c>
      <c r="H35" s="500"/>
      <c r="I35" s="500">
        <f>G35+H35</f>
        <v>3000000</v>
      </c>
      <c r="J35" s="500"/>
      <c r="K35" s="500">
        <f>I35+J35</f>
        <v>3000000</v>
      </c>
      <c r="L35" s="500"/>
      <c r="M35" s="500">
        <f>K35+L35</f>
        <v>3000000</v>
      </c>
      <c r="N35" s="500">
        <v>-717900</v>
      </c>
      <c r="O35" s="500">
        <f>M35+N35</f>
        <v>2282100</v>
      </c>
      <c r="P35" s="500"/>
      <c r="Q35" s="500">
        <f>O35+P35</f>
        <v>2282100</v>
      </c>
    </row>
    <row r="36" spans="1:17" s="581" customFormat="1" ht="12" customHeight="1" thickBot="1">
      <c r="A36" s="583" t="s">
        <v>284</v>
      </c>
      <c r="B36" s="502" t="s">
        <v>290</v>
      </c>
      <c r="C36" s="504">
        <v>3200000</v>
      </c>
      <c r="D36" s="504">
        <v>-2500000</v>
      </c>
      <c r="E36" s="500">
        <f>C36+D36</f>
        <v>700000</v>
      </c>
      <c r="F36" s="504">
        <v>0</v>
      </c>
      <c r="G36" s="500">
        <f>E36+F36</f>
        <v>700000</v>
      </c>
      <c r="H36" s="504">
        <v>0</v>
      </c>
      <c r="I36" s="500">
        <f>G36+H36</f>
        <v>700000</v>
      </c>
      <c r="J36" s="504"/>
      <c r="K36" s="500">
        <f>I36+J36</f>
        <v>700000</v>
      </c>
      <c r="L36" s="504"/>
      <c r="M36" s="500">
        <f>K36+L36</f>
        <v>700000</v>
      </c>
      <c r="N36" s="504">
        <v>433941</v>
      </c>
      <c r="O36" s="500">
        <f>M36+N36</f>
        <v>1133941</v>
      </c>
      <c r="P36" s="504"/>
      <c r="Q36" s="500">
        <f>O36+P36</f>
        <v>1133941</v>
      </c>
    </row>
    <row r="37" spans="1:17" s="581" customFormat="1" ht="12" customHeight="1" thickBot="1">
      <c r="A37" s="523" t="s">
        <v>24</v>
      </c>
      <c r="B37" s="492" t="s">
        <v>291</v>
      </c>
      <c r="C37" s="493">
        <f aca="true" t="shared" si="6" ref="C37:Q37">SUM(C38:C47)</f>
        <v>15912876</v>
      </c>
      <c r="D37" s="493">
        <f t="shared" si="6"/>
        <v>0</v>
      </c>
      <c r="E37" s="493">
        <f t="shared" si="6"/>
        <v>15912876</v>
      </c>
      <c r="F37" s="493">
        <f t="shared" si="6"/>
        <v>0</v>
      </c>
      <c r="G37" s="493">
        <f t="shared" si="6"/>
        <v>15912876</v>
      </c>
      <c r="H37" s="493">
        <f t="shared" si="6"/>
        <v>0</v>
      </c>
      <c r="I37" s="493">
        <f t="shared" si="6"/>
        <v>15912876</v>
      </c>
      <c r="J37" s="493">
        <f t="shared" si="6"/>
        <v>0</v>
      </c>
      <c r="K37" s="493">
        <f t="shared" si="6"/>
        <v>15912876</v>
      </c>
      <c r="L37" s="493">
        <f t="shared" si="6"/>
        <v>0</v>
      </c>
      <c r="M37" s="493">
        <f t="shared" si="6"/>
        <v>15912876</v>
      </c>
      <c r="N37" s="493">
        <f t="shared" si="6"/>
        <v>7366113</v>
      </c>
      <c r="O37" s="493">
        <f t="shared" si="6"/>
        <v>23278989</v>
      </c>
      <c r="P37" s="493">
        <f t="shared" si="6"/>
        <v>0</v>
      </c>
      <c r="Q37" s="493">
        <f t="shared" si="6"/>
        <v>23278989</v>
      </c>
    </row>
    <row r="38" spans="1:17" s="581" customFormat="1" ht="12" customHeight="1">
      <c r="A38" s="578" t="s">
        <v>100</v>
      </c>
      <c r="B38" s="496" t="s">
        <v>294</v>
      </c>
      <c r="C38" s="497"/>
      <c r="D38" s="497"/>
      <c r="E38" s="497"/>
      <c r="F38" s="497"/>
      <c r="G38" s="497"/>
      <c r="H38" s="497"/>
      <c r="I38" s="497"/>
      <c r="J38" s="497"/>
      <c r="K38" s="497"/>
      <c r="L38" s="497"/>
      <c r="M38" s="497"/>
      <c r="N38" s="497"/>
      <c r="O38" s="497"/>
      <c r="P38" s="497"/>
      <c r="Q38" s="497"/>
    </row>
    <row r="39" spans="1:17" s="581" customFormat="1" ht="12" customHeight="1">
      <c r="A39" s="580" t="s">
        <v>101</v>
      </c>
      <c r="B39" s="499" t="s">
        <v>295</v>
      </c>
      <c r="C39" s="500">
        <v>7527571</v>
      </c>
      <c r="D39" s="500"/>
      <c r="E39" s="500">
        <f>C39+D39</f>
        <v>7527571</v>
      </c>
      <c r="F39" s="500"/>
      <c r="G39" s="500">
        <f>E39+F39</f>
        <v>7527571</v>
      </c>
      <c r="H39" s="500"/>
      <c r="I39" s="500">
        <f>G39+H39</f>
        <v>7527571</v>
      </c>
      <c r="J39" s="500"/>
      <c r="K39" s="500">
        <f>I39+J39</f>
        <v>7527571</v>
      </c>
      <c r="L39" s="500"/>
      <c r="M39" s="500">
        <f>K39+L39</f>
        <v>7527571</v>
      </c>
      <c r="N39" s="500">
        <v>3714872</v>
      </c>
      <c r="O39" s="500">
        <f>M39+N39</f>
        <v>11242443</v>
      </c>
      <c r="P39" s="500"/>
      <c r="Q39" s="500">
        <f>O39+P39</f>
        <v>11242443</v>
      </c>
    </row>
    <row r="40" spans="1:17" s="581" customFormat="1" ht="12" customHeight="1">
      <c r="A40" s="580" t="s">
        <v>102</v>
      </c>
      <c r="B40" s="499" t="s">
        <v>296</v>
      </c>
      <c r="C40" s="500">
        <v>1100000</v>
      </c>
      <c r="D40" s="500"/>
      <c r="E40" s="500">
        <f aca="true" t="shared" si="7" ref="E40:E47">C40+D40</f>
        <v>1100000</v>
      </c>
      <c r="F40" s="500"/>
      <c r="G40" s="500">
        <f aca="true" t="shared" si="8" ref="G40:G47">E40+F40</f>
        <v>1100000</v>
      </c>
      <c r="H40" s="500"/>
      <c r="I40" s="500">
        <f aca="true" t="shared" si="9" ref="I40:I47">G40+H40</f>
        <v>1100000</v>
      </c>
      <c r="J40" s="500"/>
      <c r="K40" s="500">
        <f aca="true" t="shared" si="10" ref="K40:K47">I40+J40</f>
        <v>1100000</v>
      </c>
      <c r="L40" s="500"/>
      <c r="M40" s="500">
        <f aca="true" t="shared" si="11" ref="M40:M47">K40+L40</f>
        <v>1100000</v>
      </c>
      <c r="N40" s="500">
        <v>750178</v>
      </c>
      <c r="O40" s="500">
        <f aca="true" t="shared" si="12" ref="O40:O47">M40+N40</f>
        <v>1850178</v>
      </c>
      <c r="P40" s="500"/>
      <c r="Q40" s="500">
        <f aca="true" t="shared" si="13" ref="Q40:Q47">O40+P40</f>
        <v>1850178</v>
      </c>
    </row>
    <row r="41" spans="1:17" s="581" customFormat="1" ht="12" customHeight="1">
      <c r="A41" s="580" t="s">
        <v>179</v>
      </c>
      <c r="B41" s="499" t="s">
        <v>297</v>
      </c>
      <c r="C41" s="500">
        <v>4775711</v>
      </c>
      <c r="D41" s="500"/>
      <c r="E41" s="500">
        <f t="shared" si="7"/>
        <v>4775711</v>
      </c>
      <c r="F41" s="500"/>
      <c r="G41" s="500">
        <f t="shared" si="8"/>
        <v>4775711</v>
      </c>
      <c r="H41" s="500"/>
      <c r="I41" s="500">
        <f t="shared" si="9"/>
        <v>4775711</v>
      </c>
      <c r="J41" s="500"/>
      <c r="K41" s="500">
        <f t="shared" si="10"/>
        <v>4775711</v>
      </c>
      <c r="L41" s="500"/>
      <c r="M41" s="500">
        <f t="shared" si="11"/>
        <v>4775711</v>
      </c>
      <c r="N41" s="500">
        <v>-1177212</v>
      </c>
      <c r="O41" s="500">
        <f t="shared" si="12"/>
        <v>3598499</v>
      </c>
      <c r="P41" s="500"/>
      <c r="Q41" s="500">
        <f t="shared" si="13"/>
        <v>3598499</v>
      </c>
    </row>
    <row r="42" spans="1:17" s="581" customFormat="1" ht="12" customHeight="1">
      <c r="A42" s="580" t="s">
        <v>180</v>
      </c>
      <c r="B42" s="499" t="s">
        <v>298</v>
      </c>
      <c r="C42" s="500">
        <v>0</v>
      </c>
      <c r="D42" s="500"/>
      <c r="E42" s="500">
        <f t="shared" si="7"/>
        <v>0</v>
      </c>
      <c r="F42" s="500"/>
      <c r="G42" s="500">
        <f t="shared" si="8"/>
        <v>0</v>
      </c>
      <c r="H42" s="500"/>
      <c r="I42" s="500">
        <f t="shared" si="9"/>
        <v>0</v>
      </c>
      <c r="J42" s="500"/>
      <c r="K42" s="500">
        <f t="shared" si="10"/>
        <v>0</v>
      </c>
      <c r="L42" s="500"/>
      <c r="M42" s="500">
        <f t="shared" si="11"/>
        <v>0</v>
      </c>
      <c r="N42" s="500">
        <v>274306</v>
      </c>
      <c r="O42" s="500">
        <f t="shared" si="12"/>
        <v>274306</v>
      </c>
      <c r="P42" s="500"/>
      <c r="Q42" s="500">
        <f t="shared" si="13"/>
        <v>274306</v>
      </c>
    </row>
    <row r="43" spans="1:17" s="581" customFormat="1" ht="12" customHeight="1">
      <c r="A43" s="580" t="s">
        <v>181</v>
      </c>
      <c r="B43" s="499" t="s">
        <v>299</v>
      </c>
      <c r="C43" s="500">
        <v>1909594</v>
      </c>
      <c r="D43" s="500"/>
      <c r="E43" s="500">
        <f t="shared" si="7"/>
        <v>1909594</v>
      </c>
      <c r="F43" s="500"/>
      <c r="G43" s="500">
        <f t="shared" si="8"/>
        <v>1909594</v>
      </c>
      <c r="H43" s="500"/>
      <c r="I43" s="500">
        <f t="shared" si="9"/>
        <v>1909594</v>
      </c>
      <c r="J43" s="500"/>
      <c r="K43" s="500">
        <f t="shared" si="10"/>
        <v>1909594</v>
      </c>
      <c r="L43" s="500"/>
      <c r="M43" s="500">
        <f t="shared" si="11"/>
        <v>1909594</v>
      </c>
      <c r="N43" s="500">
        <v>565770</v>
      </c>
      <c r="O43" s="500">
        <f t="shared" si="12"/>
        <v>2475364</v>
      </c>
      <c r="P43" s="500"/>
      <c r="Q43" s="500">
        <f t="shared" si="13"/>
        <v>2475364</v>
      </c>
    </row>
    <row r="44" spans="1:17" s="581" customFormat="1" ht="12" customHeight="1">
      <c r="A44" s="580" t="s">
        <v>182</v>
      </c>
      <c r="B44" s="499" t="s">
        <v>300</v>
      </c>
      <c r="C44" s="500"/>
      <c r="D44" s="500"/>
      <c r="E44" s="500">
        <f t="shared" si="7"/>
        <v>0</v>
      </c>
      <c r="F44" s="500"/>
      <c r="G44" s="500">
        <f t="shared" si="8"/>
        <v>0</v>
      </c>
      <c r="H44" s="500"/>
      <c r="I44" s="500">
        <f t="shared" si="9"/>
        <v>0</v>
      </c>
      <c r="J44" s="500"/>
      <c r="K44" s="500">
        <f t="shared" si="10"/>
        <v>0</v>
      </c>
      <c r="L44" s="500"/>
      <c r="M44" s="500">
        <f t="shared" si="11"/>
        <v>0</v>
      </c>
      <c r="N44" s="500"/>
      <c r="O44" s="500">
        <f t="shared" si="12"/>
        <v>0</v>
      </c>
      <c r="P44" s="500"/>
      <c r="Q44" s="500">
        <f t="shared" si="13"/>
        <v>0</v>
      </c>
    </row>
    <row r="45" spans="1:17" s="581" customFormat="1" ht="12" customHeight="1">
      <c r="A45" s="580" t="s">
        <v>183</v>
      </c>
      <c r="B45" s="499" t="s">
        <v>301</v>
      </c>
      <c r="C45" s="500">
        <v>600000</v>
      </c>
      <c r="D45" s="500"/>
      <c r="E45" s="500">
        <f t="shared" si="7"/>
        <v>600000</v>
      </c>
      <c r="F45" s="500"/>
      <c r="G45" s="500">
        <f t="shared" si="8"/>
        <v>600000</v>
      </c>
      <c r="H45" s="500"/>
      <c r="I45" s="500">
        <f t="shared" si="9"/>
        <v>600000</v>
      </c>
      <c r="J45" s="500"/>
      <c r="K45" s="500">
        <f t="shared" si="10"/>
        <v>600000</v>
      </c>
      <c r="L45" s="500"/>
      <c r="M45" s="500">
        <f t="shared" si="11"/>
        <v>600000</v>
      </c>
      <c r="N45" s="500"/>
      <c r="O45" s="500">
        <f t="shared" si="12"/>
        <v>600000</v>
      </c>
      <c r="P45" s="500"/>
      <c r="Q45" s="500">
        <f t="shared" si="13"/>
        <v>600000</v>
      </c>
    </row>
    <row r="46" spans="1:17" s="581" customFormat="1" ht="12" customHeight="1">
      <c r="A46" s="580" t="s">
        <v>292</v>
      </c>
      <c r="B46" s="499" t="s">
        <v>302</v>
      </c>
      <c r="C46" s="507"/>
      <c r="D46" s="507"/>
      <c r="E46" s="500">
        <f t="shared" si="7"/>
        <v>0</v>
      </c>
      <c r="F46" s="507"/>
      <c r="G46" s="500">
        <f t="shared" si="8"/>
        <v>0</v>
      </c>
      <c r="H46" s="507"/>
      <c r="I46" s="500">
        <f t="shared" si="9"/>
        <v>0</v>
      </c>
      <c r="J46" s="507"/>
      <c r="K46" s="500">
        <f t="shared" si="10"/>
        <v>0</v>
      </c>
      <c r="L46" s="507"/>
      <c r="M46" s="500">
        <f t="shared" si="11"/>
        <v>0</v>
      </c>
      <c r="N46" s="507"/>
      <c r="O46" s="500">
        <f t="shared" si="12"/>
        <v>0</v>
      </c>
      <c r="P46" s="507"/>
      <c r="Q46" s="500">
        <f t="shared" si="13"/>
        <v>0</v>
      </c>
    </row>
    <row r="47" spans="1:17" s="581" customFormat="1" ht="12" customHeight="1" thickBot="1">
      <c r="A47" s="583" t="s">
        <v>293</v>
      </c>
      <c r="B47" s="502" t="s">
        <v>303</v>
      </c>
      <c r="C47" s="508">
        <v>0</v>
      </c>
      <c r="D47" s="508">
        <v>0</v>
      </c>
      <c r="E47" s="500">
        <f t="shared" si="7"/>
        <v>0</v>
      </c>
      <c r="F47" s="508">
        <v>0</v>
      </c>
      <c r="G47" s="500">
        <f t="shared" si="8"/>
        <v>0</v>
      </c>
      <c r="H47" s="508">
        <v>0</v>
      </c>
      <c r="I47" s="500">
        <f t="shared" si="9"/>
        <v>0</v>
      </c>
      <c r="J47" s="508">
        <v>0</v>
      </c>
      <c r="K47" s="500">
        <f t="shared" si="10"/>
        <v>0</v>
      </c>
      <c r="L47" s="508">
        <v>0</v>
      </c>
      <c r="M47" s="500">
        <f t="shared" si="11"/>
        <v>0</v>
      </c>
      <c r="N47" s="508">
        <v>3238199</v>
      </c>
      <c r="O47" s="500">
        <f t="shared" si="12"/>
        <v>3238199</v>
      </c>
      <c r="P47" s="508"/>
      <c r="Q47" s="500">
        <f t="shared" si="13"/>
        <v>3238199</v>
      </c>
    </row>
    <row r="48" spans="1:17" s="581" customFormat="1" ht="12" customHeight="1" thickBot="1">
      <c r="A48" s="523" t="s">
        <v>25</v>
      </c>
      <c r="B48" s="492" t="s">
        <v>304</v>
      </c>
      <c r="C48" s="493">
        <f aca="true" t="shared" si="14" ref="C48:Q48">SUM(C49:C53)</f>
        <v>0</v>
      </c>
      <c r="D48" s="493">
        <f t="shared" si="14"/>
        <v>0</v>
      </c>
      <c r="E48" s="493">
        <f t="shared" si="14"/>
        <v>0</v>
      </c>
      <c r="F48" s="493">
        <f t="shared" si="14"/>
        <v>0</v>
      </c>
      <c r="G48" s="493">
        <f t="shared" si="14"/>
        <v>0</v>
      </c>
      <c r="H48" s="493">
        <f t="shared" si="14"/>
        <v>0</v>
      </c>
      <c r="I48" s="493">
        <f t="shared" si="14"/>
        <v>0</v>
      </c>
      <c r="J48" s="493">
        <f t="shared" si="14"/>
        <v>0</v>
      </c>
      <c r="K48" s="493">
        <f t="shared" si="14"/>
        <v>0</v>
      </c>
      <c r="L48" s="493">
        <f t="shared" si="14"/>
        <v>0</v>
      </c>
      <c r="M48" s="493">
        <f t="shared" si="14"/>
        <v>0</v>
      </c>
      <c r="N48" s="493">
        <f t="shared" si="14"/>
        <v>14000000</v>
      </c>
      <c r="O48" s="493">
        <f t="shared" si="14"/>
        <v>0</v>
      </c>
      <c r="P48" s="493">
        <f t="shared" si="14"/>
        <v>0</v>
      </c>
      <c r="Q48" s="493">
        <f t="shared" si="14"/>
        <v>0</v>
      </c>
    </row>
    <row r="49" spans="1:17" s="581" customFormat="1" ht="12" customHeight="1">
      <c r="A49" s="578" t="s">
        <v>103</v>
      </c>
      <c r="B49" s="496" t="s">
        <v>308</v>
      </c>
      <c r="C49" s="509"/>
      <c r="D49" s="509"/>
      <c r="E49" s="509"/>
      <c r="F49" s="509"/>
      <c r="G49" s="509"/>
      <c r="H49" s="509"/>
      <c r="I49" s="509"/>
      <c r="J49" s="509"/>
      <c r="K49" s="509"/>
      <c r="L49" s="509"/>
      <c r="M49" s="509"/>
      <c r="N49" s="509"/>
      <c r="O49" s="509"/>
      <c r="P49" s="509"/>
      <c r="Q49" s="509"/>
    </row>
    <row r="50" spans="1:17" s="581" customFormat="1" ht="12" customHeight="1">
      <c r="A50" s="580" t="s">
        <v>104</v>
      </c>
      <c r="B50" s="499" t="s">
        <v>309</v>
      </c>
      <c r="C50" s="507"/>
      <c r="D50" s="507"/>
      <c r="E50" s="507"/>
      <c r="F50" s="507"/>
      <c r="G50" s="507"/>
      <c r="H50" s="507"/>
      <c r="I50" s="507"/>
      <c r="J50" s="507"/>
      <c r="K50" s="507"/>
      <c r="L50" s="507"/>
      <c r="M50" s="507"/>
      <c r="N50" s="507">
        <v>14000000</v>
      </c>
      <c r="O50" s="507"/>
      <c r="P50" s="507"/>
      <c r="Q50" s="507"/>
    </row>
    <row r="51" spans="1:17" s="581" customFormat="1" ht="12" customHeight="1">
      <c r="A51" s="580" t="s">
        <v>305</v>
      </c>
      <c r="B51" s="499" t="s">
        <v>310</v>
      </c>
      <c r="C51" s="507"/>
      <c r="D51" s="507"/>
      <c r="E51" s="507"/>
      <c r="F51" s="507"/>
      <c r="G51" s="507"/>
      <c r="H51" s="507"/>
      <c r="I51" s="507"/>
      <c r="J51" s="507"/>
      <c r="K51" s="507"/>
      <c r="L51" s="507"/>
      <c r="M51" s="507"/>
      <c r="N51" s="507"/>
      <c r="O51" s="507"/>
      <c r="P51" s="507"/>
      <c r="Q51" s="507"/>
    </row>
    <row r="52" spans="1:17" s="581" customFormat="1" ht="12" customHeight="1">
      <c r="A52" s="580" t="s">
        <v>306</v>
      </c>
      <c r="B52" s="499" t="s">
        <v>311</v>
      </c>
      <c r="C52" s="507"/>
      <c r="D52" s="507"/>
      <c r="E52" s="507"/>
      <c r="F52" s="507"/>
      <c r="G52" s="507"/>
      <c r="H52" s="507"/>
      <c r="I52" s="507"/>
      <c r="J52" s="507"/>
      <c r="K52" s="507"/>
      <c r="L52" s="507"/>
      <c r="M52" s="507"/>
      <c r="N52" s="507"/>
      <c r="O52" s="507"/>
      <c r="P52" s="507"/>
      <c r="Q52" s="507"/>
    </row>
    <row r="53" spans="1:17" s="581" customFormat="1" ht="12" customHeight="1" thickBot="1">
      <c r="A53" s="583" t="s">
        <v>307</v>
      </c>
      <c r="B53" s="502" t="s">
        <v>312</v>
      </c>
      <c r="C53" s="508"/>
      <c r="D53" s="508"/>
      <c r="E53" s="508"/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508"/>
      <c r="Q53" s="508"/>
    </row>
    <row r="54" spans="1:17" s="581" customFormat="1" ht="12" customHeight="1" thickBot="1">
      <c r="A54" s="523" t="s">
        <v>184</v>
      </c>
      <c r="B54" s="492" t="s">
        <v>313</v>
      </c>
      <c r="C54" s="493">
        <f aca="true" t="shared" si="15" ref="C54:Q54">SUM(C55:C57)</f>
        <v>0</v>
      </c>
      <c r="D54" s="493">
        <f t="shared" si="15"/>
        <v>0</v>
      </c>
      <c r="E54" s="493">
        <f t="shared" si="15"/>
        <v>0</v>
      </c>
      <c r="F54" s="493">
        <f t="shared" si="15"/>
        <v>0</v>
      </c>
      <c r="G54" s="493">
        <f t="shared" si="15"/>
        <v>0</v>
      </c>
      <c r="H54" s="493">
        <f t="shared" si="15"/>
        <v>0</v>
      </c>
      <c r="I54" s="493">
        <f t="shared" si="15"/>
        <v>0</v>
      </c>
      <c r="J54" s="493">
        <f t="shared" si="15"/>
        <v>0</v>
      </c>
      <c r="K54" s="493">
        <f t="shared" si="15"/>
        <v>0</v>
      </c>
      <c r="L54" s="493">
        <f t="shared" si="15"/>
        <v>0</v>
      </c>
      <c r="M54" s="493">
        <f t="shared" si="15"/>
        <v>0</v>
      </c>
      <c r="N54" s="493">
        <f t="shared" si="15"/>
        <v>0</v>
      </c>
      <c r="O54" s="493">
        <f t="shared" si="15"/>
        <v>0</v>
      </c>
      <c r="P54" s="493">
        <f t="shared" si="15"/>
        <v>0</v>
      </c>
      <c r="Q54" s="493">
        <f t="shared" si="15"/>
        <v>0</v>
      </c>
    </row>
    <row r="55" spans="1:17" s="581" customFormat="1" ht="12" customHeight="1">
      <c r="A55" s="578" t="s">
        <v>105</v>
      </c>
      <c r="B55" s="496" t="s">
        <v>314</v>
      </c>
      <c r="C55" s="497"/>
      <c r="D55" s="497"/>
      <c r="E55" s="497"/>
      <c r="F55" s="497"/>
      <c r="G55" s="497"/>
      <c r="H55" s="497"/>
      <c r="I55" s="497"/>
      <c r="J55" s="497"/>
      <c r="K55" s="497"/>
      <c r="L55" s="497"/>
      <c r="M55" s="497"/>
      <c r="N55" s="497"/>
      <c r="O55" s="497"/>
      <c r="P55" s="497"/>
      <c r="Q55" s="497"/>
    </row>
    <row r="56" spans="1:17" s="581" customFormat="1" ht="12" customHeight="1">
      <c r="A56" s="580" t="s">
        <v>106</v>
      </c>
      <c r="B56" s="499" t="s">
        <v>497</v>
      </c>
      <c r="C56" s="500"/>
      <c r="D56" s="500"/>
      <c r="E56" s="500"/>
      <c r="F56" s="500"/>
      <c r="G56" s="500"/>
      <c r="H56" s="500"/>
      <c r="I56" s="500"/>
      <c r="J56" s="500"/>
      <c r="K56" s="500"/>
      <c r="L56" s="500"/>
      <c r="M56" s="500"/>
      <c r="N56" s="500"/>
      <c r="O56" s="500"/>
      <c r="P56" s="500"/>
      <c r="Q56" s="500"/>
    </row>
    <row r="57" spans="1:17" s="581" customFormat="1" ht="12" customHeight="1">
      <c r="A57" s="580" t="s">
        <v>318</v>
      </c>
      <c r="B57" s="499" t="s">
        <v>316</v>
      </c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500"/>
      <c r="P57" s="500"/>
      <c r="Q57" s="500"/>
    </row>
    <row r="58" spans="1:17" s="581" customFormat="1" ht="12" customHeight="1" thickBot="1">
      <c r="A58" s="583" t="s">
        <v>319</v>
      </c>
      <c r="B58" s="502" t="s">
        <v>317</v>
      </c>
      <c r="C58" s="504"/>
      <c r="D58" s="504"/>
      <c r="E58" s="504"/>
      <c r="F58" s="504"/>
      <c r="G58" s="504"/>
      <c r="H58" s="504"/>
      <c r="I58" s="504"/>
      <c r="J58" s="504"/>
      <c r="K58" s="504"/>
      <c r="L58" s="504"/>
      <c r="M58" s="504"/>
      <c r="N58" s="504"/>
      <c r="O58" s="504"/>
      <c r="P58" s="504"/>
      <c r="Q58" s="504"/>
    </row>
    <row r="59" spans="1:17" s="581" customFormat="1" ht="12" customHeight="1" thickBot="1">
      <c r="A59" s="523" t="s">
        <v>27</v>
      </c>
      <c r="B59" s="503" t="s">
        <v>320</v>
      </c>
      <c r="C59" s="493">
        <f aca="true" t="shared" si="16" ref="C59:Q59">SUM(C60:C62)</f>
        <v>0</v>
      </c>
      <c r="D59" s="493">
        <f t="shared" si="16"/>
        <v>0</v>
      </c>
      <c r="E59" s="493">
        <f t="shared" si="16"/>
        <v>0</v>
      </c>
      <c r="F59" s="493">
        <f t="shared" si="16"/>
        <v>0</v>
      </c>
      <c r="G59" s="493">
        <f t="shared" si="16"/>
        <v>0</v>
      </c>
      <c r="H59" s="493">
        <f t="shared" si="16"/>
        <v>0</v>
      </c>
      <c r="I59" s="493">
        <f t="shared" si="16"/>
        <v>0</v>
      </c>
      <c r="J59" s="493">
        <f t="shared" si="16"/>
        <v>0</v>
      </c>
      <c r="K59" s="493">
        <f t="shared" si="16"/>
        <v>0</v>
      </c>
      <c r="L59" s="493">
        <f t="shared" si="16"/>
        <v>0</v>
      </c>
      <c r="M59" s="493">
        <f t="shared" si="16"/>
        <v>0</v>
      </c>
      <c r="N59" s="493">
        <f t="shared" si="16"/>
        <v>0</v>
      </c>
      <c r="O59" s="493">
        <f t="shared" si="16"/>
        <v>0</v>
      </c>
      <c r="P59" s="493">
        <f t="shared" si="16"/>
        <v>0</v>
      </c>
      <c r="Q59" s="493">
        <f t="shared" si="16"/>
        <v>0</v>
      </c>
    </row>
    <row r="60" spans="1:17" s="581" customFormat="1" ht="12" customHeight="1">
      <c r="A60" s="578" t="s">
        <v>185</v>
      </c>
      <c r="B60" s="496" t="s">
        <v>322</v>
      </c>
      <c r="C60" s="507"/>
      <c r="D60" s="507"/>
      <c r="E60" s="507"/>
      <c r="F60" s="507"/>
      <c r="G60" s="507"/>
      <c r="H60" s="507"/>
      <c r="I60" s="507"/>
      <c r="J60" s="507"/>
      <c r="K60" s="507"/>
      <c r="L60" s="507"/>
      <c r="M60" s="507"/>
      <c r="N60" s="507"/>
      <c r="O60" s="507"/>
      <c r="P60" s="507"/>
      <c r="Q60" s="507"/>
    </row>
    <row r="61" spans="1:17" s="581" customFormat="1" ht="12" customHeight="1">
      <c r="A61" s="580" t="s">
        <v>186</v>
      </c>
      <c r="B61" s="499" t="s">
        <v>498</v>
      </c>
      <c r="C61" s="507"/>
      <c r="D61" s="507"/>
      <c r="E61" s="507"/>
      <c r="F61" s="507"/>
      <c r="G61" s="507"/>
      <c r="H61" s="507"/>
      <c r="I61" s="507"/>
      <c r="J61" s="507"/>
      <c r="K61" s="507"/>
      <c r="L61" s="507"/>
      <c r="M61" s="507"/>
      <c r="N61" s="507"/>
      <c r="O61" s="507"/>
      <c r="P61" s="507"/>
      <c r="Q61" s="507"/>
    </row>
    <row r="62" spans="1:17" s="581" customFormat="1" ht="12" customHeight="1">
      <c r="A62" s="580" t="s">
        <v>235</v>
      </c>
      <c r="B62" s="499" t="s">
        <v>323</v>
      </c>
      <c r="C62" s="507">
        <v>0</v>
      </c>
      <c r="D62" s="507">
        <v>0</v>
      </c>
      <c r="E62" s="507">
        <v>0</v>
      </c>
      <c r="F62" s="507">
        <v>0</v>
      </c>
      <c r="G62" s="507">
        <v>0</v>
      </c>
      <c r="H62" s="507">
        <v>0</v>
      </c>
      <c r="I62" s="507">
        <v>0</v>
      </c>
      <c r="J62" s="507">
        <v>0</v>
      </c>
      <c r="K62" s="507">
        <v>0</v>
      </c>
      <c r="L62" s="507">
        <v>0</v>
      </c>
      <c r="M62" s="507">
        <v>0</v>
      </c>
      <c r="N62" s="507">
        <v>0</v>
      </c>
      <c r="O62" s="507">
        <v>0</v>
      </c>
      <c r="P62" s="507">
        <v>0</v>
      </c>
      <c r="Q62" s="507">
        <v>0</v>
      </c>
    </row>
    <row r="63" spans="1:17" s="581" customFormat="1" ht="12" customHeight="1" thickBot="1">
      <c r="A63" s="583" t="s">
        <v>321</v>
      </c>
      <c r="B63" s="502" t="s">
        <v>324</v>
      </c>
      <c r="C63" s="507"/>
      <c r="D63" s="507"/>
      <c r="E63" s="507"/>
      <c r="F63" s="507"/>
      <c r="G63" s="507"/>
      <c r="H63" s="507"/>
      <c r="I63" s="507"/>
      <c r="J63" s="507"/>
      <c r="K63" s="507"/>
      <c r="L63" s="507"/>
      <c r="M63" s="507"/>
      <c r="N63" s="507"/>
      <c r="O63" s="507"/>
      <c r="P63" s="507"/>
      <c r="Q63" s="507"/>
    </row>
    <row r="64" spans="1:17" s="581" customFormat="1" ht="12" customHeight="1" thickBot="1">
      <c r="A64" s="523" t="s">
        <v>28</v>
      </c>
      <c r="B64" s="492" t="s">
        <v>325</v>
      </c>
      <c r="C64" s="505">
        <f aca="true" t="shared" si="17" ref="C64:Q64">+C9+C16+C23+C30+C37+C48+C54+C59</f>
        <v>231017027</v>
      </c>
      <c r="D64" s="505">
        <f t="shared" si="17"/>
        <v>-2500000</v>
      </c>
      <c r="E64" s="505">
        <f t="shared" si="17"/>
        <v>228517027</v>
      </c>
      <c r="F64" s="505">
        <f t="shared" si="17"/>
        <v>0</v>
      </c>
      <c r="G64" s="505">
        <f t="shared" si="17"/>
        <v>228517027</v>
      </c>
      <c r="H64" s="505">
        <f t="shared" si="17"/>
        <v>17278616</v>
      </c>
      <c r="I64" s="505">
        <f t="shared" si="17"/>
        <v>245795643</v>
      </c>
      <c r="J64" s="505">
        <f t="shared" si="17"/>
        <v>19117404</v>
      </c>
      <c r="K64" s="505">
        <f t="shared" si="17"/>
        <v>264913047</v>
      </c>
      <c r="L64" s="505">
        <f t="shared" si="17"/>
        <v>16845964</v>
      </c>
      <c r="M64" s="505">
        <f t="shared" si="17"/>
        <v>281759011</v>
      </c>
      <c r="N64" s="505">
        <f t="shared" si="17"/>
        <v>86318421</v>
      </c>
      <c r="O64" s="505">
        <f t="shared" si="17"/>
        <v>354077432</v>
      </c>
      <c r="P64" s="505">
        <f t="shared" si="17"/>
        <v>254503</v>
      </c>
      <c r="Q64" s="505">
        <f t="shared" si="17"/>
        <v>354331935</v>
      </c>
    </row>
    <row r="65" spans="1:17" s="581" customFormat="1" ht="12" customHeight="1" thickBot="1">
      <c r="A65" s="585" t="s">
        <v>459</v>
      </c>
      <c r="B65" s="503" t="s">
        <v>327</v>
      </c>
      <c r="C65" s="493">
        <f aca="true" t="shared" si="18" ref="C65:Q65">SUM(C66:C68)</f>
        <v>0</v>
      </c>
      <c r="D65" s="493">
        <f t="shared" si="18"/>
        <v>0</v>
      </c>
      <c r="E65" s="493">
        <f t="shared" si="18"/>
        <v>0</v>
      </c>
      <c r="F65" s="493">
        <f t="shared" si="18"/>
        <v>0</v>
      </c>
      <c r="G65" s="493">
        <f t="shared" si="18"/>
        <v>0</v>
      </c>
      <c r="H65" s="493">
        <f t="shared" si="18"/>
        <v>0</v>
      </c>
      <c r="I65" s="493">
        <f t="shared" si="18"/>
        <v>0</v>
      </c>
      <c r="J65" s="493">
        <f t="shared" si="18"/>
        <v>0</v>
      </c>
      <c r="K65" s="493">
        <f t="shared" si="18"/>
        <v>0</v>
      </c>
      <c r="L65" s="493">
        <f t="shared" si="18"/>
        <v>0</v>
      </c>
      <c r="M65" s="493">
        <f t="shared" si="18"/>
        <v>0</v>
      </c>
      <c r="N65" s="493">
        <f t="shared" si="18"/>
        <v>0</v>
      </c>
      <c r="O65" s="493">
        <f t="shared" si="18"/>
        <v>0</v>
      </c>
      <c r="P65" s="493">
        <f t="shared" si="18"/>
        <v>0</v>
      </c>
      <c r="Q65" s="493">
        <f t="shared" si="18"/>
        <v>0</v>
      </c>
    </row>
    <row r="66" spans="1:17" s="581" customFormat="1" ht="12" customHeight="1">
      <c r="A66" s="578" t="s">
        <v>360</v>
      </c>
      <c r="B66" s="496" t="s">
        <v>328</v>
      </c>
      <c r="C66" s="507"/>
      <c r="D66" s="507"/>
      <c r="E66" s="507"/>
      <c r="F66" s="507"/>
      <c r="G66" s="507"/>
      <c r="H66" s="507"/>
      <c r="I66" s="507"/>
      <c r="J66" s="507"/>
      <c r="K66" s="507"/>
      <c r="L66" s="507"/>
      <c r="M66" s="507"/>
      <c r="N66" s="507"/>
      <c r="O66" s="507"/>
      <c r="P66" s="507"/>
      <c r="Q66" s="507"/>
    </row>
    <row r="67" spans="1:17" s="581" customFormat="1" ht="12" customHeight="1">
      <c r="A67" s="580" t="s">
        <v>369</v>
      </c>
      <c r="B67" s="499" t="s">
        <v>329</v>
      </c>
      <c r="C67" s="507"/>
      <c r="D67" s="507"/>
      <c r="E67" s="507"/>
      <c r="F67" s="507"/>
      <c r="G67" s="507"/>
      <c r="H67" s="507"/>
      <c r="I67" s="507"/>
      <c r="J67" s="507"/>
      <c r="K67" s="507"/>
      <c r="L67" s="507"/>
      <c r="M67" s="507"/>
      <c r="N67" s="507"/>
      <c r="O67" s="507"/>
      <c r="P67" s="507"/>
      <c r="Q67" s="507"/>
    </row>
    <row r="68" spans="1:17" s="581" customFormat="1" ht="12" customHeight="1" thickBot="1">
      <c r="A68" s="583" t="s">
        <v>370</v>
      </c>
      <c r="B68" s="511" t="s">
        <v>330</v>
      </c>
      <c r="C68" s="507"/>
      <c r="D68" s="507"/>
      <c r="E68" s="507"/>
      <c r="F68" s="507"/>
      <c r="G68" s="507"/>
      <c r="H68" s="507"/>
      <c r="I68" s="507"/>
      <c r="J68" s="507"/>
      <c r="K68" s="507"/>
      <c r="L68" s="507"/>
      <c r="M68" s="507"/>
      <c r="N68" s="507"/>
      <c r="O68" s="507"/>
      <c r="P68" s="507"/>
      <c r="Q68" s="507"/>
    </row>
    <row r="69" spans="1:17" s="581" customFormat="1" ht="12" customHeight="1" thickBot="1">
      <c r="A69" s="585" t="s">
        <v>331</v>
      </c>
      <c r="B69" s="503" t="s">
        <v>332</v>
      </c>
      <c r="C69" s="493">
        <f aca="true" t="shared" si="19" ref="C69:Q69">SUM(C70:C73)</f>
        <v>0</v>
      </c>
      <c r="D69" s="493">
        <f t="shared" si="19"/>
        <v>0</v>
      </c>
      <c r="E69" s="493">
        <f t="shared" si="19"/>
        <v>0</v>
      </c>
      <c r="F69" s="493">
        <f t="shared" si="19"/>
        <v>0</v>
      </c>
      <c r="G69" s="493">
        <f t="shared" si="19"/>
        <v>0</v>
      </c>
      <c r="H69" s="493">
        <f t="shared" si="19"/>
        <v>0</v>
      </c>
      <c r="I69" s="493">
        <f t="shared" si="19"/>
        <v>0</v>
      </c>
      <c r="J69" s="493">
        <f t="shared" si="19"/>
        <v>0</v>
      </c>
      <c r="K69" s="493">
        <f t="shared" si="19"/>
        <v>0</v>
      </c>
      <c r="L69" s="493">
        <f t="shared" si="19"/>
        <v>0</v>
      </c>
      <c r="M69" s="493">
        <f t="shared" si="19"/>
        <v>0</v>
      </c>
      <c r="N69" s="493">
        <f t="shared" si="19"/>
        <v>0</v>
      </c>
      <c r="O69" s="493">
        <f t="shared" si="19"/>
        <v>0</v>
      </c>
      <c r="P69" s="493">
        <f t="shared" si="19"/>
        <v>0</v>
      </c>
      <c r="Q69" s="493">
        <f t="shared" si="19"/>
        <v>0</v>
      </c>
    </row>
    <row r="70" spans="1:17" s="581" customFormat="1" ht="12" customHeight="1">
      <c r="A70" s="578" t="s">
        <v>153</v>
      </c>
      <c r="B70" s="496" t="s">
        <v>333</v>
      </c>
      <c r="C70" s="507"/>
      <c r="D70" s="507"/>
      <c r="E70" s="507"/>
      <c r="F70" s="507"/>
      <c r="G70" s="507"/>
      <c r="H70" s="507"/>
      <c r="I70" s="507"/>
      <c r="J70" s="507"/>
      <c r="K70" s="507"/>
      <c r="L70" s="507"/>
      <c r="M70" s="507"/>
      <c r="N70" s="507"/>
      <c r="O70" s="507"/>
      <c r="P70" s="507"/>
      <c r="Q70" s="507"/>
    </row>
    <row r="71" spans="1:17" s="581" customFormat="1" ht="12" customHeight="1">
      <c r="A71" s="580" t="s">
        <v>154</v>
      </c>
      <c r="B71" s="499" t="s">
        <v>334</v>
      </c>
      <c r="C71" s="507"/>
      <c r="D71" s="507"/>
      <c r="E71" s="507"/>
      <c r="F71" s="507"/>
      <c r="G71" s="507"/>
      <c r="H71" s="507"/>
      <c r="I71" s="507"/>
      <c r="J71" s="507"/>
      <c r="K71" s="507"/>
      <c r="L71" s="507"/>
      <c r="M71" s="507"/>
      <c r="N71" s="507"/>
      <c r="O71" s="507"/>
      <c r="P71" s="507"/>
      <c r="Q71" s="507"/>
    </row>
    <row r="72" spans="1:17" s="581" customFormat="1" ht="12" customHeight="1">
      <c r="A72" s="580" t="s">
        <v>361</v>
      </c>
      <c r="B72" s="499" t="s">
        <v>335</v>
      </c>
      <c r="C72" s="507"/>
      <c r="D72" s="507"/>
      <c r="E72" s="507"/>
      <c r="F72" s="507"/>
      <c r="G72" s="507"/>
      <c r="H72" s="507"/>
      <c r="I72" s="507"/>
      <c r="J72" s="507"/>
      <c r="K72" s="507"/>
      <c r="L72" s="507"/>
      <c r="M72" s="507"/>
      <c r="N72" s="507"/>
      <c r="O72" s="507"/>
      <c r="P72" s="507"/>
      <c r="Q72" s="507"/>
    </row>
    <row r="73" spans="1:17" s="581" customFormat="1" ht="12" customHeight="1" thickBot="1">
      <c r="A73" s="583" t="s">
        <v>362</v>
      </c>
      <c r="B73" s="502" t="s">
        <v>336</v>
      </c>
      <c r="C73" s="507"/>
      <c r="D73" s="507"/>
      <c r="E73" s="507"/>
      <c r="F73" s="507"/>
      <c r="G73" s="507"/>
      <c r="H73" s="507"/>
      <c r="I73" s="507"/>
      <c r="J73" s="507"/>
      <c r="K73" s="507"/>
      <c r="L73" s="507"/>
      <c r="M73" s="507"/>
      <c r="N73" s="507"/>
      <c r="O73" s="507"/>
      <c r="P73" s="507"/>
      <c r="Q73" s="507"/>
    </row>
    <row r="74" spans="1:17" s="581" customFormat="1" ht="12" customHeight="1" thickBot="1">
      <c r="A74" s="585" t="s">
        <v>337</v>
      </c>
      <c r="B74" s="503" t="s">
        <v>338</v>
      </c>
      <c r="C74" s="493">
        <f aca="true" t="shared" si="20" ref="C74:Q74">SUM(C75:C76)</f>
        <v>155465622</v>
      </c>
      <c r="D74" s="493">
        <f t="shared" si="20"/>
        <v>-9361300</v>
      </c>
      <c r="E74" s="493">
        <f t="shared" si="20"/>
        <v>146104322</v>
      </c>
      <c r="F74" s="493">
        <f t="shared" si="20"/>
        <v>-1352059</v>
      </c>
      <c r="G74" s="493">
        <f t="shared" si="20"/>
        <v>144752263</v>
      </c>
      <c r="H74" s="493">
        <f t="shared" si="20"/>
        <v>-60000</v>
      </c>
      <c r="I74" s="493">
        <f t="shared" si="20"/>
        <v>144692263</v>
      </c>
      <c r="J74" s="493">
        <f t="shared" si="20"/>
        <v>0</v>
      </c>
      <c r="K74" s="493">
        <f t="shared" si="20"/>
        <v>144692263</v>
      </c>
      <c r="L74" s="493">
        <f t="shared" si="20"/>
        <v>0</v>
      </c>
      <c r="M74" s="493">
        <f t="shared" si="20"/>
        <v>144692263</v>
      </c>
      <c r="N74" s="493">
        <f t="shared" si="20"/>
        <v>0</v>
      </c>
      <c r="O74" s="493">
        <f t="shared" si="20"/>
        <v>144692263</v>
      </c>
      <c r="P74" s="493">
        <f t="shared" si="20"/>
        <v>0</v>
      </c>
      <c r="Q74" s="493">
        <f t="shared" si="20"/>
        <v>144692263</v>
      </c>
    </row>
    <row r="75" spans="1:17" s="581" customFormat="1" ht="12" customHeight="1">
      <c r="A75" s="578" t="s">
        <v>363</v>
      </c>
      <c r="B75" s="496" t="s">
        <v>339</v>
      </c>
      <c r="C75" s="507">
        <v>155465622</v>
      </c>
      <c r="D75" s="507">
        <v>-9361300</v>
      </c>
      <c r="E75" s="507">
        <f>C75+D75</f>
        <v>146104322</v>
      </c>
      <c r="F75" s="507">
        <v>-1352059</v>
      </c>
      <c r="G75" s="507">
        <f>E75+F75</f>
        <v>144752263</v>
      </c>
      <c r="H75" s="507">
        <v>-60000</v>
      </c>
      <c r="I75" s="507">
        <f>G75+H75</f>
        <v>144692263</v>
      </c>
      <c r="J75" s="507"/>
      <c r="K75" s="507">
        <f>I75+J75</f>
        <v>144692263</v>
      </c>
      <c r="L75" s="507"/>
      <c r="M75" s="507">
        <f>K75+L75</f>
        <v>144692263</v>
      </c>
      <c r="N75" s="507"/>
      <c r="O75" s="507">
        <f>M75+N75</f>
        <v>144692263</v>
      </c>
      <c r="P75" s="507"/>
      <c r="Q75" s="507">
        <f>O75+P75</f>
        <v>144692263</v>
      </c>
    </row>
    <row r="76" spans="1:17" s="581" customFormat="1" ht="12" customHeight="1" thickBot="1">
      <c r="A76" s="583" t="s">
        <v>364</v>
      </c>
      <c r="B76" s="502" t="s">
        <v>340</v>
      </c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507"/>
      <c r="O76" s="507"/>
      <c r="P76" s="507"/>
      <c r="Q76" s="507"/>
    </row>
    <row r="77" spans="1:17" s="579" customFormat="1" ht="12" customHeight="1" thickBot="1">
      <c r="A77" s="585" t="s">
        <v>341</v>
      </c>
      <c r="B77" s="503" t="s">
        <v>342</v>
      </c>
      <c r="C77" s="493">
        <f aca="true" t="shared" si="21" ref="C77:Q77">SUM(C78:C80)</f>
        <v>0</v>
      </c>
      <c r="D77" s="493">
        <f t="shared" si="21"/>
        <v>0</v>
      </c>
      <c r="E77" s="493">
        <f t="shared" si="21"/>
        <v>0</v>
      </c>
      <c r="F77" s="493">
        <f t="shared" si="21"/>
        <v>0</v>
      </c>
      <c r="G77" s="493">
        <f t="shared" si="21"/>
        <v>0</v>
      </c>
      <c r="H77" s="493">
        <f t="shared" si="21"/>
        <v>0</v>
      </c>
      <c r="I77" s="493">
        <f t="shared" si="21"/>
        <v>0</v>
      </c>
      <c r="J77" s="493">
        <f t="shared" si="21"/>
        <v>0</v>
      </c>
      <c r="K77" s="493">
        <f t="shared" si="21"/>
        <v>0</v>
      </c>
      <c r="L77" s="493">
        <f t="shared" si="21"/>
        <v>0</v>
      </c>
      <c r="M77" s="493">
        <f t="shared" si="21"/>
        <v>0</v>
      </c>
      <c r="N77" s="493">
        <f t="shared" si="21"/>
        <v>0</v>
      </c>
      <c r="O77" s="493">
        <f t="shared" si="21"/>
        <v>0</v>
      </c>
      <c r="P77" s="493">
        <f t="shared" si="21"/>
        <v>0</v>
      </c>
      <c r="Q77" s="493">
        <f t="shared" si="21"/>
        <v>0</v>
      </c>
    </row>
    <row r="78" spans="1:17" s="581" customFormat="1" ht="12" customHeight="1">
      <c r="A78" s="578" t="s">
        <v>365</v>
      </c>
      <c r="B78" s="496" t="s">
        <v>343</v>
      </c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N78" s="507"/>
      <c r="O78" s="507"/>
      <c r="P78" s="507"/>
      <c r="Q78" s="507"/>
    </row>
    <row r="79" spans="1:17" s="581" customFormat="1" ht="12" customHeight="1">
      <c r="A79" s="580" t="s">
        <v>366</v>
      </c>
      <c r="B79" s="499" t="s">
        <v>344</v>
      </c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N79" s="507"/>
      <c r="O79" s="507"/>
      <c r="P79" s="507"/>
      <c r="Q79" s="507"/>
    </row>
    <row r="80" spans="1:17" s="581" customFormat="1" ht="12" customHeight="1" thickBot="1">
      <c r="A80" s="583" t="s">
        <v>367</v>
      </c>
      <c r="B80" s="502" t="s">
        <v>345</v>
      </c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7"/>
      <c r="O80" s="507"/>
      <c r="P80" s="507"/>
      <c r="Q80" s="507"/>
    </row>
    <row r="81" spans="1:17" s="581" customFormat="1" ht="12" customHeight="1" thickBot="1">
      <c r="A81" s="585" t="s">
        <v>346</v>
      </c>
      <c r="B81" s="503" t="s">
        <v>368</v>
      </c>
      <c r="C81" s="493">
        <f aca="true" t="shared" si="22" ref="C81:Q81">SUM(C82:C85)</f>
        <v>0</v>
      </c>
      <c r="D81" s="493">
        <f t="shared" si="22"/>
        <v>0</v>
      </c>
      <c r="E81" s="493">
        <f t="shared" si="22"/>
        <v>0</v>
      </c>
      <c r="F81" s="493">
        <f t="shared" si="22"/>
        <v>0</v>
      </c>
      <c r="G81" s="493">
        <f t="shared" si="22"/>
        <v>0</v>
      </c>
      <c r="H81" s="493">
        <f t="shared" si="22"/>
        <v>0</v>
      </c>
      <c r="I81" s="493">
        <f t="shared" si="22"/>
        <v>0</v>
      </c>
      <c r="J81" s="493">
        <f t="shared" si="22"/>
        <v>0</v>
      </c>
      <c r="K81" s="493">
        <f t="shared" si="22"/>
        <v>0</v>
      </c>
      <c r="L81" s="493">
        <f t="shared" si="22"/>
        <v>0</v>
      </c>
      <c r="M81" s="493">
        <f t="shared" si="22"/>
        <v>0</v>
      </c>
      <c r="N81" s="493">
        <f t="shared" si="22"/>
        <v>0</v>
      </c>
      <c r="O81" s="493">
        <f t="shared" si="22"/>
        <v>0</v>
      </c>
      <c r="P81" s="493">
        <f t="shared" si="22"/>
        <v>0</v>
      </c>
      <c r="Q81" s="493">
        <f t="shared" si="22"/>
        <v>0</v>
      </c>
    </row>
    <row r="82" spans="1:17" s="581" customFormat="1" ht="12" customHeight="1">
      <c r="A82" s="586" t="s">
        <v>347</v>
      </c>
      <c r="B82" s="496" t="s">
        <v>348</v>
      </c>
      <c r="C82" s="507"/>
      <c r="D82" s="507"/>
      <c r="E82" s="507"/>
      <c r="F82" s="507"/>
      <c r="G82" s="507"/>
      <c r="H82" s="507"/>
      <c r="I82" s="507"/>
      <c r="J82" s="507"/>
      <c r="K82" s="507"/>
      <c r="L82" s="507"/>
      <c r="M82" s="507"/>
      <c r="N82" s="507"/>
      <c r="O82" s="507"/>
      <c r="P82" s="507"/>
      <c r="Q82" s="507"/>
    </row>
    <row r="83" spans="1:17" s="581" customFormat="1" ht="12" customHeight="1">
      <c r="A83" s="587" t="s">
        <v>349</v>
      </c>
      <c r="B83" s="499" t="s">
        <v>350</v>
      </c>
      <c r="C83" s="507"/>
      <c r="D83" s="507"/>
      <c r="E83" s="507"/>
      <c r="F83" s="507"/>
      <c r="G83" s="507"/>
      <c r="H83" s="507"/>
      <c r="I83" s="507"/>
      <c r="J83" s="507"/>
      <c r="K83" s="507"/>
      <c r="L83" s="507"/>
      <c r="M83" s="507"/>
      <c r="N83" s="507"/>
      <c r="O83" s="507"/>
      <c r="P83" s="507"/>
      <c r="Q83" s="507"/>
    </row>
    <row r="84" spans="1:17" s="581" customFormat="1" ht="12" customHeight="1">
      <c r="A84" s="587" t="s">
        <v>351</v>
      </c>
      <c r="B84" s="499" t="s">
        <v>352</v>
      </c>
      <c r="C84" s="507"/>
      <c r="D84" s="507"/>
      <c r="E84" s="507"/>
      <c r="F84" s="507"/>
      <c r="G84" s="507"/>
      <c r="H84" s="507"/>
      <c r="I84" s="507"/>
      <c r="J84" s="507"/>
      <c r="K84" s="507"/>
      <c r="L84" s="507"/>
      <c r="M84" s="507"/>
      <c r="N84" s="507"/>
      <c r="O84" s="507"/>
      <c r="P84" s="507"/>
      <c r="Q84" s="507"/>
    </row>
    <row r="85" spans="1:17" s="579" customFormat="1" ht="12" customHeight="1" thickBot="1">
      <c r="A85" s="588" t="s">
        <v>353</v>
      </c>
      <c r="B85" s="502" t="s">
        <v>354</v>
      </c>
      <c r="C85" s="507"/>
      <c r="D85" s="507"/>
      <c r="E85" s="507"/>
      <c r="F85" s="507"/>
      <c r="G85" s="507"/>
      <c r="H85" s="507"/>
      <c r="I85" s="507"/>
      <c r="J85" s="507"/>
      <c r="K85" s="507"/>
      <c r="L85" s="507"/>
      <c r="M85" s="507"/>
      <c r="N85" s="507"/>
      <c r="O85" s="507"/>
      <c r="P85" s="507"/>
      <c r="Q85" s="507"/>
    </row>
    <row r="86" spans="1:17" s="579" customFormat="1" ht="12" customHeight="1" thickBot="1">
      <c r="A86" s="585" t="s">
        <v>355</v>
      </c>
      <c r="B86" s="503" t="s">
        <v>356</v>
      </c>
      <c r="C86" s="515"/>
      <c r="D86" s="515"/>
      <c r="E86" s="515"/>
      <c r="F86" s="515"/>
      <c r="G86" s="515"/>
      <c r="H86" s="515"/>
      <c r="I86" s="515"/>
      <c r="J86" s="515"/>
      <c r="K86" s="515"/>
      <c r="L86" s="515"/>
      <c r="M86" s="515"/>
      <c r="N86" s="515"/>
      <c r="O86" s="515"/>
      <c r="P86" s="515"/>
      <c r="Q86" s="515"/>
    </row>
    <row r="87" spans="1:17" s="579" customFormat="1" ht="12" customHeight="1" thickBot="1">
      <c r="A87" s="585" t="s">
        <v>357</v>
      </c>
      <c r="B87" s="516" t="s">
        <v>358</v>
      </c>
      <c r="C87" s="505">
        <f aca="true" t="shared" si="23" ref="C87:Q87">+C65+C69+C74+C77+C81+C86</f>
        <v>155465622</v>
      </c>
      <c r="D87" s="505">
        <f t="shared" si="23"/>
        <v>-9361300</v>
      </c>
      <c r="E87" s="505">
        <f t="shared" si="23"/>
        <v>146104322</v>
      </c>
      <c r="F87" s="505">
        <f t="shared" si="23"/>
        <v>-1352059</v>
      </c>
      <c r="G87" s="505">
        <f t="shared" si="23"/>
        <v>144752263</v>
      </c>
      <c r="H87" s="505">
        <f t="shared" si="23"/>
        <v>-60000</v>
      </c>
      <c r="I87" s="505">
        <f t="shared" si="23"/>
        <v>144692263</v>
      </c>
      <c r="J87" s="505">
        <f t="shared" si="23"/>
        <v>0</v>
      </c>
      <c r="K87" s="505">
        <f t="shared" si="23"/>
        <v>144692263</v>
      </c>
      <c r="L87" s="505">
        <f t="shared" si="23"/>
        <v>0</v>
      </c>
      <c r="M87" s="505">
        <f t="shared" si="23"/>
        <v>144692263</v>
      </c>
      <c r="N87" s="505">
        <f t="shared" si="23"/>
        <v>0</v>
      </c>
      <c r="O87" s="505">
        <f t="shared" si="23"/>
        <v>144692263</v>
      </c>
      <c r="P87" s="505">
        <f t="shared" si="23"/>
        <v>0</v>
      </c>
      <c r="Q87" s="505">
        <f t="shared" si="23"/>
        <v>144692263</v>
      </c>
    </row>
    <row r="88" spans="1:17" s="579" customFormat="1" ht="12" customHeight="1" thickBot="1">
      <c r="A88" s="589" t="s">
        <v>371</v>
      </c>
      <c r="B88" s="518" t="s">
        <v>486</v>
      </c>
      <c r="C88" s="505">
        <f aca="true" t="shared" si="24" ref="C88:Q88">+C64+C87</f>
        <v>386482649</v>
      </c>
      <c r="D88" s="505">
        <f t="shared" si="24"/>
        <v>-11861300</v>
      </c>
      <c r="E88" s="505">
        <f t="shared" si="24"/>
        <v>374621349</v>
      </c>
      <c r="F88" s="505">
        <f t="shared" si="24"/>
        <v>-1352059</v>
      </c>
      <c r="G88" s="505">
        <f t="shared" si="24"/>
        <v>373269290</v>
      </c>
      <c r="H88" s="505">
        <f t="shared" si="24"/>
        <v>17218616</v>
      </c>
      <c r="I88" s="505">
        <f t="shared" si="24"/>
        <v>390487906</v>
      </c>
      <c r="J88" s="505">
        <f t="shared" si="24"/>
        <v>19117404</v>
      </c>
      <c r="K88" s="505">
        <f t="shared" si="24"/>
        <v>409605310</v>
      </c>
      <c r="L88" s="505">
        <f t="shared" si="24"/>
        <v>16845964</v>
      </c>
      <c r="M88" s="505">
        <f t="shared" si="24"/>
        <v>426451274</v>
      </c>
      <c r="N88" s="505">
        <f t="shared" si="24"/>
        <v>86318421</v>
      </c>
      <c r="O88" s="505">
        <f t="shared" si="24"/>
        <v>498769695</v>
      </c>
      <c r="P88" s="505">
        <f t="shared" si="24"/>
        <v>254503</v>
      </c>
      <c r="Q88" s="505">
        <f t="shared" si="24"/>
        <v>499024198</v>
      </c>
    </row>
    <row r="89" spans="1:17" s="581" customFormat="1" ht="15" customHeight="1">
      <c r="A89" s="590"/>
      <c r="B89" s="591"/>
      <c r="C89" s="592"/>
      <c r="D89" s="592"/>
      <c r="E89" s="592"/>
      <c r="F89" s="592"/>
      <c r="G89" s="592"/>
      <c r="H89" s="592"/>
      <c r="I89" s="592"/>
      <c r="J89" s="592"/>
      <c r="K89" s="592"/>
      <c r="L89" s="592"/>
      <c r="M89" s="592"/>
      <c r="N89" s="592"/>
      <c r="O89" s="592"/>
      <c r="P89" s="592"/>
      <c r="Q89" s="592"/>
    </row>
    <row r="90" spans="1:17" ht="13.5" thickBot="1">
      <c r="A90" s="590"/>
      <c r="B90" s="593"/>
      <c r="C90" s="594"/>
      <c r="D90" s="594"/>
      <c r="E90" s="594"/>
      <c r="F90" s="594"/>
      <c r="G90" s="594"/>
      <c r="H90" s="594"/>
      <c r="I90" s="594"/>
      <c r="J90" s="594"/>
      <c r="K90" s="594"/>
      <c r="L90" s="594"/>
      <c r="M90" s="594"/>
      <c r="N90" s="594"/>
      <c r="O90" s="594"/>
      <c r="P90" s="594"/>
      <c r="Q90" s="594"/>
    </row>
    <row r="91" spans="1:17" s="575" customFormat="1" ht="16.5" customHeight="1" thickBot="1">
      <c r="A91" s="789" t="s">
        <v>61</v>
      </c>
      <c r="B91" s="786"/>
      <c r="C91" s="786"/>
      <c r="D91" s="786"/>
      <c r="E91" s="786"/>
      <c r="F91" s="786"/>
      <c r="G91" s="786"/>
      <c r="H91" s="786"/>
      <c r="I91" s="786"/>
      <c r="J91" s="786"/>
      <c r="K91" s="786"/>
      <c r="L91" s="786"/>
      <c r="M91" s="786"/>
      <c r="N91" s="786"/>
      <c r="O91" s="786"/>
      <c r="P91" s="786"/>
      <c r="Q91" s="787"/>
    </row>
    <row r="92" spans="1:17" s="597" customFormat="1" ht="12" customHeight="1" thickBot="1">
      <c r="A92" s="487" t="s">
        <v>20</v>
      </c>
      <c r="B92" s="527" t="s">
        <v>374</v>
      </c>
      <c r="C92" s="528">
        <f aca="true" t="shared" si="25" ref="C92:Q92">SUM(C93:C97)</f>
        <v>161881384</v>
      </c>
      <c r="D92" s="528">
        <f t="shared" si="25"/>
        <v>-10461300</v>
      </c>
      <c r="E92" s="528">
        <f t="shared" si="25"/>
        <v>151420084</v>
      </c>
      <c r="F92" s="528">
        <f t="shared" si="25"/>
        <v>766189</v>
      </c>
      <c r="G92" s="528">
        <f t="shared" si="25"/>
        <v>152186273</v>
      </c>
      <c r="H92" s="528">
        <f t="shared" si="25"/>
        <v>7044901</v>
      </c>
      <c r="I92" s="528">
        <f t="shared" si="25"/>
        <v>159231174</v>
      </c>
      <c r="J92" s="528">
        <f t="shared" si="25"/>
        <v>3528273</v>
      </c>
      <c r="K92" s="528">
        <f t="shared" si="25"/>
        <v>162759447</v>
      </c>
      <c r="L92" s="528">
        <f t="shared" si="25"/>
        <v>719539</v>
      </c>
      <c r="M92" s="528">
        <f t="shared" si="25"/>
        <v>163478986</v>
      </c>
      <c r="N92" s="528">
        <f t="shared" si="25"/>
        <v>1526175</v>
      </c>
      <c r="O92" s="528">
        <f t="shared" si="25"/>
        <v>165005161</v>
      </c>
      <c r="P92" s="528">
        <f t="shared" si="25"/>
        <v>-129202</v>
      </c>
      <c r="Q92" s="528">
        <f t="shared" si="25"/>
        <v>164875959</v>
      </c>
    </row>
    <row r="93" spans="1:17" ht="12" customHeight="1">
      <c r="A93" s="598" t="s">
        <v>107</v>
      </c>
      <c r="B93" s="530" t="s">
        <v>50</v>
      </c>
      <c r="C93" s="531">
        <v>43467732</v>
      </c>
      <c r="D93" s="531">
        <v>-4967000</v>
      </c>
      <c r="E93" s="532">
        <f>C93+D93</f>
        <v>38500732</v>
      </c>
      <c r="F93" s="531"/>
      <c r="G93" s="532">
        <f>E93+F93</f>
        <v>38500732</v>
      </c>
      <c r="H93" s="531">
        <v>5252689</v>
      </c>
      <c r="I93" s="532">
        <f>G93+H93</f>
        <v>43753421</v>
      </c>
      <c r="J93" s="531">
        <f>2769548-270000</f>
        <v>2499548</v>
      </c>
      <c r="K93" s="532">
        <f>I93+J93</f>
        <v>46252969</v>
      </c>
      <c r="L93" s="531">
        <v>590337</v>
      </c>
      <c r="M93" s="532">
        <f>K93+L93</f>
        <v>46843306</v>
      </c>
      <c r="N93" s="531">
        <f>1594540-230000</f>
        <v>1364540</v>
      </c>
      <c r="O93" s="532">
        <f>M93+N93</f>
        <v>48207846</v>
      </c>
      <c r="P93" s="531"/>
      <c r="Q93" s="532">
        <f>O93+P93</f>
        <v>48207846</v>
      </c>
    </row>
    <row r="94" spans="1:17" ht="12" customHeight="1">
      <c r="A94" s="580" t="s">
        <v>108</v>
      </c>
      <c r="B94" s="533" t="s">
        <v>187</v>
      </c>
      <c r="C94" s="500">
        <v>9861093</v>
      </c>
      <c r="D94" s="500">
        <v>-974300</v>
      </c>
      <c r="E94" s="534">
        <f>C94+D94</f>
        <v>8886793</v>
      </c>
      <c r="F94" s="500"/>
      <c r="G94" s="534">
        <f>E94+F94</f>
        <v>8886793</v>
      </c>
      <c r="H94" s="500">
        <v>1024712</v>
      </c>
      <c r="I94" s="534">
        <f>G94+H94</f>
        <v>9911505</v>
      </c>
      <c r="J94" s="500">
        <v>396225</v>
      </c>
      <c r="K94" s="534">
        <f>I94+J94</f>
        <v>10307730</v>
      </c>
      <c r="L94" s="500"/>
      <c r="M94" s="534">
        <f>K94+L94</f>
        <v>10307730</v>
      </c>
      <c r="N94" s="500">
        <f>201635-40000</f>
        <v>161635</v>
      </c>
      <c r="O94" s="534">
        <f>M94+N94</f>
        <v>10469365</v>
      </c>
      <c r="P94" s="500"/>
      <c r="Q94" s="534">
        <f>O94+P94</f>
        <v>10469365</v>
      </c>
    </row>
    <row r="95" spans="1:17" ht="12" customHeight="1">
      <c r="A95" s="580" t="s">
        <v>109</v>
      </c>
      <c r="B95" s="533" t="s">
        <v>143</v>
      </c>
      <c r="C95" s="504">
        <v>92347859</v>
      </c>
      <c r="D95" s="504">
        <v>-270000</v>
      </c>
      <c r="E95" s="534">
        <f>C95+D95</f>
        <v>92077859</v>
      </c>
      <c r="F95" s="504"/>
      <c r="G95" s="534">
        <f>E95+F95</f>
        <v>92077859</v>
      </c>
      <c r="H95" s="504">
        <v>400000</v>
      </c>
      <c r="I95" s="534">
        <f>G95+H95</f>
        <v>92477859</v>
      </c>
      <c r="J95" s="504">
        <v>1000000</v>
      </c>
      <c r="K95" s="534">
        <f>I95+J95</f>
        <v>93477859</v>
      </c>
      <c r="L95" s="504"/>
      <c r="M95" s="534">
        <f>K95+L95</f>
        <v>93477859</v>
      </c>
      <c r="N95" s="504"/>
      <c r="O95" s="534">
        <f>M95+N95</f>
        <v>93477859</v>
      </c>
      <c r="P95" s="504"/>
      <c r="Q95" s="534">
        <f>O95+P95</f>
        <v>93477859</v>
      </c>
    </row>
    <row r="96" spans="1:17" ht="12" customHeight="1">
      <c r="A96" s="580" t="s">
        <v>110</v>
      </c>
      <c r="B96" s="535" t="s">
        <v>188</v>
      </c>
      <c r="C96" s="504">
        <v>7954700</v>
      </c>
      <c r="D96" s="504"/>
      <c r="E96" s="534">
        <f>C96+D96</f>
        <v>7954700</v>
      </c>
      <c r="F96" s="504"/>
      <c r="G96" s="534">
        <f>E96+F96</f>
        <v>7954700</v>
      </c>
      <c r="H96" s="504">
        <v>367500</v>
      </c>
      <c r="I96" s="534">
        <f>G96+H96</f>
        <v>8322200</v>
      </c>
      <c r="J96" s="504">
        <v>-367500</v>
      </c>
      <c r="K96" s="534">
        <f>I96+J96</f>
        <v>7954700</v>
      </c>
      <c r="L96" s="504"/>
      <c r="M96" s="534">
        <f>K96+L96</f>
        <v>7954700</v>
      </c>
      <c r="N96" s="504"/>
      <c r="O96" s="534">
        <f>M96+N96</f>
        <v>7954700</v>
      </c>
      <c r="P96" s="504"/>
      <c r="Q96" s="534">
        <f>O96+P96</f>
        <v>7954700</v>
      </c>
    </row>
    <row r="97" spans="1:17" ht="12" customHeight="1">
      <c r="A97" s="580" t="s">
        <v>121</v>
      </c>
      <c r="B97" s="536" t="s">
        <v>189</v>
      </c>
      <c r="C97" s="504">
        <f aca="true" t="shared" si="26" ref="C97:Q97">SUM(C98:C107)</f>
        <v>8250000</v>
      </c>
      <c r="D97" s="504">
        <f t="shared" si="26"/>
        <v>-4250000</v>
      </c>
      <c r="E97" s="504">
        <f t="shared" si="26"/>
        <v>4000000</v>
      </c>
      <c r="F97" s="504">
        <f t="shared" si="26"/>
        <v>766189</v>
      </c>
      <c r="G97" s="504">
        <f t="shared" si="26"/>
        <v>4766189</v>
      </c>
      <c r="H97" s="504">
        <f t="shared" si="26"/>
        <v>0</v>
      </c>
      <c r="I97" s="504">
        <f t="shared" si="26"/>
        <v>4766189</v>
      </c>
      <c r="J97" s="504">
        <f t="shared" si="26"/>
        <v>0</v>
      </c>
      <c r="K97" s="504">
        <f t="shared" si="26"/>
        <v>4766189</v>
      </c>
      <c r="L97" s="504">
        <f t="shared" si="26"/>
        <v>129202</v>
      </c>
      <c r="M97" s="504">
        <f t="shared" si="26"/>
        <v>4895391</v>
      </c>
      <c r="N97" s="504">
        <f t="shared" si="26"/>
        <v>0</v>
      </c>
      <c r="O97" s="504">
        <f t="shared" si="26"/>
        <v>4895391</v>
      </c>
      <c r="P97" s="504">
        <f t="shared" si="26"/>
        <v>-129202</v>
      </c>
      <c r="Q97" s="504">
        <f t="shared" si="26"/>
        <v>4766189</v>
      </c>
    </row>
    <row r="98" spans="1:17" ht="12" customHeight="1">
      <c r="A98" s="580" t="s">
        <v>111</v>
      </c>
      <c r="B98" s="533" t="s">
        <v>375</v>
      </c>
      <c r="C98" s="504"/>
      <c r="D98" s="504"/>
      <c r="E98" s="504"/>
      <c r="F98" s="504">
        <v>766189</v>
      </c>
      <c r="G98" s="504">
        <v>766189</v>
      </c>
      <c r="H98" s="504">
        <v>0</v>
      </c>
      <c r="I98" s="504">
        <v>766189</v>
      </c>
      <c r="J98" s="504"/>
      <c r="K98" s="504">
        <v>766189</v>
      </c>
      <c r="L98" s="504">
        <v>129202</v>
      </c>
      <c r="M98" s="504">
        <f>K98+L98</f>
        <v>895391</v>
      </c>
      <c r="N98" s="504"/>
      <c r="O98" s="504">
        <f>M98+N98</f>
        <v>895391</v>
      </c>
      <c r="P98" s="504">
        <v>-129202</v>
      </c>
      <c r="Q98" s="504">
        <f>O98+P98</f>
        <v>766189</v>
      </c>
    </row>
    <row r="99" spans="1:17" ht="12" customHeight="1">
      <c r="A99" s="580" t="s">
        <v>112</v>
      </c>
      <c r="B99" s="537" t="s">
        <v>376</v>
      </c>
      <c r="C99" s="504"/>
      <c r="D99" s="504"/>
      <c r="E99" s="504"/>
      <c r="F99" s="504"/>
      <c r="G99" s="504"/>
      <c r="H99" s="504"/>
      <c r="I99" s="504"/>
      <c r="J99" s="504"/>
      <c r="K99" s="504"/>
      <c r="L99" s="504"/>
      <c r="M99" s="504"/>
      <c r="N99" s="504"/>
      <c r="O99" s="504"/>
      <c r="P99" s="504"/>
      <c r="Q99" s="504"/>
    </row>
    <row r="100" spans="1:17" ht="12" customHeight="1">
      <c r="A100" s="580" t="s">
        <v>122</v>
      </c>
      <c r="B100" s="538" t="s">
        <v>377</v>
      </c>
      <c r="C100" s="504"/>
      <c r="D100" s="504"/>
      <c r="E100" s="504"/>
      <c r="F100" s="504"/>
      <c r="G100" s="504"/>
      <c r="H100" s="504"/>
      <c r="I100" s="504"/>
      <c r="J100" s="504"/>
      <c r="K100" s="504"/>
      <c r="L100" s="504"/>
      <c r="M100" s="504"/>
      <c r="N100" s="504"/>
      <c r="O100" s="504"/>
      <c r="P100" s="504"/>
      <c r="Q100" s="504"/>
    </row>
    <row r="101" spans="1:17" ht="12" customHeight="1">
      <c r="A101" s="580" t="s">
        <v>123</v>
      </c>
      <c r="B101" s="538" t="s">
        <v>378</v>
      </c>
      <c r="C101" s="504"/>
      <c r="D101" s="504"/>
      <c r="E101" s="504"/>
      <c r="F101" s="504"/>
      <c r="G101" s="504"/>
      <c r="H101" s="504"/>
      <c r="I101" s="504"/>
      <c r="J101" s="504"/>
      <c r="K101" s="504"/>
      <c r="L101" s="504"/>
      <c r="M101" s="504"/>
      <c r="N101" s="504"/>
      <c r="O101" s="504"/>
      <c r="P101" s="504"/>
      <c r="Q101" s="504"/>
    </row>
    <row r="102" spans="1:17" ht="12" customHeight="1">
      <c r="A102" s="580" t="s">
        <v>124</v>
      </c>
      <c r="B102" s="537" t="s">
        <v>379</v>
      </c>
      <c r="C102" s="504"/>
      <c r="D102" s="504"/>
      <c r="E102" s="504">
        <f>C102+D102</f>
        <v>0</v>
      </c>
      <c r="F102" s="504"/>
      <c r="G102" s="504">
        <f>E102+F102</f>
        <v>0</v>
      </c>
      <c r="H102" s="504"/>
      <c r="I102" s="504">
        <f>G102+H102</f>
        <v>0</v>
      </c>
      <c r="J102" s="504"/>
      <c r="K102" s="504">
        <f>I102+J102</f>
        <v>0</v>
      </c>
      <c r="L102" s="504"/>
      <c r="M102" s="504">
        <f>K102+L102</f>
        <v>0</v>
      </c>
      <c r="N102" s="504"/>
      <c r="O102" s="504">
        <f>M102+N102</f>
        <v>0</v>
      </c>
      <c r="P102" s="504"/>
      <c r="Q102" s="504">
        <f>O102+P102</f>
        <v>0</v>
      </c>
    </row>
    <row r="103" spans="1:17" ht="12" customHeight="1">
      <c r="A103" s="580" t="s">
        <v>125</v>
      </c>
      <c r="B103" s="537" t="s">
        <v>380</v>
      </c>
      <c r="C103" s="504"/>
      <c r="D103" s="504"/>
      <c r="E103" s="504"/>
      <c r="F103" s="504"/>
      <c r="G103" s="504"/>
      <c r="H103" s="504"/>
      <c r="I103" s="504"/>
      <c r="J103" s="504"/>
      <c r="K103" s="504"/>
      <c r="L103" s="504"/>
      <c r="M103" s="504"/>
      <c r="N103" s="504"/>
      <c r="O103" s="504"/>
      <c r="P103" s="504"/>
      <c r="Q103" s="504"/>
    </row>
    <row r="104" spans="1:17" ht="12" customHeight="1">
      <c r="A104" s="580" t="s">
        <v>127</v>
      </c>
      <c r="B104" s="538" t="s">
        <v>381</v>
      </c>
      <c r="C104" s="504"/>
      <c r="D104" s="504"/>
      <c r="E104" s="504"/>
      <c r="F104" s="504"/>
      <c r="G104" s="504"/>
      <c r="H104" s="504"/>
      <c r="I104" s="504"/>
      <c r="J104" s="504"/>
      <c r="K104" s="504"/>
      <c r="L104" s="504"/>
      <c r="M104" s="504"/>
      <c r="N104" s="504"/>
      <c r="O104" s="504"/>
      <c r="P104" s="504"/>
      <c r="Q104" s="504"/>
    </row>
    <row r="105" spans="1:17" ht="12" customHeight="1">
      <c r="A105" s="599" t="s">
        <v>190</v>
      </c>
      <c r="B105" s="540" t="s">
        <v>382</v>
      </c>
      <c r="C105" s="504"/>
      <c r="D105" s="504"/>
      <c r="E105" s="504"/>
      <c r="F105" s="504"/>
      <c r="G105" s="504"/>
      <c r="H105" s="504"/>
      <c r="I105" s="504"/>
      <c r="J105" s="504"/>
      <c r="K105" s="504"/>
      <c r="L105" s="504"/>
      <c r="M105" s="504"/>
      <c r="N105" s="504"/>
      <c r="O105" s="504"/>
      <c r="P105" s="504"/>
      <c r="Q105" s="504"/>
    </row>
    <row r="106" spans="1:17" ht="12" customHeight="1">
      <c r="A106" s="580" t="s">
        <v>372</v>
      </c>
      <c r="B106" s="540" t="s">
        <v>383</v>
      </c>
      <c r="C106" s="504"/>
      <c r="D106" s="504"/>
      <c r="E106" s="504"/>
      <c r="F106" s="504"/>
      <c r="G106" s="504"/>
      <c r="H106" s="504"/>
      <c r="I106" s="504"/>
      <c r="J106" s="504"/>
      <c r="K106" s="504"/>
      <c r="L106" s="504"/>
      <c r="M106" s="504"/>
      <c r="N106" s="504"/>
      <c r="O106" s="504"/>
      <c r="P106" s="504"/>
      <c r="Q106" s="504"/>
    </row>
    <row r="107" spans="1:17" ht="12" customHeight="1" thickBot="1">
      <c r="A107" s="600" t="s">
        <v>373</v>
      </c>
      <c r="B107" s="542" t="s">
        <v>384</v>
      </c>
      <c r="C107" s="543">
        <v>8250000</v>
      </c>
      <c r="D107" s="543">
        <v>-4250000</v>
      </c>
      <c r="E107" s="543">
        <f>C107+D107</f>
        <v>4000000</v>
      </c>
      <c r="F107" s="543"/>
      <c r="G107" s="543">
        <f>E107+F107</f>
        <v>4000000</v>
      </c>
      <c r="H107" s="543"/>
      <c r="I107" s="543">
        <f>G107+H107</f>
        <v>4000000</v>
      </c>
      <c r="J107" s="543"/>
      <c r="K107" s="543">
        <f>I107+J107</f>
        <v>4000000</v>
      </c>
      <c r="L107" s="543"/>
      <c r="M107" s="543">
        <f>K107+L107</f>
        <v>4000000</v>
      </c>
      <c r="N107" s="543"/>
      <c r="O107" s="543">
        <f>M107+N107</f>
        <v>4000000</v>
      </c>
      <c r="P107" s="543"/>
      <c r="Q107" s="543">
        <f>O107+P107</f>
        <v>4000000</v>
      </c>
    </row>
    <row r="108" spans="1:17" ht="12" customHeight="1" thickBot="1">
      <c r="A108" s="523" t="s">
        <v>21</v>
      </c>
      <c r="B108" s="544" t="s">
        <v>385</v>
      </c>
      <c r="C108" s="493">
        <f aca="true" t="shared" si="27" ref="C108:J108">+C109+C111+C113</f>
        <v>57168656</v>
      </c>
      <c r="D108" s="493">
        <f t="shared" si="27"/>
        <v>-1400000</v>
      </c>
      <c r="E108" s="493">
        <f t="shared" si="27"/>
        <v>55768656</v>
      </c>
      <c r="F108" s="493">
        <f t="shared" si="27"/>
        <v>0</v>
      </c>
      <c r="G108" s="493">
        <f t="shared" si="27"/>
        <v>55768656</v>
      </c>
      <c r="H108" s="493">
        <f t="shared" si="27"/>
        <v>2926115</v>
      </c>
      <c r="I108" s="493">
        <f t="shared" si="27"/>
        <v>58694771</v>
      </c>
      <c r="J108" s="493">
        <f t="shared" si="27"/>
        <v>43037197</v>
      </c>
      <c r="K108" s="493">
        <f>+K109+K111+K113</f>
        <v>101731968</v>
      </c>
      <c r="L108" s="493">
        <f>+L109+L111+L113+L121</f>
        <v>16934113</v>
      </c>
      <c r="M108" s="493">
        <f>+M109+M111+M113</f>
        <v>119166081</v>
      </c>
      <c r="N108" s="493">
        <f>+N109+N111+N113+N121</f>
        <v>7635621</v>
      </c>
      <c r="O108" s="493">
        <f>+O109+O111+O113</f>
        <v>126801702</v>
      </c>
      <c r="P108" s="493">
        <f>+P109+P111+P113+P121</f>
        <v>0</v>
      </c>
      <c r="Q108" s="493">
        <f>+Q109+Q111+Q113</f>
        <v>126801702</v>
      </c>
    </row>
    <row r="109" spans="1:17" ht="12" customHeight="1">
      <c r="A109" s="578" t="s">
        <v>113</v>
      </c>
      <c r="B109" s="533" t="s">
        <v>234</v>
      </c>
      <c r="C109" s="497">
        <v>24092687</v>
      </c>
      <c r="D109" s="497"/>
      <c r="E109" s="497">
        <f>C109+D109</f>
        <v>24092687</v>
      </c>
      <c r="F109" s="497"/>
      <c r="G109" s="497">
        <f>E109+F109</f>
        <v>24092687</v>
      </c>
      <c r="H109" s="497">
        <v>2926115</v>
      </c>
      <c r="I109" s="497">
        <f>G109+H109</f>
        <v>27018802</v>
      </c>
      <c r="J109" s="497">
        <v>-18000000</v>
      </c>
      <c r="K109" s="497">
        <f>I109+J109</f>
        <v>9018802</v>
      </c>
      <c r="L109" s="497">
        <v>500000</v>
      </c>
      <c r="M109" s="497">
        <f>K109+L109</f>
        <v>9518802</v>
      </c>
      <c r="N109" s="497">
        <v>4999863</v>
      </c>
      <c r="O109" s="497">
        <f>M109+N109</f>
        <v>14518665</v>
      </c>
      <c r="P109" s="497"/>
      <c r="Q109" s="497">
        <f>O109+P109</f>
        <v>14518665</v>
      </c>
    </row>
    <row r="110" spans="1:17" ht="12" customHeight="1">
      <c r="A110" s="578" t="s">
        <v>114</v>
      </c>
      <c r="B110" s="545" t="s">
        <v>389</v>
      </c>
      <c r="C110" s="497"/>
      <c r="D110" s="497"/>
      <c r="E110" s="497">
        <f aca="true" t="shared" si="28" ref="E110:E121">C110+D110</f>
        <v>0</v>
      </c>
      <c r="F110" s="497"/>
      <c r="G110" s="497">
        <f aca="true" t="shared" si="29" ref="G110:G121">E110+F110</f>
        <v>0</v>
      </c>
      <c r="H110" s="497"/>
      <c r="I110" s="497">
        <f aca="true" t="shared" si="30" ref="I110:I121">G110+H110</f>
        <v>0</v>
      </c>
      <c r="J110" s="497"/>
      <c r="K110" s="497">
        <f aca="true" t="shared" si="31" ref="K110:K121">I110+J110</f>
        <v>0</v>
      </c>
      <c r="L110" s="497"/>
      <c r="M110" s="497">
        <f aca="true" t="shared" si="32" ref="M110:M121">K110+L110</f>
        <v>0</v>
      </c>
      <c r="N110" s="497"/>
      <c r="O110" s="497">
        <f aca="true" t="shared" si="33" ref="O110:O121">M110+N110</f>
        <v>0</v>
      </c>
      <c r="P110" s="497"/>
      <c r="Q110" s="497">
        <f aca="true" t="shared" si="34" ref="Q110:Q121">O110+P110</f>
        <v>0</v>
      </c>
    </row>
    <row r="111" spans="1:17" ht="12" customHeight="1">
      <c r="A111" s="578" t="s">
        <v>115</v>
      </c>
      <c r="B111" s="545" t="s">
        <v>191</v>
      </c>
      <c r="C111" s="500">
        <v>30175969</v>
      </c>
      <c r="D111" s="500"/>
      <c r="E111" s="497">
        <f t="shared" si="28"/>
        <v>30175969</v>
      </c>
      <c r="F111" s="500"/>
      <c r="G111" s="497">
        <f t="shared" si="29"/>
        <v>30175969</v>
      </c>
      <c r="H111" s="500"/>
      <c r="I111" s="497">
        <f t="shared" si="30"/>
        <v>30175969</v>
      </c>
      <c r="J111" s="500">
        <f>48290726+12746471</f>
        <v>61037197</v>
      </c>
      <c r="K111" s="497">
        <f t="shared" si="31"/>
        <v>91213166</v>
      </c>
      <c r="L111" s="500">
        <v>16934113</v>
      </c>
      <c r="M111" s="497">
        <f t="shared" si="32"/>
        <v>108147279</v>
      </c>
      <c r="N111" s="500">
        <v>2635758</v>
      </c>
      <c r="O111" s="497">
        <f t="shared" si="33"/>
        <v>110783037</v>
      </c>
      <c r="P111" s="500"/>
      <c r="Q111" s="497">
        <f t="shared" si="34"/>
        <v>110783037</v>
      </c>
    </row>
    <row r="112" spans="1:17" ht="12" customHeight="1">
      <c r="A112" s="578" t="s">
        <v>116</v>
      </c>
      <c r="B112" s="545" t="s">
        <v>390</v>
      </c>
      <c r="C112" s="546"/>
      <c r="D112" s="546"/>
      <c r="E112" s="497">
        <f t="shared" si="28"/>
        <v>0</v>
      </c>
      <c r="F112" s="546"/>
      <c r="G112" s="497">
        <f t="shared" si="29"/>
        <v>0</v>
      </c>
      <c r="H112" s="546"/>
      <c r="I112" s="497">
        <f t="shared" si="30"/>
        <v>0</v>
      </c>
      <c r="J112" s="546"/>
      <c r="K112" s="497">
        <f t="shared" si="31"/>
        <v>0</v>
      </c>
      <c r="L112" s="546"/>
      <c r="M112" s="497">
        <f t="shared" si="32"/>
        <v>0</v>
      </c>
      <c r="N112" s="546"/>
      <c r="O112" s="497">
        <f t="shared" si="33"/>
        <v>0</v>
      </c>
      <c r="P112" s="546"/>
      <c r="Q112" s="497">
        <f t="shared" si="34"/>
        <v>0</v>
      </c>
    </row>
    <row r="113" spans="1:17" ht="12" customHeight="1">
      <c r="A113" s="578" t="s">
        <v>117</v>
      </c>
      <c r="B113" s="547" t="s">
        <v>236</v>
      </c>
      <c r="C113" s="546">
        <v>2900000</v>
      </c>
      <c r="D113" s="546">
        <v>-1400000</v>
      </c>
      <c r="E113" s="497">
        <f t="shared" si="28"/>
        <v>1500000</v>
      </c>
      <c r="F113" s="546"/>
      <c r="G113" s="497">
        <f t="shared" si="29"/>
        <v>1500000</v>
      </c>
      <c r="H113" s="546"/>
      <c r="I113" s="497">
        <f t="shared" si="30"/>
        <v>1500000</v>
      </c>
      <c r="J113" s="546"/>
      <c r="K113" s="497">
        <f t="shared" si="31"/>
        <v>1500000</v>
      </c>
      <c r="L113" s="546"/>
      <c r="M113" s="497">
        <f t="shared" si="32"/>
        <v>1500000</v>
      </c>
      <c r="N113" s="546"/>
      <c r="O113" s="497">
        <f t="shared" si="33"/>
        <v>1500000</v>
      </c>
      <c r="P113" s="546"/>
      <c r="Q113" s="497">
        <f t="shared" si="34"/>
        <v>1500000</v>
      </c>
    </row>
    <row r="114" spans="1:17" ht="12" customHeight="1">
      <c r="A114" s="578" t="s">
        <v>126</v>
      </c>
      <c r="B114" s="548" t="s">
        <v>499</v>
      </c>
      <c r="C114" s="546"/>
      <c r="D114" s="546"/>
      <c r="E114" s="497">
        <f t="shared" si="28"/>
        <v>0</v>
      </c>
      <c r="F114" s="546"/>
      <c r="G114" s="497">
        <f t="shared" si="29"/>
        <v>0</v>
      </c>
      <c r="H114" s="546"/>
      <c r="I114" s="497">
        <f t="shared" si="30"/>
        <v>0</v>
      </c>
      <c r="J114" s="546"/>
      <c r="K114" s="497">
        <f t="shared" si="31"/>
        <v>0</v>
      </c>
      <c r="L114" s="546"/>
      <c r="M114" s="497">
        <f t="shared" si="32"/>
        <v>0</v>
      </c>
      <c r="N114" s="546"/>
      <c r="O114" s="497">
        <f t="shared" si="33"/>
        <v>0</v>
      </c>
      <c r="P114" s="546"/>
      <c r="Q114" s="497">
        <f t="shared" si="34"/>
        <v>0</v>
      </c>
    </row>
    <row r="115" spans="1:17" ht="12" customHeight="1">
      <c r="A115" s="578" t="s">
        <v>128</v>
      </c>
      <c r="B115" s="549" t="s">
        <v>395</v>
      </c>
      <c r="C115" s="546"/>
      <c r="D115" s="546"/>
      <c r="E115" s="497">
        <f t="shared" si="28"/>
        <v>0</v>
      </c>
      <c r="F115" s="546"/>
      <c r="G115" s="497">
        <f t="shared" si="29"/>
        <v>0</v>
      </c>
      <c r="H115" s="546"/>
      <c r="I115" s="497">
        <f t="shared" si="30"/>
        <v>0</v>
      </c>
      <c r="J115" s="546"/>
      <c r="K115" s="497">
        <f t="shared" si="31"/>
        <v>0</v>
      </c>
      <c r="L115" s="546"/>
      <c r="M115" s="497">
        <f t="shared" si="32"/>
        <v>0</v>
      </c>
      <c r="N115" s="546"/>
      <c r="O115" s="497">
        <f t="shared" si="33"/>
        <v>0</v>
      </c>
      <c r="P115" s="546"/>
      <c r="Q115" s="497">
        <f t="shared" si="34"/>
        <v>0</v>
      </c>
    </row>
    <row r="116" spans="1:17" ht="12" customHeight="1">
      <c r="A116" s="578" t="s">
        <v>192</v>
      </c>
      <c r="B116" s="538" t="s">
        <v>378</v>
      </c>
      <c r="C116" s="546"/>
      <c r="D116" s="546"/>
      <c r="E116" s="497">
        <f t="shared" si="28"/>
        <v>0</v>
      </c>
      <c r="F116" s="546"/>
      <c r="G116" s="497">
        <f t="shared" si="29"/>
        <v>0</v>
      </c>
      <c r="H116" s="546"/>
      <c r="I116" s="497">
        <f t="shared" si="30"/>
        <v>0</v>
      </c>
      <c r="J116" s="546"/>
      <c r="K116" s="497">
        <f t="shared" si="31"/>
        <v>0</v>
      </c>
      <c r="L116" s="546"/>
      <c r="M116" s="497">
        <f t="shared" si="32"/>
        <v>0</v>
      </c>
      <c r="N116" s="546"/>
      <c r="O116" s="497">
        <f t="shared" si="33"/>
        <v>0</v>
      </c>
      <c r="P116" s="546"/>
      <c r="Q116" s="497">
        <f t="shared" si="34"/>
        <v>0</v>
      </c>
    </row>
    <row r="117" spans="1:17" ht="12" customHeight="1">
      <c r="A117" s="578" t="s">
        <v>193</v>
      </c>
      <c r="B117" s="538" t="s">
        <v>394</v>
      </c>
      <c r="C117" s="546"/>
      <c r="D117" s="546"/>
      <c r="E117" s="497">
        <f t="shared" si="28"/>
        <v>0</v>
      </c>
      <c r="F117" s="546"/>
      <c r="G117" s="497">
        <f t="shared" si="29"/>
        <v>0</v>
      </c>
      <c r="H117" s="546"/>
      <c r="I117" s="497">
        <f t="shared" si="30"/>
        <v>0</v>
      </c>
      <c r="J117" s="546"/>
      <c r="K117" s="497">
        <f t="shared" si="31"/>
        <v>0</v>
      </c>
      <c r="L117" s="546"/>
      <c r="M117" s="497">
        <f t="shared" si="32"/>
        <v>0</v>
      </c>
      <c r="N117" s="546"/>
      <c r="O117" s="497">
        <f t="shared" si="33"/>
        <v>0</v>
      </c>
      <c r="P117" s="546"/>
      <c r="Q117" s="497">
        <f t="shared" si="34"/>
        <v>0</v>
      </c>
    </row>
    <row r="118" spans="1:17" ht="12" customHeight="1">
      <c r="A118" s="578" t="s">
        <v>194</v>
      </c>
      <c r="B118" s="538" t="s">
        <v>393</v>
      </c>
      <c r="C118" s="546"/>
      <c r="D118" s="546"/>
      <c r="E118" s="497">
        <f t="shared" si="28"/>
        <v>0</v>
      </c>
      <c r="F118" s="546"/>
      <c r="G118" s="497">
        <f t="shared" si="29"/>
        <v>0</v>
      </c>
      <c r="H118" s="546"/>
      <c r="I118" s="497">
        <f t="shared" si="30"/>
        <v>0</v>
      </c>
      <c r="J118" s="546"/>
      <c r="K118" s="497">
        <f t="shared" si="31"/>
        <v>0</v>
      </c>
      <c r="L118" s="546"/>
      <c r="M118" s="497">
        <f t="shared" si="32"/>
        <v>0</v>
      </c>
      <c r="N118" s="546"/>
      <c r="O118" s="497">
        <f t="shared" si="33"/>
        <v>0</v>
      </c>
      <c r="P118" s="546"/>
      <c r="Q118" s="497">
        <f t="shared" si="34"/>
        <v>0</v>
      </c>
    </row>
    <row r="119" spans="1:17" ht="12" customHeight="1">
      <c r="A119" s="578" t="s">
        <v>386</v>
      </c>
      <c r="B119" s="538" t="s">
        <v>381</v>
      </c>
      <c r="C119" s="546"/>
      <c r="D119" s="546"/>
      <c r="E119" s="497">
        <f t="shared" si="28"/>
        <v>0</v>
      </c>
      <c r="F119" s="546"/>
      <c r="G119" s="497">
        <f t="shared" si="29"/>
        <v>0</v>
      </c>
      <c r="H119" s="546"/>
      <c r="I119" s="497">
        <f t="shared" si="30"/>
        <v>0</v>
      </c>
      <c r="J119" s="546"/>
      <c r="K119" s="497">
        <f t="shared" si="31"/>
        <v>0</v>
      </c>
      <c r="L119" s="546"/>
      <c r="M119" s="497">
        <f t="shared" si="32"/>
        <v>0</v>
      </c>
      <c r="N119" s="546"/>
      <c r="O119" s="497">
        <f t="shared" si="33"/>
        <v>0</v>
      </c>
      <c r="P119" s="546"/>
      <c r="Q119" s="497">
        <f t="shared" si="34"/>
        <v>0</v>
      </c>
    </row>
    <row r="120" spans="1:17" ht="12" customHeight="1">
      <c r="A120" s="578" t="s">
        <v>387</v>
      </c>
      <c r="B120" s="538" t="s">
        <v>392</v>
      </c>
      <c r="C120" s="546"/>
      <c r="D120" s="546"/>
      <c r="E120" s="497">
        <f t="shared" si="28"/>
        <v>0</v>
      </c>
      <c r="F120" s="546"/>
      <c r="G120" s="497">
        <f t="shared" si="29"/>
        <v>0</v>
      </c>
      <c r="H120" s="546"/>
      <c r="I120" s="497">
        <f t="shared" si="30"/>
        <v>0</v>
      </c>
      <c r="J120" s="546"/>
      <c r="K120" s="497">
        <f t="shared" si="31"/>
        <v>0</v>
      </c>
      <c r="L120" s="546"/>
      <c r="M120" s="497">
        <f t="shared" si="32"/>
        <v>0</v>
      </c>
      <c r="N120" s="546"/>
      <c r="O120" s="497">
        <f t="shared" si="33"/>
        <v>0</v>
      </c>
      <c r="P120" s="546"/>
      <c r="Q120" s="497">
        <f t="shared" si="34"/>
        <v>0</v>
      </c>
    </row>
    <row r="121" spans="1:17" ht="12" customHeight="1" thickBot="1">
      <c r="A121" s="599" t="s">
        <v>388</v>
      </c>
      <c r="B121" s="538" t="s">
        <v>391</v>
      </c>
      <c r="C121" s="550">
        <v>2900000</v>
      </c>
      <c r="D121" s="550">
        <v>-1400000</v>
      </c>
      <c r="E121" s="497">
        <f t="shared" si="28"/>
        <v>1500000</v>
      </c>
      <c r="F121" s="550"/>
      <c r="G121" s="497">
        <f t="shared" si="29"/>
        <v>1500000</v>
      </c>
      <c r="H121" s="550"/>
      <c r="I121" s="497">
        <f t="shared" si="30"/>
        <v>1500000</v>
      </c>
      <c r="J121" s="550"/>
      <c r="K121" s="497">
        <f t="shared" si="31"/>
        <v>1500000</v>
      </c>
      <c r="L121" s="550">
        <v>-500000</v>
      </c>
      <c r="M121" s="497">
        <f t="shared" si="32"/>
        <v>1000000</v>
      </c>
      <c r="N121" s="550"/>
      <c r="O121" s="497">
        <f t="shared" si="33"/>
        <v>1000000</v>
      </c>
      <c r="P121" s="550"/>
      <c r="Q121" s="497">
        <f t="shared" si="34"/>
        <v>1000000</v>
      </c>
    </row>
    <row r="122" spans="1:17" ht="12" customHeight="1" thickBot="1">
      <c r="A122" s="523" t="s">
        <v>22</v>
      </c>
      <c r="B122" s="551" t="s">
        <v>396</v>
      </c>
      <c r="C122" s="493">
        <f aca="true" t="shared" si="35" ref="C122:Q122">+C123+C124</f>
        <v>37406066</v>
      </c>
      <c r="D122" s="493">
        <f t="shared" si="35"/>
        <v>0</v>
      </c>
      <c r="E122" s="493">
        <f t="shared" si="35"/>
        <v>37406066</v>
      </c>
      <c r="F122" s="493">
        <f t="shared" si="35"/>
        <v>-2118248</v>
      </c>
      <c r="G122" s="493">
        <f t="shared" si="35"/>
        <v>35287818</v>
      </c>
      <c r="H122" s="493">
        <f t="shared" si="35"/>
        <v>-60000</v>
      </c>
      <c r="I122" s="493">
        <f t="shared" si="35"/>
        <v>35227818</v>
      </c>
      <c r="J122" s="493">
        <f t="shared" si="35"/>
        <v>-30290726</v>
      </c>
      <c r="K122" s="493">
        <f t="shared" si="35"/>
        <v>4937092</v>
      </c>
      <c r="L122" s="493">
        <f t="shared" si="35"/>
        <v>-807688</v>
      </c>
      <c r="M122" s="493">
        <f t="shared" si="35"/>
        <v>4129404</v>
      </c>
      <c r="N122" s="493">
        <f t="shared" si="35"/>
        <v>78661246</v>
      </c>
      <c r="O122" s="493">
        <f t="shared" si="35"/>
        <v>82790650</v>
      </c>
      <c r="P122" s="493">
        <f t="shared" si="35"/>
        <v>383705</v>
      </c>
      <c r="Q122" s="493">
        <f t="shared" si="35"/>
        <v>83174355</v>
      </c>
    </row>
    <row r="123" spans="1:17" ht="12" customHeight="1">
      <c r="A123" s="578" t="s">
        <v>96</v>
      </c>
      <c r="B123" s="552" t="s">
        <v>63</v>
      </c>
      <c r="C123" s="497">
        <v>37406066</v>
      </c>
      <c r="D123" s="497"/>
      <c r="E123" s="497">
        <v>37406066</v>
      </c>
      <c r="F123" s="497">
        <v>-2118248</v>
      </c>
      <c r="G123" s="497">
        <f>C123+F123</f>
        <v>35287818</v>
      </c>
      <c r="H123" s="497">
        <v>-60000</v>
      </c>
      <c r="I123" s="497">
        <f>G123+H123</f>
        <v>35227818</v>
      </c>
      <c r="J123" s="497">
        <v>-30290726</v>
      </c>
      <c r="K123" s="497">
        <f>I123+J123</f>
        <v>4937092</v>
      </c>
      <c r="L123" s="497">
        <v>-807688</v>
      </c>
      <c r="M123" s="497">
        <f>K123+L123</f>
        <v>4129404</v>
      </c>
      <c r="N123" s="497">
        <v>78661246</v>
      </c>
      <c r="O123" s="497">
        <f>M123+N123</f>
        <v>82790650</v>
      </c>
      <c r="P123" s="497">
        <v>383705</v>
      </c>
      <c r="Q123" s="497">
        <f>O123+P123</f>
        <v>83174355</v>
      </c>
    </row>
    <row r="124" spans="1:17" ht="12" customHeight="1" thickBot="1">
      <c r="A124" s="583" t="s">
        <v>97</v>
      </c>
      <c r="B124" s="545" t="s">
        <v>64</v>
      </c>
      <c r="C124" s="504"/>
      <c r="D124" s="504"/>
      <c r="E124" s="504"/>
      <c r="F124" s="504"/>
      <c r="G124" s="504"/>
      <c r="H124" s="504"/>
      <c r="I124" s="504"/>
      <c r="J124" s="504"/>
      <c r="K124" s="504"/>
      <c r="L124" s="504"/>
      <c r="M124" s="504"/>
      <c r="N124" s="504"/>
      <c r="O124" s="504"/>
      <c r="P124" s="504"/>
      <c r="Q124" s="504"/>
    </row>
    <row r="125" spans="1:17" ht="12" customHeight="1" thickBot="1">
      <c r="A125" s="523" t="s">
        <v>23</v>
      </c>
      <c r="B125" s="551" t="s">
        <v>397</v>
      </c>
      <c r="C125" s="493">
        <f aca="true" t="shared" si="36" ref="C125:Q125">+C92+C108+C122</f>
        <v>256456106</v>
      </c>
      <c r="D125" s="493">
        <f t="shared" si="36"/>
        <v>-11861300</v>
      </c>
      <c r="E125" s="493">
        <f t="shared" si="36"/>
        <v>244594806</v>
      </c>
      <c r="F125" s="493">
        <f t="shared" si="36"/>
        <v>-1352059</v>
      </c>
      <c r="G125" s="493">
        <f t="shared" si="36"/>
        <v>243242747</v>
      </c>
      <c r="H125" s="493">
        <f t="shared" si="36"/>
        <v>9911016</v>
      </c>
      <c r="I125" s="493">
        <f t="shared" si="36"/>
        <v>253153763</v>
      </c>
      <c r="J125" s="493">
        <f t="shared" si="36"/>
        <v>16274744</v>
      </c>
      <c r="K125" s="493">
        <f t="shared" si="36"/>
        <v>269428507</v>
      </c>
      <c r="L125" s="493">
        <f t="shared" si="36"/>
        <v>16845964</v>
      </c>
      <c r="M125" s="493">
        <f t="shared" si="36"/>
        <v>286774471</v>
      </c>
      <c r="N125" s="493">
        <f t="shared" si="36"/>
        <v>87823042</v>
      </c>
      <c r="O125" s="493">
        <f t="shared" si="36"/>
        <v>374597513</v>
      </c>
      <c r="P125" s="493">
        <f t="shared" si="36"/>
        <v>254503</v>
      </c>
      <c r="Q125" s="493">
        <f t="shared" si="36"/>
        <v>374852016</v>
      </c>
    </row>
    <row r="126" spans="1:17" ht="12" customHeight="1" thickBot="1">
      <c r="A126" s="523" t="s">
        <v>24</v>
      </c>
      <c r="B126" s="551" t="s">
        <v>398</v>
      </c>
      <c r="C126" s="493">
        <f aca="true" t="shared" si="37" ref="C126:Q126">+C127+C128+C129</f>
        <v>0</v>
      </c>
      <c r="D126" s="493">
        <f t="shared" si="37"/>
        <v>0</v>
      </c>
      <c r="E126" s="493">
        <f t="shared" si="37"/>
        <v>0</v>
      </c>
      <c r="F126" s="493">
        <f t="shared" si="37"/>
        <v>0</v>
      </c>
      <c r="G126" s="493">
        <f t="shared" si="37"/>
        <v>0</v>
      </c>
      <c r="H126" s="493">
        <f t="shared" si="37"/>
        <v>0</v>
      </c>
      <c r="I126" s="493">
        <f t="shared" si="37"/>
        <v>0</v>
      </c>
      <c r="J126" s="493">
        <f t="shared" si="37"/>
        <v>0</v>
      </c>
      <c r="K126" s="493">
        <f t="shared" si="37"/>
        <v>0</v>
      </c>
      <c r="L126" s="493">
        <f t="shared" si="37"/>
        <v>0</v>
      </c>
      <c r="M126" s="493">
        <f t="shared" si="37"/>
        <v>0</v>
      </c>
      <c r="N126" s="493">
        <f t="shared" si="37"/>
        <v>0</v>
      </c>
      <c r="O126" s="493">
        <f t="shared" si="37"/>
        <v>0</v>
      </c>
      <c r="P126" s="493">
        <f t="shared" si="37"/>
        <v>0</v>
      </c>
      <c r="Q126" s="493">
        <f t="shared" si="37"/>
        <v>0</v>
      </c>
    </row>
    <row r="127" spans="1:17" s="597" customFormat="1" ht="12" customHeight="1">
      <c r="A127" s="578" t="s">
        <v>100</v>
      </c>
      <c r="B127" s="552" t="s">
        <v>399</v>
      </c>
      <c r="C127" s="546"/>
      <c r="D127" s="546"/>
      <c r="E127" s="546"/>
      <c r="F127" s="546"/>
      <c r="G127" s="546"/>
      <c r="H127" s="546"/>
      <c r="I127" s="546"/>
      <c r="J127" s="546"/>
      <c r="K127" s="546"/>
      <c r="L127" s="546"/>
      <c r="M127" s="546"/>
      <c r="N127" s="546"/>
      <c r="O127" s="546"/>
      <c r="P127" s="546"/>
      <c r="Q127" s="546"/>
    </row>
    <row r="128" spans="1:17" ht="12" customHeight="1">
      <c r="A128" s="578" t="s">
        <v>101</v>
      </c>
      <c r="B128" s="552" t="s">
        <v>400</v>
      </c>
      <c r="C128" s="546"/>
      <c r="D128" s="546"/>
      <c r="E128" s="546"/>
      <c r="F128" s="546"/>
      <c r="G128" s="546"/>
      <c r="H128" s="546"/>
      <c r="I128" s="546"/>
      <c r="J128" s="546"/>
      <c r="K128" s="546"/>
      <c r="L128" s="546"/>
      <c r="M128" s="546"/>
      <c r="N128" s="546"/>
      <c r="O128" s="546"/>
      <c r="P128" s="546"/>
      <c r="Q128" s="546"/>
    </row>
    <row r="129" spans="1:17" ht="12" customHeight="1" thickBot="1">
      <c r="A129" s="599" t="s">
        <v>102</v>
      </c>
      <c r="B129" s="553" t="s">
        <v>401</v>
      </c>
      <c r="C129" s="546"/>
      <c r="D129" s="546"/>
      <c r="E129" s="546"/>
      <c r="F129" s="546"/>
      <c r="G129" s="546"/>
      <c r="H129" s="546"/>
      <c r="I129" s="546"/>
      <c r="J129" s="546"/>
      <c r="K129" s="546"/>
      <c r="L129" s="546"/>
      <c r="M129" s="546"/>
      <c r="N129" s="546"/>
      <c r="O129" s="546"/>
      <c r="P129" s="546"/>
      <c r="Q129" s="546"/>
    </row>
    <row r="130" spans="1:17" ht="12" customHeight="1" thickBot="1">
      <c r="A130" s="523" t="s">
        <v>25</v>
      </c>
      <c r="B130" s="551" t="s">
        <v>458</v>
      </c>
      <c r="C130" s="493">
        <f aca="true" t="shared" si="38" ref="C130:Q130">+C131+C132+C133+C134</f>
        <v>0</v>
      </c>
      <c r="D130" s="493">
        <f t="shared" si="38"/>
        <v>0</v>
      </c>
      <c r="E130" s="493">
        <f t="shared" si="38"/>
        <v>0</v>
      </c>
      <c r="F130" s="493">
        <f t="shared" si="38"/>
        <v>0</v>
      </c>
      <c r="G130" s="493">
        <f t="shared" si="38"/>
        <v>0</v>
      </c>
      <c r="H130" s="493">
        <f t="shared" si="38"/>
        <v>0</v>
      </c>
      <c r="I130" s="493">
        <f t="shared" si="38"/>
        <v>0</v>
      </c>
      <c r="J130" s="493">
        <f t="shared" si="38"/>
        <v>0</v>
      </c>
      <c r="K130" s="493">
        <f t="shared" si="38"/>
        <v>0</v>
      </c>
      <c r="L130" s="493">
        <f t="shared" si="38"/>
        <v>0</v>
      </c>
      <c r="M130" s="493">
        <f t="shared" si="38"/>
        <v>0</v>
      </c>
      <c r="N130" s="493">
        <f t="shared" si="38"/>
        <v>0</v>
      </c>
      <c r="O130" s="493">
        <f t="shared" si="38"/>
        <v>0</v>
      </c>
      <c r="P130" s="493">
        <f t="shared" si="38"/>
        <v>0</v>
      </c>
      <c r="Q130" s="493">
        <f t="shared" si="38"/>
        <v>0</v>
      </c>
    </row>
    <row r="131" spans="1:17" ht="12" customHeight="1">
      <c r="A131" s="578" t="s">
        <v>103</v>
      </c>
      <c r="B131" s="552" t="s">
        <v>402</v>
      </c>
      <c r="C131" s="546"/>
      <c r="D131" s="546"/>
      <c r="E131" s="546"/>
      <c r="F131" s="546"/>
      <c r="G131" s="546"/>
      <c r="H131" s="546"/>
      <c r="I131" s="546"/>
      <c r="J131" s="546"/>
      <c r="K131" s="546"/>
      <c r="L131" s="546"/>
      <c r="M131" s="546"/>
      <c r="N131" s="546"/>
      <c r="O131" s="546"/>
      <c r="P131" s="546"/>
      <c r="Q131" s="546"/>
    </row>
    <row r="132" spans="1:17" ht="12" customHeight="1">
      <c r="A132" s="578" t="s">
        <v>104</v>
      </c>
      <c r="B132" s="552" t="s">
        <v>403</v>
      </c>
      <c r="C132" s="546"/>
      <c r="D132" s="546"/>
      <c r="E132" s="546"/>
      <c r="F132" s="546"/>
      <c r="G132" s="546"/>
      <c r="H132" s="546"/>
      <c r="I132" s="546"/>
      <c r="J132" s="546"/>
      <c r="K132" s="546"/>
      <c r="L132" s="546"/>
      <c r="M132" s="546"/>
      <c r="N132" s="546"/>
      <c r="O132" s="546"/>
      <c r="P132" s="546"/>
      <c r="Q132" s="546"/>
    </row>
    <row r="133" spans="1:17" ht="12" customHeight="1">
      <c r="A133" s="578" t="s">
        <v>305</v>
      </c>
      <c r="B133" s="552" t="s">
        <v>404</v>
      </c>
      <c r="C133" s="546"/>
      <c r="D133" s="546"/>
      <c r="E133" s="546"/>
      <c r="F133" s="546"/>
      <c r="G133" s="546"/>
      <c r="H133" s="546"/>
      <c r="I133" s="546"/>
      <c r="J133" s="546"/>
      <c r="K133" s="546"/>
      <c r="L133" s="546"/>
      <c r="M133" s="546"/>
      <c r="N133" s="546"/>
      <c r="O133" s="546"/>
      <c r="P133" s="546"/>
      <c r="Q133" s="546"/>
    </row>
    <row r="134" spans="1:17" s="597" customFormat="1" ht="12" customHeight="1" thickBot="1">
      <c r="A134" s="599" t="s">
        <v>306</v>
      </c>
      <c r="B134" s="553" t="s">
        <v>405</v>
      </c>
      <c r="C134" s="546"/>
      <c r="D134" s="546"/>
      <c r="E134" s="546"/>
      <c r="F134" s="546"/>
      <c r="G134" s="546"/>
      <c r="H134" s="546"/>
      <c r="I134" s="546"/>
      <c r="J134" s="546"/>
      <c r="K134" s="546"/>
      <c r="L134" s="546"/>
      <c r="M134" s="546"/>
      <c r="N134" s="546"/>
      <c r="O134" s="546"/>
      <c r="P134" s="546"/>
      <c r="Q134" s="546"/>
    </row>
    <row r="135" spans="1:23" ht="12" customHeight="1" thickBot="1">
      <c r="A135" s="523" t="s">
        <v>26</v>
      </c>
      <c r="B135" s="551" t="s">
        <v>406</v>
      </c>
      <c r="C135" s="505">
        <f>+C136+C137+C139+C140+C138</f>
        <v>130026543</v>
      </c>
      <c r="D135" s="505">
        <f aca="true" t="shared" si="39" ref="D135:M135">+D136+D137+D139+D140+D138</f>
        <v>0</v>
      </c>
      <c r="E135" s="505">
        <f t="shared" si="39"/>
        <v>130026543</v>
      </c>
      <c r="F135" s="505">
        <f t="shared" si="39"/>
        <v>7307600</v>
      </c>
      <c r="G135" s="505">
        <f t="shared" si="39"/>
        <v>137334143</v>
      </c>
      <c r="H135" s="505">
        <f t="shared" si="39"/>
        <v>2842660</v>
      </c>
      <c r="I135" s="505">
        <f t="shared" si="39"/>
        <v>140176803</v>
      </c>
      <c r="J135" s="505">
        <f t="shared" si="39"/>
        <v>0</v>
      </c>
      <c r="K135" s="505">
        <f t="shared" si="39"/>
        <v>140176803</v>
      </c>
      <c r="L135" s="505">
        <f t="shared" si="39"/>
        <v>0</v>
      </c>
      <c r="M135" s="505">
        <f t="shared" si="39"/>
        <v>140176803</v>
      </c>
      <c r="N135" s="505">
        <f>+N136+N137+N138+N139</f>
        <v>-1504621</v>
      </c>
      <c r="O135" s="505">
        <f>+O136+O137+O138+O139</f>
        <v>138672182</v>
      </c>
      <c r="P135" s="505">
        <f>+P136+P137+P138+P139</f>
        <v>0</v>
      </c>
      <c r="Q135" s="505">
        <f>+Q136+Q137+Q138+Q139</f>
        <v>138672182</v>
      </c>
      <c r="W135" s="601"/>
    </row>
    <row r="136" spans="1:17" ht="12.75">
      <c r="A136" s="578" t="s">
        <v>105</v>
      </c>
      <c r="B136" s="552" t="s">
        <v>407</v>
      </c>
      <c r="C136" s="546"/>
      <c r="D136" s="546"/>
      <c r="E136" s="546"/>
      <c r="F136" s="546"/>
      <c r="G136" s="546"/>
      <c r="H136" s="546"/>
      <c r="I136" s="546"/>
      <c r="J136" s="546"/>
      <c r="K136" s="546"/>
      <c r="L136" s="546"/>
      <c r="M136" s="546"/>
      <c r="N136" s="546"/>
      <c r="O136" s="546"/>
      <c r="P136" s="546"/>
      <c r="Q136" s="546"/>
    </row>
    <row r="137" spans="1:17" ht="12" customHeight="1">
      <c r="A137" s="578" t="s">
        <v>106</v>
      </c>
      <c r="B137" s="552" t="s">
        <v>417</v>
      </c>
      <c r="C137" s="546">
        <v>4649687</v>
      </c>
      <c r="D137" s="546"/>
      <c r="E137" s="546">
        <f>C137+D137</f>
        <v>4649687</v>
      </c>
      <c r="F137" s="546"/>
      <c r="G137" s="546">
        <f>E137+F137</f>
        <v>4649687</v>
      </c>
      <c r="H137" s="546"/>
      <c r="I137" s="546">
        <f>G137+H137</f>
        <v>4649687</v>
      </c>
      <c r="J137" s="546"/>
      <c r="K137" s="546">
        <f>I137+J137</f>
        <v>4649687</v>
      </c>
      <c r="L137" s="546"/>
      <c r="M137" s="546">
        <f>K137+L137</f>
        <v>4649687</v>
      </c>
      <c r="N137" s="546"/>
      <c r="O137" s="546">
        <f>M137+N137</f>
        <v>4649687</v>
      </c>
      <c r="P137" s="546"/>
      <c r="Q137" s="546">
        <f>O137+P137</f>
        <v>4649687</v>
      </c>
    </row>
    <row r="138" spans="1:17" s="597" customFormat="1" ht="12" customHeight="1" thickBot="1">
      <c r="A138" s="578" t="s">
        <v>318</v>
      </c>
      <c r="B138" s="696" t="s">
        <v>481</v>
      </c>
      <c r="C138" s="504">
        <v>125376856</v>
      </c>
      <c r="D138" s="504"/>
      <c r="E138" s="504">
        <f>C138+D138</f>
        <v>125376856</v>
      </c>
      <c r="F138" s="504">
        <v>7307600</v>
      </c>
      <c r="G138" s="504">
        <f>E138+F138</f>
        <v>132684456</v>
      </c>
      <c r="H138" s="504">
        <v>2842660</v>
      </c>
      <c r="I138" s="504">
        <f>G138+H138</f>
        <v>135527116</v>
      </c>
      <c r="J138" s="504"/>
      <c r="K138" s="504">
        <f>I138+J138</f>
        <v>135527116</v>
      </c>
      <c r="L138" s="546"/>
      <c r="M138" s="546">
        <f>K138+L138</f>
        <v>135527116</v>
      </c>
      <c r="N138" s="504">
        <v>-1504621</v>
      </c>
      <c r="O138" s="504">
        <f>M138+N138</f>
        <v>134022495</v>
      </c>
      <c r="P138" s="504"/>
      <c r="Q138" s="504">
        <f>O138+P138</f>
        <v>134022495</v>
      </c>
    </row>
    <row r="139" spans="1:17" s="597" customFormat="1" ht="12" customHeight="1">
      <c r="A139" s="578" t="s">
        <v>319</v>
      </c>
      <c r="B139" s="552" t="s">
        <v>408</v>
      </c>
      <c r="C139" s="546"/>
      <c r="D139" s="546"/>
      <c r="E139" s="546"/>
      <c r="F139" s="546"/>
      <c r="G139" s="546"/>
      <c r="H139" s="546"/>
      <c r="I139" s="546"/>
      <c r="J139" s="546"/>
      <c r="K139" s="546"/>
      <c r="L139" s="546"/>
      <c r="M139" s="546"/>
      <c r="N139" s="546"/>
      <c r="O139" s="546"/>
      <c r="P139" s="546"/>
      <c r="Q139" s="546"/>
    </row>
    <row r="140" spans="1:17" s="597" customFormat="1" ht="12" customHeight="1" thickBot="1">
      <c r="A140" s="599" t="s">
        <v>605</v>
      </c>
      <c r="B140" s="553" t="s">
        <v>409</v>
      </c>
      <c r="C140" s="546"/>
      <c r="D140" s="546"/>
      <c r="E140" s="546"/>
      <c r="F140" s="546"/>
      <c r="G140" s="546"/>
      <c r="H140" s="546"/>
      <c r="I140" s="546"/>
      <c r="J140" s="546"/>
      <c r="K140" s="546"/>
      <c r="L140" s="546"/>
      <c r="M140" s="546"/>
      <c r="N140" s="546"/>
      <c r="O140" s="546"/>
      <c r="P140" s="546"/>
      <c r="Q140" s="546"/>
    </row>
    <row r="141" spans="1:17" s="597" customFormat="1" ht="12" customHeight="1" thickBot="1">
      <c r="A141" s="523" t="s">
        <v>27</v>
      </c>
      <c r="B141" s="551" t="s">
        <v>410</v>
      </c>
      <c r="C141" s="554">
        <f aca="true" t="shared" si="40" ref="C141:Q141">+C142+C143+C144+C145</f>
        <v>0</v>
      </c>
      <c r="D141" s="554">
        <f t="shared" si="40"/>
        <v>0</v>
      </c>
      <c r="E141" s="554">
        <f t="shared" si="40"/>
        <v>0</v>
      </c>
      <c r="F141" s="554">
        <f t="shared" si="40"/>
        <v>0</v>
      </c>
      <c r="G141" s="554">
        <f t="shared" si="40"/>
        <v>0</v>
      </c>
      <c r="H141" s="554">
        <f t="shared" si="40"/>
        <v>0</v>
      </c>
      <c r="I141" s="554">
        <f t="shared" si="40"/>
        <v>0</v>
      </c>
      <c r="J141" s="554">
        <f t="shared" si="40"/>
        <v>0</v>
      </c>
      <c r="K141" s="554">
        <f t="shared" si="40"/>
        <v>0</v>
      </c>
      <c r="L141" s="554">
        <f t="shared" si="40"/>
        <v>0</v>
      </c>
      <c r="M141" s="554">
        <f t="shared" si="40"/>
        <v>0</v>
      </c>
      <c r="N141" s="554">
        <f t="shared" si="40"/>
        <v>0</v>
      </c>
      <c r="O141" s="554">
        <f t="shared" si="40"/>
        <v>0</v>
      </c>
      <c r="P141" s="554">
        <f t="shared" si="40"/>
        <v>0</v>
      </c>
      <c r="Q141" s="554">
        <f t="shared" si="40"/>
        <v>0</v>
      </c>
    </row>
    <row r="142" spans="1:17" s="597" customFormat="1" ht="12" customHeight="1">
      <c r="A142" s="578" t="s">
        <v>185</v>
      </c>
      <c r="B142" s="552" t="s">
        <v>411</v>
      </c>
      <c r="C142" s="546"/>
      <c r="D142" s="546"/>
      <c r="E142" s="546"/>
      <c r="F142" s="546"/>
      <c r="G142" s="546"/>
      <c r="H142" s="546"/>
      <c r="I142" s="546"/>
      <c r="J142" s="546"/>
      <c r="K142" s="546"/>
      <c r="L142" s="546"/>
      <c r="M142" s="546"/>
      <c r="N142" s="546"/>
      <c r="O142" s="546"/>
      <c r="P142" s="546"/>
      <c r="Q142" s="546"/>
    </row>
    <row r="143" spans="1:17" s="597" customFormat="1" ht="12" customHeight="1">
      <c r="A143" s="578" t="s">
        <v>186</v>
      </c>
      <c r="B143" s="552" t="s">
        <v>412</v>
      </c>
      <c r="C143" s="546"/>
      <c r="D143" s="546"/>
      <c r="E143" s="546"/>
      <c r="F143" s="546"/>
      <c r="G143" s="546"/>
      <c r="H143" s="546"/>
      <c r="I143" s="546"/>
      <c r="J143" s="546"/>
      <c r="K143" s="546"/>
      <c r="L143" s="546"/>
      <c r="M143" s="546"/>
      <c r="N143" s="546"/>
      <c r="O143" s="546"/>
      <c r="P143" s="546"/>
      <c r="Q143" s="546"/>
    </row>
    <row r="144" spans="1:17" s="597" customFormat="1" ht="12" customHeight="1">
      <c r="A144" s="578" t="s">
        <v>235</v>
      </c>
      <c r="B144" s="552" t="s">
        <v>413</v>
      </c>
      <c r="C144" s="546"/>
      <c r="D144" s="546"/>
      <c r="E144" s="546"/>
      <c r="F144" s="546"/>
      <c r="G144" s="546"/>
      <c r="H144" s="546"/>
      <c r="I144" s="546"/>
      <c r="J144" s="546"/>
      <c r="K144" s="546"/>
      <c r="L144" s="546"/>
      <c r="M144" s="546"/>
      <c r="N144" s="546"/>
      <c r="O144" s="546"/>
      <c r="P144" s="546"/>
      <c r="Q144" s="546"/>
    </row>
    <row r="145" spans="1:17" ht="12.75" customHeight="1" thickBot="1">
      <c r="A145" s="578" t="s">
        <v>321</v>
      </c>
      <c r="B145" s="552" t="s">
        <v>414</v>
      </c>
      <c r="C145" s="546"/>
      <c r="D145" s="546"/>
      <c r="E145" s="546"/>
      <c r="F145" s="546"/>
      <c r="G145" s="546"/>
      <c r="H145" s="546"/>
      <c r="I145" s="546"/>
      <c r="J145" s="546"/>
      <c r="K145" s="546"/>
      <c r="L145" s="546"/>
      <c r="M145" s="546"/>
      <c r="N145" s="546"/>
      <c r="O145" s="546"/>
      <c r="P145" s="546"/>
      <c r="Q145" s="546"/>
    </row>
    <row r="146" spans="1:17" ht="12" customHeight="1" thickBot="1">
      <c r="A146" s="523" t="s">
        <v>28</v>
      </c>
      <c r="B146" s="551" t="s">
        <v>415</v>
      </c>
      <c r="C146" s="555">
        <f aca="true" t="shared" si="41" ref="C146:Q146">+C126+C130+C135+C141</f>
        <v>130026543</v>
      </c>
      <c r="D146" s="555">
        <f t="shared" si="41"/>
        <v>0</v>
      </c>
      <c r="E146" s="555">
        <f t="shared" si="41"/>
        <v>130026543</v>
      </c>
      <c r="F146" s="555">
        <f t="shared" si="41"/>
        <v>7307600</v>
      </c>
      <c r="G146" s="555">
        <f t="shared" si="41"/>
        <v>137334143</v>
      </c>
      <c r="H146" s="555">
        <f t="shared" si="41"/>
        <v>2842660</v>
      </c>
      <c r="I146" s="555">
        <f t="shared" si="41"/>
        <v>140176803</v>
      </c>
      <c r="J146" s="555">
        <f t="shared" si="41"/>
        <v>0</v>
      </c>
      <c r="K146" s="555">
        <f t="shared" si="41"/>
        <v>140176803</v>
      </c>
      <c r="L146" s="555">
        <f t="shared" si="41"/>
        <v>0</v>
      </c>
      <c r="M146" s="555">
        <f t="shared" si="41"/>
        <v>140176803</v>
      </c>
      <c r="N146" s="555">
        <f t="shared" si="41"/>
        <v>-1504621</v>
      </c>
      <c r="O146" s="555">
        <f t="shared" si="41"/>
        <v>138672182</v>
      </c>
      <c r="P146" s="555">
        <f t="shared" si="41"/>
        <v>0</v>
      </c>
      <c r="Q146" s="555">
        <f t="shared" si="41"/>
        <v>138672182</v>
      </c>
    </row>
    <row r="147" spans="1:17" ht="15" customHeight="1" thickBot="1">
      <c r="A147" s="602" t="s">
        <v>29</v>
      </c>
      <c r="B147" s="559" t="s">
        <v>416</v>
      </c>
      <c r="C147" s="555">
        <f aca="true" t="shared" si="42" ref="C147:Q147">+C125+C146</f>
        <v>386482649</v>
      </c>
      <c r="D147" s="555">
        <f t="shared" si="42"/>
        <v>-11861300</v>
      </c>
      <c r="E147" s="555">
        <f t="shared" si="42"/>
        <v>374621349</v>
      </c>
      <c r="F147" s="555">
        <f t="shared" si="42"/>
        <v>5955541</v>
      </c>
      <c r="G147" s="555">
        <f t="shared" si="42"/>
        <v>380576890</v>
      </c>
      <c r="H147" s="555">
        <f t="shared" si="42"/>
        <v>12753676</v>
      </c>
      <c r="I147" s="555">
        <f t="shared" si="42"/>
        <v>393330566</v>
      </c>
      <c r="J147" s="555">
        <f t="shared" si="42"/>
        <v>16274744</v>
      </c>
      <c r="K147" s="555">
        <f t="shared" si="42"/>
        <v>409605310</v>
      </c>
      <c r="L147" s="555">
        <f t="shared" si="42"/>
        <v>16845964</v>
      </c>
      <c r="M147" s="555">
        <f t="shared" si="42"/>
        <v>426951274</v>
      </c>
      <c r="N147" s="555">
        <f t="shared" si="42"/>
        <v>86318421</v>
      </c>
      <c r="O147" s="555">
        <f t="shared" si="42"/>
        <v>513269695</v>
      </c>
      <c r="P147" s="555">
        <f t="shared" si="42"/>
        <v>254503</v>
      </c>
      <c r="Q147" s="555">
        <f t="shared" si="42"/>
        <v>513524198</v>
      </c>
    </row>
    <row r="149" spans="1:17" ht="15" customHeight="1" hidden="1" thickBot="1">
      <c r="A149" s="603" t="s">
        <v>210</v>
      </c>
      <c r="B149" s="604"/>
      <c r="C149" s="605">
        <v>10</v>
      </c>
      <c r="D149" s="605">
        <v>0</v>
      </c>
      <c r="E149" s="605">
        <v>0</v>
      </c>
      <c r="F149" s="605">
        <v>0</v>
      </c>
      <c r="G149" s="605">
        <v>0</v>
      </c>
      <c r="H149" s="605">
        <v>0</v>
      </c>
      <c r="I149" s="605">
        <v>0</v>
      </c>
      <c r="J149" s="605"/>
      <c r="K149" s="605">
        <v>0</v>
      </c>
      <c r="L149" s="605"/>
      <c r="M149" s="605">
        <v>0</v>
      </c>
      <c r="N149" s="605"/>
      <c r="O149" s="605">
        <v>0</v>
      </c>
      <c r="P149" s="605"/>
      <c r="Q149" s="605">
        <v>0</v>
      </c>
    </row>
    <row r="150" spans="1:17" ht="14.25" customHeight="1" hidden="1" thickBot="1">
      <c r="A150" s="603" t="s">
        <v>211</v>
      </c>
      <c r="B150" s="604"/>
      <c r="C150" s="605">
        <v>6</v>
      </c>
      <c r="D150" s="605">
        <v>0</v>
      </c>
      <c r="E150" s="605">
        <v>0</v>
      </c>
      <c r="F150" s="605">
        <v>0</v>
      </c>
      <c r="G150" s="605">
        <v>0</v>
      </c>
      <c r="H150" s="605">
        <v>0</v>
      </c>
      <c r="I150" s="605">
        <v>0</v>
      </c>
      <c r="J150" s="605"/>
      <c r="K150" s="605">
        <v>0</v>
      </c>
      <c r="L150" s="605"/>
      <c r="M150" s="605">
        <v>0</v>
      </c>
      <c r="N150" s="605"/>
      <c r="O150" s="605">
        <v>0</v>
      </c>
      <c r="P150" s="605"/>
      <c r="Q150" s="605">
        <v>0</v>
      </c>
    </row>
  </sheetData>
  <sheetProtection formatCells="0"/>
  <mergeCells count="5">
    <mergeCell ref="O1:Q1"/>
    <mergeCell ref="B3:P3"/>
    <mergeCell ref="B4:P4"/>
    <mergeCell ref="A8:K8"/>
    <mergeCell ref="A91:Q9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0"/>
  <sheetViews>
    <sheetView view="pageBreakPreview" zoomScale="85" zoomScaleSheetLayoutView="85" workbookViewId="0" topLeftCell="A130">
      <selection activeCell="K2" sqref="K2"/>
    </sheetView>
  </sheetViews>
  <sheetFormatPr defaultColWidth="9.00390625" defaultRowHeight="12.75"/>
  <cols>
    <col min="1" max="1" width="19.50390625" style="475" customWidth="1"/>
    <col min="2" max="2" width="64.125" style="476" customWidth="1"/>
    <col min="3" max="3" width="15.00390625" style="477" customWidth="1"/>
    <col min="4" max="4" width="19.125" style="477" hidden="1" customWidth="1"/>
    <col min="5" max="5" width="15.50390625" style="477" hidden="1" customWidth="1"/>
    <col min="6" max="6" width="14.125" style="477" hidden="1" customWidth="1"/>
    <col min="7" max="7" width="15.625" style="477" hidden="1" customWidth="1"/>
    <col min="8" max="8" width="14.125" style="477" hidden="1" customWidth="1"/>
    <col min="9" max="9" width="15.625" style="477" customWidth="1"/>
    <col min="10" max="10" width="17.50390625" style="477" customWidth="1"/>
    <col min="11" max="11" width="17.875" style="477" customWidth="1"/>
    <col min="12" max="16384" width="9.375" style="478" customWidth="1"/>
  </cols>
  <sheetData>
    <row r="1" spans="5:11" ht="12.75">
      <c r="E1" s="244"/>
      <c r="G1" s="244"/>
      <c r="I1" s="244"/>
      <c r="K1" s="244" t="s">
        <v>611</v>
      </c>
    </row>
    <row r="2" spans="1:11" s="481" customFormat="1" ht="16.5" customHeight="1" thickBot="1">
      <c r="A2" s="479"/>
      <c r="B2" s="480"/>
      <c r="C2" s="244"/>
      <c r="D2" s="244"/>
      <c r="E2" s="244"/>
      <c r="F2" s="244"/>
      <c r="G2" s="244"/>
      <c r="H2" s="244"/>
      <c r="I2" s="244"/>
      <c r="J2" s="244"/>
      <c r="K2" s="244" t="s">
        <v>612</v>
      </c>
    </row>
    <row r="3" spans="1:11" s="563" customFormat="1" ht="21" customHeight="1">
      <c r="A3" s="561" t="s">
        <v>68</v>
      </c>
      <c r="B3" s="779" t="s">
        <v>230</v>
      </c>
      <c r="C3" s="780"/>
      <c r="D3" s="780"/>
      <c r="E3" s="780"/>
      <c r="F3" s="780"/>
      <c r="G3" s="780"/>
      <c r="H3" s="780"/>
      <c r="I3" s="780"/>
      <c r="J3" s="781"/>
      <c r="K3" s="562" t="s">
        <v>55</v>
      </c>
    </row>
    <row r="4" spans="1:11" s="563" customFormat="1" ht="16.5" thickBot="1">
      <c r="A4" s="564" t="s">
        <v>207</v>
      </c>
      <c r="B4" s="782" t="s">
        <v>598</v>
      </c>
      <c r="C4" s="783"/>
      <c r="D4" s="783"/>
      <c r="E4" s="783"/>
      <c r="F4" s="783"/>
      <c r="G4" s="783"/>
      <c r="H4" s="783"/>
      <c r="I4" s="783"/>
      <c r="J4" s="784"/>
      <c r="K4" s="565">
        <v>1</v>
      </c>
    </row>
    <row r="5" spans="1:11" s="568" customFormat="1" ht="15.75" customHeight="1" thickBot="1">
      <c r="A5" s="566"/>
      <c r="B5" s="566"/>
      <c r="C5" s="567"/>
      <c r="D5" s="567"/>
      <c r="E5" s="567"/>
      <c r="F5" s="567"/>
      <c r="G5" s="567"/>
      <c r="H5" s="567"/>
      <c r="I5" s="567"/>
      <c r="J5" s="567"/>
      <c r="K5" s="567" t="s">
        <v>535</v>
      </c>
    </row>
    <row r="6" spans="1:11" ht="24" customHeight="1" thickBot="1">
      <c r="A6" s="569" t="s">
        <v>209</v>
      </c>
      <c r="B6" s="570" t="s">
        <v>57</v>
      </c>
      <c r="C6" s="571" t="s">
        <v>582</v>
      </c>
      <c r="D6" s="571" t="s">
        <v>583</v>
      </c>
      <c r="E6" s="571" t="s">
        <v>584</v>
      </c>
      <c r="F6" s="571" t="s">
        <v>597</v>
      </c>
      <c r="G6" s="571" t="s">
        <v>584</v>
      </c>
      <c r="H6" s="571" t="s">
        <v>601</v>
      </c>
      <c r="I6" s="571" t="s">
        <v>584</v>
      </c>
      <c r="J6" s="571" t="s">
        <v>610</v>
      </c>
      <c r="K6" s="571" t="s">
        <v>584</v>
      </c>
    </row>
    <row r="7" spans="1:11" s="575" customFormat="1" ht="12.75" customHeight="1" thickBot="1">
      <c r="A7" s="572">
        <v>1</v>
      </c>
      <c r="B7" s="573">
        <v>2</v>
      </c>
      <c r="C7" s="574">
        <v>3</v>
      </c>
      <c r="D7" s="574">
        <v>4</v>
      </c>
      <c r="E7" s="574">
        <v>4</v>
      </c>
      <c r="F7" s="574">
        <v>5</v>
      </c>
      <c r="G7" s="574">
        <v>4</v>
      </c>
      <c r="H7" s="574">
        <v>5</v>
      </c>
      <c r="I7" s="574">
        <v>4</v>
      </c>
      <c r="J7" s="574">
        <v>5</v>
      </c>
      <c r="K7" s="574">
        <v>6</v>
      </c>
    </row>
    <row r="8" spans="1:11" s="575" customFormat="1" ht="15.75" customHeight="1" thickBot="1">
      <c r="A8" s="576"/>
      <c r="B8" s="788" t="s">
        <v>59</v>
      </c>
      <c r="C8" s="786"/>
      <c r="D8" s="786"/>
      <c r="E8" s="786"/>
      <c r="F8" s="786"/>
      <c r="G8" s="786"/>
      <c r="H8" s="786"/>
      <c r="I8" s="787"/>
      <c r="J8" s="478"/>
      <c r="K8" s="478"/>
    </row>
    <row r="9" spans="1:11" s="575" customFormat="1" ht="12" customHeight="1" thickBot="1">
      <c r="A9" s="523" t="s">
        <v>20</v>
      </c>
      <c r="B9" s="492" t="s">
        <v>261</v>
      </c>
      <c r="C9" s="493">
        <f aca="true" t="shared" si="0" ref="C9:I9">+C10+C11+C12+C13+C14+C15</f>
        <v>0</v>
      </c>
      <c r="D9" s="493">
        <f t="shared" si="0"/>
        <v>0</v>
      </c>
      <c r="E9" s="493">
        <f t="shared" si="0"/>
        <v>0</v>
      </c>
      <c r="F9" s="493">
        <f t="shared" si="0"/>
        <v>0</v>
      </c>
      <c r="G9" s="493">
        <f t="shared" si="0"/>
        <v>0</v>
      </c>
      <c r="H9" s="493">
        <f t="shared" si="0"/>
        <v>0</v>
      </c>
      <c r="I9" s="493">
        <f t="shared" si="0"/>
        <v>0</v>
      </c>
      <c r="J9" s="493">
        <f>+J10+J11+J12+J13+J14+J15</f>
        <v>0</v>
      </c>
      <c r="K9" s="493">
        <f>+K10+K11+K12+K13+K14+K15</f>
        <v>0</v>
      </c>
    </row>
    <row r="10" spans="1:11" s="579" customFormat="1" ht="12" customHeight="1">
      <c r="A10" s="578" t="s">
        <v>107</v>
      </c>
      <c r="B10" s="496" t="s">
        <v>262</v>
      </c>
      <c r="C10" s="497"/>
      <c r="D10" s="497"/>
      <c r="E10" s="497">
        <f>C10+D10</f>
        <v>0</v>
      </c>
      <c r="F10" s="497"/>
      <c r="G10" s="497">
        <f>E10+F10</f>
        <v>0</v>
      </c>
      <c r="H10" s="497"/>
      <c r="I10" s="497">
        <f>G10+H10</f>
        <v>0</v>
      </c>
      <c r="J10" s="497"/>
      <c r="K10" s="497">
        <f>I10+J10</f>
        <v>0</v>
      </c>
    </row>
    <row r="11" spans="1:11" s="581" customFormat="1" ht="12" customHeight="1">
      <c r="A11" s="580" t="s">
        <v>108</v>
      </c>
      <c r="B11" s="499" t="s">
        <v>263</v>
      </c>
      <c r="C11" s="500"/>
      <c r="D11" s="500"/>
      <c r="E11" s="497">
        <f>C11+D11</f>
        <v>0</v>
      </c>
      <c r="F11" s="500"/>
      <c r="G11" s="497">
        <f>E11+F11</f>
        <v>0</v>
      </c>
      <c r="H11" s="500"/>
      <c r="I11" s="497">
        <f>G11+H11</f>
        <v>0</v>
      </c>
      <c r="J11" s="500"/>
      <c r="K11" s="497">
        <f>I11+J11</f>
        <v>0</v>
      </c>
    </row>
    <row r="12" spans="1:11" s="581" customFormat="1" ht="12" customHeight="1">
      <c r="A12" s="580" t="s">
        <v>109</v>
      </c>
      <c r="B12" s="499" t="s">
        <v>264</v>
      </c>
      <c r="C12" s="500"/>
      <c r="D12" s="500"/>
      <c r="E12" s="497">
        <f>C12+D12</f>
        <v>0</v>
      </c>
      <c r="F12" s="500"/>
      <c r="G12" s="497">
        <f>E12+F12</f>
        <v>0</v>
      </c>
      <c r="H12" s="500"/>
      <c r="I12" s="497">
        <f>G12+H12</f>
        <v>0</v>
      </c>
      <c r="J12" s="500"/>
      <c r="K12" s="497">
        <f>I12+J12</f>
        <v>0</v>
      </c>
    </row>
    <row r="13" spans="1:11" s="581" customFormat="1" ht="12" customHeight="1">
      <c r="A13" s="580" t="s">
        <v>110</v>
      </c>
      <c r="B13" s="499" t="s">
        <v>265</v>
      </c>
      <c r="C13" s="500"/>
      <c r="D13" s="500"/>
      <c r="E13" s="497">
        <f>C13+D13</f>
        <v>0</v>
      </c>
      <c r="F13" s="500"/>
      <c r="G13" s="497">
        <f>E13+F13</f>
        <v>0</v>
      </c>
      <c r="H13" s="500"/>
      <c r="I13" s="497">
        <f>G13+H13</f>
        <v>0</v>
      </c>
      <c r="J13" s="500"/>
      <c r="K13" s="497">
        <f>I13+J13</f>
        <v>0</v>
      </c>
    </row>
    <row r="14" spans="1:11" s="581" customFormat="1" ht="12" customHeight="1">
      <c r="A14" s="580" t="s">
        <v>152</v>
      </c>
      <c r="B14" s="499" t="s">
        <v>533</v>
      </c>
      <c r="C14" s="606"/>
      <c r="D14" s="582">
        <v>0</v>
      </c>
      <c r="E14" s="497">
        <f>C14+D14</f>
        <v>0</v>
      </c>
      <c r="F14" s="582">
        <v>0</v>
      </c>
      <c r="G14" s="497">
        <f>E14+F14</f>
        <v>0</v>
      </c>
      <c r="H14" s="582">
        <v>0</v>
      </c>
      <c r="I14" s="497">
        <f>G14+H14</f>
        <v>0</v>
      </c>
      <c r="J14" s="582"/>
      <c r="K14" s="497">
        <f>I14+J14</f>
        <v>0</v>
      </c>
    </row>
    <row r="15" spans="1:11" s="579" customFormat="1" ht="12" customHeight="1" thickBot="1">
      <c r="A15" s="583" t="s">
        <v>111</v>
      </c>
      <c r="B15" s="502" t="s">
        <v>534</v>
      </c>
      <c r="C15" s="584"/>
      <c r="D15" s="584"/>
      <c r="E15" s="584"/>
      <c r="F15" s="584"/>
      <c r="G15" s="584"/>
      <c r="H15" s="584"/>
      <c r="I15" s="584"/>
      <c r="J15" s="584"/>
      <c r="K15" s="584"/>
    </row>
    <row r="16" spans="1:11" s="579" customFormat="1" ht="12" customHeight="1" thickBot="1">
      <c r="A16" s="523" t="s">
        <v>21</v>
      </c>
      <c r="B16" s="503" t="s">
        <v>268</v>
      </c>
      <c r="C16" s="493">
        <f aca="true" t="shared" si="1" ref="C16:I16">+C17+C18+C19+C20+C21</f>
        <v>0</v>
      </c>
      <c r="D16" s="493">
        <f t="shared" si="1"/>
        <v>0</v>
      </c>
      <c r="E16" s="493">
        <f t="shared" si="1"/>
        <v>0</v>
      </c>
      <c r="F16" s="493">
        <f t="shared" si="1"/>
        <v>810000</v>
      </c>
      <c r="G16" s="493">
        <f t="shared" si="1"/>
        <v>810000</v>
      </c>
      <c r="H16" s="493">
        <f t="shared" si="1"/>
        <v>270000</v>
      </c>
      <c r="I16" s="493">
        <f t="shared" si="1"/>
        <v>1080000</v>
      </c>
      <c r="J16" s="493">
        <f>+J17+J18+J19+J20+J21</f>
        <v>270000</v>
      </c>
      <c r="K16" s="493">
        <f>+K17+K18+K19+K20+K21</f>
        <v>1350000</v>
      </c>
    </row>
    <row r="17" spans="1:11" s="579" customFormat="1" ht="12" customHeight="1">
      <c r="A17" s="578" t="s">
        <v>113</v>
      </c>
      <c r="B17" s="496" t="s">
        <v>269</v>
      </c>
      <c r="C17" s="497"/>
      <c r="D17" s="497"/>
      <c r="E17" s="497"/>
      <c r="F17" s="497"/>
      <c r="G17" s="497"/>
      <c r="H17" s="497"/>
      <c r="I17" s="497"/>
      <c r="J17" s="497"/>
      <c r="K17" s="497"/>
    </row>
    <row r="18" spans="1:11" s="579" customFormat="1" ht="12" customHeight="1">
      <c r="A18" s="580" t="s">
        <v>114</v>
      </c>
      <c r="B18" s="499" t="s">
        <v>270</v>
      </c>
      <c r="C18" s="500"/>
      <c r="D18" s="500"/>
      <c r="E18" s="500"/>
      <c r="F18" s="500"/>
      <c r="G18" s="500"/>
      <c r="H18" s="500"/>
      <c r="I18" s="500"/>
      <c r="J18" s="500"/>
      <c r="K18" s="500"/>
    </row>
    <row r="19" spans="1:11" s="579" customFormat="1" ht="12" customHeight="1">
      <c r="A19" s="580" t="s">
        <v>115</v>
      </c>
      <c r="B19" s="499" t="s">
        <v>493</v>
      </c>
      <c r="C19" s="500"/>
      <c r="D19" s="500"/>
      <c r="E19" s="500"/>
      <c r="F19" s="500"/>
      <c r="G19" s="500"/>
      <c r="H19" s="500"/>
      <c r="I19" s="500"/>
      <c r="J19" s="500"/>
      <c r="K19" s="500"/>
    </row>
    <row r="20" spans="1:11" s="579" customFormat="1" ht="12" customHeight="1">
      <c r="A20" s="580" t="s">
        <v>116</v>
      </c>
      <c r="B20" s="499" t="s">
        <v>494</v>
      </c>
      <c r="C20" s="500"/>
      <c r="D20" s="500"/>
      <c r="E20" s="500"/>
      <c r="F20" s="500"/>
      <c r="G20" s="500"/>
      <c r="H20" s="500"/>
      <c r="I20" s="500"/>
      <c r="J20" s="500"/>
      <c r="K20" s="500"/>
    </row>
    <row r="21" spans="1:11" s="579" customFormat="1" ht="12" customHeight="1">
      <c r="A21" s="580" t="s">
        <v>117</v>
      </c>
      <c r="B21" s="499" t="s">
        <v>271</v>
      </c>
      <c r="C21" s="500"/>
      <c r="D21" s="500"/>
      <c r="E21" s="500">
        <f>C21+D21</f>
        <v>0</v>
      </c>
      <c r="F21" s="500">
        <v>810000</v>
      </c>
      <c r="G21" s="500">
        <f>E21+F21</f>
        <v>810000</v>
      </c>
      <c r="H21" s="500">
        <v>270000</v>
      </c>
      <c r="I21" s="500">
        <f>G21+H21</f>
        <v>1080000</v>
      </c>
      <c r="J21" s="500">
        <v>270000</v>
      </c>
      <c r="K21" s="500">
        <f>I21+J21</f>
        <v>1350000</v>
      </c>
    </row>
    <row r="22" spans="1:11" s="581" customFormat="1" ht="12" customHeight="1" thickBot="1">
      <c r="A22" s="583" t="s">
        <v>126</v>
      </c>
      <c r="B22" s="502" t="s">
        <v>272</v>
      </c>
      <c r="C22" s="504"/>
      <c r="D22" s="504"/>
      <c r="E22" s="504"/>
      <c r="F22" s="504"/>
      <c r="G22" s="504"/>
      <c r="H22" s="504"/>
      <c r="I22" s="504"/>
      <c r="J22" s="504"/>
      <c r="K22" s="504"/>
    </row>
    <row r="23" spans="1:11" s="581" customFormat="1" ht="12" customHeight="1" thickBot="1">
      <c r="A23" s="523" t="s">
        <v>22</v>
      </c>
      <c r="B23" s="492" t="s">
        <v>273</v>
      </c>
      <c r="C23" s="493">
        <f aca="true" t="shared" si="2" ref="C23:I23">+C24+C25+C26+C27+C28</f>
        <v>0</v>
      </c>
      <c r="D23" s="493">
        <f t="shared" si="2"/>
        <v>0</v>
      </c>
      <c r="E23" s="493">
        <f t="shared" si="2"/>
        <v>0</v>
      </c>
      <c r="F23" s="493">
        <f t="shared" si="2"/>
        <v>0</v>
      </c>
      <c r="G23" s="493">
        <f t="shared" si="2"/>
        <v>0</v>
      </c>
      <c r="H23" s="493">
        <f t="shared" si="2"/>
        <v>0</v>
      </c>
      <c r="I23" s="493">
        <f t="shared" si="2"/>
        <v>0</v>
      </c>
      <c r="J23" s="493">
        <f>+J24+J25+J26+J27+J28</f>
        <v>0</v>
      </c>
      <c r="K23" s="493">
        <f>+K24+K25+K26+K27+K28</f>
        <v>0</v>
      </c>
    </row>
    <row r="24" spans="1:11" s="581" customFormat="1" ht="12" customHeight="1">
      <c r="A24" s="578" t="s">
        <v>96</v>
      </c>
      <c r="B24" s="496" t="s">
        <v>274</v>
      </c>
      <c r="C24" s="497"/>
      <c r="D24" s="497">
        <v>0</v>
      </c>
      <c r="E24" s="497">
        <v>0</v>
      </c>
      <c r="F24" s="497">
        <v>0</v>
      </c>
      <c r="G24" s="497">
        <v>0</v>
      </c>
      <c r="H24" s="497">
        <v>0</v>
      </c>
      <c r="I24" s="497">
        <v>0</v>
      </c>
      <c r="J24" s="497">
        <v>0</v>
      </c>
      <c r="K24" s="497">
        <v>0</v>
      </c>
    </row>
    <row r="25" spans="1:11" s="579" customFormat="1" ht="12" customHeight="1">
      <c r="A25" s="580" t="s">
        <v>97</v>
      </c>
      <c r="B25" s="499" t="s">
        <v>275</v>
      </c>
      <c r="C25" s="500"/>
      <c r="D25" s="500"/>
      <c r="E25" s="500"/>
      <c r="F25" s="500"/>
      <c r="G25" s="500"/>
      <c r="H25" s="500"/>
      <c r="I25" s="500"/>
      <c r="J25" s="500"/>
      <c r="K25" s="500"/>
    </row>
    <row r="26" spans="1:11" s="581" customFormat="1" ht="12" customHeight="1">
      <c r="A26" s="580" t="s">
        <v>98</v>
      </c>
      <c r="B26" s="499" t="s">
        <v>495</v>
      </c>
      <c r="C26" s="500"/>
      <c r="D26" s="500"/>
      <c r="E26" s="500"/>
      <c r="F26" s="500"/>
      <c r="G26" s="500"/>
      <c r="H26" s="500"/>
      <c r="I26" s="500"/>
      <c r="J26" s="500"/>
      <c r="K26" s="500"/>
    </row>
    <row r="27" spans="1:11" s="581" customFormat="1" ht="12" customHeight="1">
      <c r="A27" s="580" t="s">
        <v>99</v>
      </c>
      <c r="B27" s="499" t="s">
        <v>496</v>
      </c>
      <c r="C27" s="500"/>
      <c r="D27" s="500"/>
      <c r="E27" s="500"/>
      <c r="F27" s="500"/>
      <c r="G27" s="500"/>
      <c r="H27" s="500"/>
      <c r="I27" s="500"/>
      <c r="J27" s="500"/>
      <c r="K27" s="500"/>
    </row>
    <row r="28" spans="1:11" s="581" customFormat="1" ht="12" customHeight="1">
      <c r="A28" s="580" t="s">
        <v>175</v>
      </c>
      <c r="B28" s="499" t="s">
        <v>276</v>
      </c>
      <c r="C28" s="500"/>
      <c r="D28" s="500"/>
      <c r="E28" s="500">
        <f>C28+D28</f>
        <v>0</v>
      </c>
      <c r="F28" s="500"/>
      <c r="G28" s="500">
        <f>E28+F28</f>
        <v>0</v>
      </c>
      <c r="H28" s="500"/>
      <c r="I28" s="500">
        <f>G28+H28</f>
        <v>0</v>
      </c>
      <c r="J28" s="500">
        <v>0</v>
      </c>
      <c r="K28" s="500">
        <f>I28+J28</f>
        <v>0</v>
      </c>
    </row>
    <row r="29" spans="1:11" s="581" customFormat="1" ht="12" customHeight="1" thickBot="1">
      <c r="A29" s="583" t="s">
        <v>176</v>
      </c>
      <c r="B29" s="502" t="s">
        <v>277</v>
      </c>
      <c r="C29" s="504"/>
      <c r="D29" s="504"/>
      <c r="E29" s="504"/>
      <c r="F29" s="504"/>
      <c r="G29" s="504"/>
      <c r="H29" s="504"/>
      <c r="I29" s="504"/>
      <c r="J29" s="504"/>
      <c r="K29" s="504"/>
    </row>
    <row r="30" spans="1:11" s="581" customFormat="1" ht="12" customHeight="1" thickBot="1">
      <c r="A30" s="523" t="s">
        <v>177</v>
      </c>
      <c r="B30" s="492" t="s">
        <v>278</v>
      </c>
      <c r="C30" s="505">
        <f aca="true" t="shared" si="3" ref="C30:I30">+C31+C34+C35+C36</f>
        <v>0</v>
      </c>
      <c r="D30" s="505">
        <f t="shared" si="3"/>
        <v>2500000</v>
      </c>
      <c r="E30" s="505">
        <f t="shared" si="3"/>
        <v>2500000</v>
      </c>
      <c r="F30" s="505">
        <f t="shared" si="3"/>
        <v>0</v>
      </c>
      <c r="G30" s="505">
        <f t="shared" si="3"/>
        <v>2500000</v>
      </c>
      <c r="H30" s="505">
        <f t="shared" si="3"/>
        <v>0</v>
      </c>
      <c r="I30" s="505">
        <f t="shared" si="3"/>
        <v>2500000</v>
      </c>
      <c r="J30" s="505">
        <f>+J31+J34+J35+J36</f>
        <v>0</v>
      </c>
      <c r="K30" s="505">
        <f>+K31+K34+K35+K36</f>
        <v>2500000</v>
      </c>
    </row>
    <row r="31" spans="1:11" s="581" customFormat="1" ht="12" customHeight="1">
      <c r="A31" s="578" t="s">
        <v>279</v>
      </c>
      <c r="B31" s="496" t="s">
        <v>285</v>
      </c>
      <c r="C31" s="506">
        <f>+C32+C33</f>
        <v>0</v>
      </c>
      <c r="D31" s="506">
        <f aca="true" t="shared" si="4" ref="D31:I31">D32+D33</f>
        <v>0</v>
      </c>
      <c r="E31" s="506">
        <f t="shared" si="4"/>
        <v>0</v>
      </c>
      <c r="F31" s="506">
        <f t="shared" si="4"/>
        <v>0</v>
      </c>
      <c r="G31" s="506">
        <f t="shared" si="4"/>
        <v>0</v>
      </c>
      <c r="H31" s="506">
        <f t="shared" si="4"/>
        <v>0</v>
      </c>
      <c r="I31" s="506">
        <f t="shared" si="4"/>
        <v>0</v>
      </c>
      <c r="J31" s="506">
        <f>J32+J33</f>
        <v>0</v>
      </c>
      <c r="K31" s="506">
        <f>K32+K33</f>
        <v>0</v>
      </c>
    </row>
    <row r="32" spans="1:11" s="581" customFormat="1" ht="12" customHeight="1">
      <c r="A32" s="580" t="s">
        <v>280</v>
      </c>
      <c r="B32" s="499" t="s">
        <v>286</v>
      </c>
      <c r="C32" s="500"/>
      <c r="D32" s="500"/>
      <c r="E32" s="500">
        <f>C32+D32</f>
        <v>0</v>
      </c>
      <c r="F32" s="500"/>
      <c r="G32" s="500">
        <f>E32+F32</f>
        <v>0</v>
      </c>
      <c r="H32" s="500"/>
      <c r="I32" s="500">
        <f>G32+H32</f>
        <v>0</v>
      </c>
      <c r="J32" s="500"/>
      <c r="K32" s="500">
        <f>I32+J32</f>
        <v>0</v>
      </c>
    </row>
    <row r="33" spans="1:11" s="581" customFormat="1" ht="12" customHeight="1">
      <c r="A33" s="580" t="s">
        <v>281</v>
      </c>
      <c r="B33" s="499" t="s">
        <v>287</v>
      </c>
      <c r="C33" s="500"/>
      <c r="D33" s="500"/>
      <c r="E33" s="500">
        <f>C33+D33</f>
        <v>0</v>
      </c>
      <c r="F33" s="500"/>
      <c r="G33" s="500">
        <f>E33+F33</f>
        <v>0</v>
      </c>
      <c r="H33" s="500"/>
      <c r="I33" s="500">
        <f>G33+H33</f>
        <v>0</v>
      </c>
      <c r="J33" s="500">
        <v>0</v>
      </c>
      <c r="K33" s="500">
        <f>I33+J33</f>
        <v>0</v>
      </c>
    </row>
    <row r="34" spans="1:11" s="581" customFormat="1" ht="12" customHeight="1">
      <c r="A34" s="580" t="s">
        <v>282</v>
      </c>
      <c r="B34" s="499" t="s">
        <v>288</v>
      </c>
      <c r="C34" s="500"/>
      <c r="D34" s="500"/>
      <c r="E34" s="500">
        <f>C34+D34</f>
        <v>0</v>
      </c>
      <c r="F34" s="500"/>
      <c r="G34" s="500">
        <f>E34+F34</f>
        <v>0</v>
      </c>
      <c r="H34" s="500"/>
      <c r="I34" s="500">
        <f>G34+H34</f>
        <v>0</v>
      </c>
      <c r="J34" s="500"/>
      <c r="K34" s="500">
        <f>I34+J34</f>
        <v>0</v>
      </c>
    </row>
    <row r="35" spans="1:11" s="581" customFormat="1" ht="12" customHeight="1">
      <c r="A35" s="580" t="s">
        <v>283</v>
      </c>
      <c r="B35" s="499" t="s">
        <v>289</v>
      </c>
      <c r="C35" s="500"/>
      <c r="D35" s="500"/>
      <c r="E35" s="500">
        <f>C35+D35</f>
        <v>0</v>
      </c>
      <c r="F35" s="500"/>
      <c r="G35" s="500">
        <f>E35+F35</f>
        <v>0</v>
      </c>
      <c r="H35" s="500"/>
      <c r="I35" s="500">
        <f>G35+H35</f>
        <v>0</v>
      </c>
      <c r="J35" s="500"/>
      <c r="K35" s="500">
        <f>I35+J35</f>
        <v>0</v>
      </c>
    </row>
    <row r="36" spans="1:11" s="581" customFormat="1" ht="12" customHeight="1" thickBot="1">
      <c r="A36" s="583" t="s">
        <v>284</v>
      </c>
      <c r="B36" s="502" t="s">
        <v>290</v>
      </c>
      <c r="C36" s="504"/>
      <c r="D36" s="504">
        <v>2500000</v>
      </c>
      <c r="E36" s="500">
        <f>C36+D36</f>
        <v>2500000</v>
      </c>
      <c r="F36" s="504">
        <v>0</v>
      </c>
      <c r="G36" s="500">
        <f>E36+F36</f>
        <v>2500000</v>
      </c>
      <c r="H36" s="504">
        <v>0</v>
      </c>
      <c r="I36" s="500">
        <f>G36+H36</f>
        <v>2500000</v>
      </c>
      <c r="J36" s="504"/>
      <c r="K36" s="500">
        <f>I36+J36</f>
        <v>2500000</v>
      </c>
    </row>
    <row r="37" spans="1:11" s="581" customFormat="1" ht="12" customHeight="1" thickBot="1">
      <c r="A37" s="523" t="s">
        <v>24</v>
      </c>
      <c r="B37" s="492" t="s">
        <v>291</v>
      </c>
      <c r="C37" s="493">
        <f aca="true" t="shared" si="5" ref="C37:I37">SUM(C38:C47)</f>
        <v>0</v>
      </c>
      <c r="D37" s="493">
        <f t="shared" si="5"/>
        <v>0</v>
      </c>
      <c r="E37" s="493">
        <f t="shared" si="5"/>
        <v>0</v>
      </c>
      <c r="F37" s="493">
        <f t="shared" si="5"/>
        <v>0</v>
      </c>
      <c r="G37" s="493">
        <f t="shared" si="5"/>
        <v>0</v>
      </c>
      <c r="H37" s="493">
        <f t="shared" si="5"/>
        <v>0</v>
      </c>
      <c r="I37" s="493">
        <f t="shared" si="5"/>
        <v>0</v>
      </c>
      <c r="J37" s="493">
        <f>SUM(J38:J47)</f>
        <v>0</v>
      </c>
      <c r="K37" s="493">
        <f>SUM(K38:K47)</f>
        <v>0</v>
      </c>
    </row>
    <row r="38" spans="1:11" s="581" customFormat="1" ht="12" customHeight="1">
      <c r="A38" s="578" t="s">
        <v>100</v>
      </c>
      <c r="B38" s="496" t="s">
        <v>294</v>
      </c>
      <c r="C38" s="497"/>
      <c r="D38" s="497"/>
      <c r="E38" s="497"/>
      <c r="F38" s="497"/>
      <c r="G38" s="497"/>
      <c r="H38" s="497"/>
      <c r="I38" s="497"/>
      <c r="J38" s="497"/>
      <c r="K38" s="497"/>
    </row>
    <row r="39" spans="1:11" s="581" customFormat="1" ht="12" customHeight="1">
      <c r="A39" s="580" t="s">
        <v>101</v>
      </c>
      <c r="B39" s="499" t="s">
        <v>295</v>
      </c>
      <c r="C39" s="500"/>
      <c r="D39" s="500"/>
      <c r="E39" s="500">
        <f>C39+D39</f>
        <v>0</v>
      </c>
      <c r="F39" s="500"/>
      <c r="G39" s="500">
        <f>E39+F39</f>
        <v>0</v>
      </c>
      <c r="H39" s="500"/>
      <c r="I39" s="500">
        <f>G39+H39</f>
        <v>0</v>
      </c>
      <c r="J39" s="500"/>
      <c r="K39" s="500">
        <f>I39+J39</f>
        <v>0</v>
      </c>
    </row>
    <row r="40" spans="1:11" s="581" customFormat="1" ht="12" customHeight="1">
      <c r="A40" s="580" t="s">
        <v>102</v>
      </c>
      <c r="B40" s="499" t="s">
        <v>296</v>
      </c>
      <c r="C40" s="500"/>
      <c r="D40" s="500"/>
      <c r="E40" s="500">
        <f aca="true" t="shared" si="6" ref="E40:E47">C40+D40</f>
        <v>0</v>
      </c>
      <c r="F40" s="500"/>
      <c r="G40" s="500">
        <f aca="true" t="shared" si="7" ref="G40:G47">E40+F40</f>
        <v>0</v>
      </c>
      <c r="H40" s="500"/>
      <c r="I40" s="500">
        <f aca="true" t="shared" si="8" ref="I40:I47">G40+H40</f>
        <v>0</v>
      </c>
      <c r="J40" s="500"/>
      <c r="K40" s="500">
        <f aca="true" t="shared" si="9" ref="K40:K47">I40+J40</f>
        <v>0</v>
      </c>
    </row>
    <row r="41" spans="1:11" s="581" customFormat="1" ht="12" customHeight="1">
      <c r="A41" s="580" t="s">
        <v>179</v>
      </c>
      <c r="B41" s="499" t="s">
        <v>297</v>
      </c>
      <c r="C41" s="500"/>
      <c r="D41" s="500"/>
      <c r="E41" s="500">
        <f t="shared" si="6"/>
        <v>0</v>
      </c>
      <c r="F41" s="500"/>
      <c r="G41" s="500">
        <f t="shared" si="7"/>
        <v>0</v>
      </c>
      <c r="H41" s="500"/>
      <c r="I41" s="500">
        <f t="shared" si="8"/>
        <v>0</v>
      </c>
      <c r="J41" s="500"/>
      <c r="K41" s="500">
        <f t="shared" si="9"/>
        <v>0</v>
      </c>
    </row>
    <row r="42" spans="1:11" s="581" customFormat="1" ht="12" customHeight="1">
      <c r="A42" s="580" t="s">
        <v>180</v>
      </c>
      <c r="B42" s="499" t="s">
        <v>298</v>
      </c>
      <c r="C42" s="500"/>
      <c r="D42" s="500"/>
      <c r="E42" s="500">
        <f t="shared" si="6"/>
        <v>0</v>
      </c>
      <c r="F42" s="500"/>
      <c r="G42" s="500">
        <f t="shared" si="7"/>
        <v>0</v>
      </c>
      <c r="H42" s="500"/>
      <c r="I42" s="500">
        <f t="shared" si="8"/>
        <v>0</v>
      </c>
      <c r="J42" s="500"/>
      <c r="K42" s="500">
        <f t="shared" si="9"/>
        <v>0</v>
      </c>
    </row>
    <row r="43" spans="1:11" s="581" customFormat="1" ht="12" customHeight="1">
      <c r="A43" s="580" t="s">
        <v>181</v>
      </c>
      <c r="B43" s="499" t="s">
        <v>299</v>
      </c>
      <c r="C43" s="500"/>
      <c r="D43" s="500"/>
      <c r="E43" s="500">
        <f t="shared" si="6"/>
        <v>0</v>
      </c>
      <c r="F43" s="500"/>
      <c r="G43" s="500">
        <f t="shared" si="7"/>
        <v>0</v>
      </c>
      <c r="H43" s="500"/>
      <c r="I43" s="500">
        <f t="shared" si="8"/>
        <v>0</v>
      </c>
      <c r="J43" s="500"/>
      <c r="K43" s="500">
        <f t="shared" si="9"/>
        <v>0</v>
      </c>
    </row>
    <row r="44" spans="1:11" s="581" customFormat="1" ht="12" customHeight="1">
      <c r="A44" s="580" t="s">
        <v>182</v>
      </c>
      <c r="B44" s="499" t="s">
        <v>300</v>
      </c>
      <c r="C44" s="500"/>
      <c r="D44" s="500"/>
      <c r="E44" s="500">
        <f t="shared" si="6"/>
        <v>0</v>
      </c>
      <c r="F44" s="500"/>
      <c r="G44" s="500">
        <f t="shared" si="7"/>
        <v>0</v>
      </c>
      <c r="H44" s="500"/>
      <c r="I44" s="500">
        <f t="shared" si="8"/>
        <v>0</v>
      </c>
      <c r="J44" s="500"/>
      <c r="K44" s="500">
        <f t="shared" si="9"/>
        <v>0</v>
      </c>
    </row>
    <row r="45" spans="1:11" s="581" customFormat="1" ht="12" customHeight="1">
      <c r="A45" s="580" t="s">
        <v>183</v>
      </c>
      <c r="B45" s="499" t="s">
        <v>301</v>
      </c>
      <c r="C45" s="500"/>
      <c r="D45" s="500"/>
      <c r="E45" s="500">
        <f t="shared" si="6"/>
        <v>0</v>
      </c>
      <c r="F45" s="500"/>
      <c r="G45" s="500">
        <f t="shared" si="7"/>
        <v>0</v>
      </c>
      <c r="H45" s="500"/>
      <c r="I45" s="500">
        <f t="shared" si="8"/>
        <v>0</v>
      </c>
      <c r="J45" s="500"/>
      <c r="K45" s="500">
        <f t="shared" si="9"/>
        <v>0</v>
      </c>
    </row>
    <row r="46" spans="1:11" s="581" customFormat="1" ht="12" customHeight="1">
      <c r="A46" s="580" t="s">
        <v>292</v>
      </c>
      <c r="B46" s="499" t="s">
        <v>302</v>
      </c>
      <c r="C46" s="507"/>
      <c r="D46" s="507"/>
      <c r="E46" s="500">
        <f t="shared" si="6"/>
        <v>0</v>
      </c>
      <c r="F46" s="507"/>
      <c r="G46" s="500">
        <f t="shared" si="7"/>
        <v>0</v>
      </c>
      <c r="H46" s="507"/>
      <c r="I46" s="500">
        <f t="shared" si="8"/>
        <v>0</v>
      </c>
      <c r="J46" s="507"/>
      <c r="K46" s="500">
        <f t="shared" si="9"/>
        <v>0</v>
      </c>
    </row>
    <row r="47" spans="1:11" s="581" customFormat="1" ht="12" customHeight="1" thickBot="1">
      <c r="A47" s="583" t="s">
        <v>293</v>
      </c>
      <c r="B47" s="502" t="s">
        <v>303</v>
      </c>
      <c r="C47" s="508"/>
      <c r="D47" s="508"/>
      <c r="E47" s="500">
        <f t="shared" si="6"/>
        <v>0</v>
      </c>
      <c r="F47" s="508"/>
      <c r="G47" s="500">
        <f t="shared" si="7"/>
        <v>0</v>
      </c>
      <c r="H47" s="508"/>
      <c r="I47" s="500">
        <f t="shared" si="8"/>
        <v>0</v>
      </c>
      <c r="J47" s="508">
        <v>0</v>
      </c>
      <c r="K47" s="500">
        <f t="shared" si="9"/>
        <v>0</v>
      </c>
    </row>
    <row r="48" spans="1:11" s="581" customFormat="1" ht="12" customHeight="1" thickBot="1">
      <c r="A48" s="523" t="s">
        <v>25</v>
      </c>
      <c r="B48" s="492" t="s">
        <v>304</v>
      </c>
      <c r="C48" s="493">
        <f aca="true" t="shared" si="10" ref="C48:I48">SUM(C49:C53)</f>
        <v>0</v>
      </c>
      <c r="D48" s="493">
        <f t="shared" si="10"/>
        <v>0</v>
      </c>
      <c r="E48" s="493">
        <f t="shared" si="10"/>
        <v>0</v>
      </c>
      <c r="F48" s="493">
        <f t="shared" si="10"/>
        <v>0</v>
      </c>
      <c r="G48" s="493">
        <f t="shared" si="10"/>
        <v>0</v>
      </c>
      <c r="H48" s="493">
        <f t="shared" si="10"/>
        <v>0</v>
      </c>
      <c r="I48" s="493">
        <f t="shared" si="10"/>
        <v>0</v>
      </c>
      <c r="J48" s="493">
        <f>SUM(J49:J53)</f>
        <v>0</v>
      </c>
      <c r="K48" s="493">
        <f>SUM(K49:K53)</f>
        <v>0</v>
      </c>
    </row>
    <row r="49" spans="1:11" s="581" customFormat="1" ht="12" customHeight="1">
      <c r="A49" s="578" t="s">
        <v>103</v>
      </c>
      <c r="B49" s="496" t="s">
        <v>308</v>
      </c>
      <c r="C49" s="509"/>
      <c r="D49" s="509"/>
      <c r="E49" s="509"/>
      <c r="F49" s="509"/>
      <c r="G49" s="509"/>
      <c r="H49" s="509"/>
      <c r="I49" s="509"/>
      <c r="J49" s="509"/>
      <c r="K49" s="509"/>
    </row>
    <row r="50" spans="1:11" s="581" customFormat="1" ht="12" customHeight="1">
      <c r="A50" s="580" t="s">
        <v>104</v>
      </c>
      <c r="B50" s="499" t="s">
        <v>309</v>
      </c>
      <c r="C50" s="507"/>
      <c r="D50" s="507"/>
      <c r="E50" s="507"/>
      <c r="F50" s="507"/>
      <c r="G50" s="507"/>
      <c r="H50" s="507"/>
      <c r="I50" s="507"/>
      <c r="J50" s="507"/>
      <c r="K50" s="507"/>
    </row>
    <row r="51" spans="1:11" s="581" customFormat="1" ht="12" customHeight="1">
      <c r="A51" s="580" t="s">
        <v>305</v>
      </c>
      <c r="B51" s="499" t="s">
        <v>310</v>
      </c>
      <c r="C51" s="507"/>
      <c r="D51" s="507"/>
      <c r="E51" s="507"/>
      <c r="F51" s="507"/>
      <c r="G51" s="507"/>
      <c r="H51" s="507"/>
      <c r="I51" s="507"/>
      <c r="J51" s="507"/>
      <c r="K51" s="507"/>
    </row>
    <row r="52" spans="1:11" s="581" customFormat="1" ht="12" customHeight="1">
      <c r="A52" s="580" t="s">
        <v>306</v>
      </c>
      <c r="B52" s="499" t="s">
        <v>311</v>
      </c>
      <c r="C52" s="507"/>
      <c r="D52" s="507"/>
      <c r="E52" s="507"/>
      <c r="F52" s="507"/>
      <c r="G52" s="507"/>
      <c r="H52" s="507"/>
      <c r="I52" s="507"/>
      <c r="J52" s="507"/>
      <c r="K52" s="507"/>
    </row>
    <row r="53" spans="1:11" s="581" customFormat="1" ht="12" customHeight="1" thickBot="1">
      <c r="A53" s="583" t="s">
        <v>307</v>
      </c>
      <c r="B53" s="502" t="s">
        <v>312</v>
      </c>
      <c r="C53" s="508"/>
      <c r="D53" s="508"/>
      <c r="E53" s="508"/>
      <c r="F53" s="508"/>
      <c r="G53" s="508"/>
      <c r="H53" s="508"/>
      <c r="I53" s="508"/>
      <c r="J53" s="508"/>
      <c r="K53" s="508"/>
    </row>
    <row r="54" spans="1:11" s="581" customFormat="1" ht="12" customHeight="1" thickBot="1">
      <c r="A54" s="523" t="s">
        <v>184</v>
      </c>
      <c r="B54" s="492" t="s">
        <v>313</v>
      </c>
      <c r="C54" s="493">
        <f aca="true" t="shared" si="11" ref="C54:I54">SUM(C55:C57)</f>
        <v>0</v>
      </c>
      <c r="D54" s="493">
        <f t="shared" si="11"/>
        <v>0</v>
      </c>
      <c r="E54" s="493">
        <f t="shared" si="11"/>
        <v>0</v>
      </c>
      <c r="F54" s="493">
        <f t="shared" si="11"/>
        <v>0</v>
      </c>
      <c r="G54" s="493">
        <f t="shared" si="11"/>
        <v>0</v>
      </c>
      <c r="H54" s="493">
        <f t="shared" si="11"/>
        <v>0</v>
      </c>
      <c r="I54" s="493">
        <f t="shared" si="11"/>
        <v>0</v>
      </c>
      <c r="J54" s="493">
        <f>SUM(J55:J57)</f>
        <v>0</v>
      </c>
      <c r="K54" s="493">
        <f>SUM(K55:K57)</f>
        <v>0</v>
      </c>
    </row>
    <row r="55" spans="1:11" s="581" customFormat="1" ht="12" customHeight="1">
      <c r="A55" s="578" t="s">
        <v>105</v>
      </c>
      <c r="B55" s="496" t="s">
        <v>314</v>
      </c>
      <c r="C55" s="497"/>
      <c r="D55" s="497"/>
      <c r="E55" s="497"/>
      <c r="F55" s="497"/>
      <c r="G55" s="497"/>
      <c r="H55" s="497"/>
      <c r="I55" s="497"/>
      <c r="J55" s="497"/>
      <c r="K55" s="497"/>
    </row>
    <row r="56" spans="1:11" s="581" customFormat="1" ht="12" customHeight="1">
      <c r="A56" s="580" t="s">
        <v>106</v>
      </c>
      <c r="B56" s="499" t="s">
        <v>497</v>
      </c>
      <c r="C56" s="500"/>
      <c r="D56" s="500"/>
      <c r="E56" s="500"/>
      <c r="F56" s="500"/>
      <c r="G56" s="500"/>
      <c r="H56" s="500"/>
      <c r="I56" s="500"/>
      <c r="J56" s="500"/>
      <c r="K56" s="500"/>
    </row>
    <row r="57" spans="1:11" s="581" customFormat="1" ht="12" customHeight="1">
      <c r="A57" s="580" t="s">
        <v>318</v>
      </c>
      <c r="B57" s="499" t="s">
        <v>316</v>
      </c>
      <c r="C57" s="500"/>
      <c r="D57" s="500"/>
      <c r="E57" s="500"/>
      <c r="F57" s="500"/>
      <c r="G57" s="500"/>
      <c r="H57" s="500"/>
      <c r="I57" s="500"/>
      <c r="J57" s="500"/>
      <c r="K57" s="500"/>
    </row>
    <row r="58" spans="1:11" s="581" customFormat="1" ht="12" customHeight="1" thickBot="1">
      <c r="A58" s="583" t="s">
        <v>319</v>
      </c>
      <c r="B58" s="502" t="s">
        <v>317</v>
      </c>
      <c r="C58" s="504"/>
      <c r="D58" s="504"/>
      <c r="E58" s="504"/>
      <c r="F58" s="504"/>
      <c r="G58" s="504"/>
      <c r="H58" s="504"/>
      <c r="I58" s="504"/>
      <c r="J58" s="504"/>
      <c r="K58" s="504"/>
    </row>
    <row r="59" spans="1:11" s="581" customFormat="1" ht="12" customHeight="1" thickBot="1">
      <c r="A59" s="523" t="s">
        <v>27</v>
      </c>
      <c r="B59" s="503" t="s">
        <v>320</v>
      </c>
      <c r="C59" s="493">
        <f aca="true" t="shared" si="12" ref="C59:I59">SUM(C60:C62)</f>
        <v>0</v>
      </c>
      <c r="D59" s="493">
        <f t="shared" si="12"/>
        <v>0</v>
      </c>
      <c r="E59" s="493">
        <f t="shared" si="12"/>
        <v>0</v>
      </c>
      <c r="F59" s="493">
        <f t="shared" si="12"/>
        <v>0</v>
      </c>
      <c r="G59" s="493">
        <f t="shared" si="12"/>
        <v>0</v>
      </c>
      <c r="H59" s="493">
        <f t="shared" si="12"/>
        <v>0</v>
      </c>
      <c r="I59" s="493">
        <f t="shared" si="12"/>
        <v>0</v>
      </c>
      <c r="J59" s="493">
        <f>SUM(J60:J62)</f>
        <v>0</v>
      </c>
      <c r="K59" s="493">
        <f>SUM(K60:K62)</f>
        <v>0</v>
      </c>
    </row>
    <row r="60" spans="1:11" s="581" customFormat="1" ht="12" customHeight="1">
      <c r="A60" s="578" t="s">
        <v>185</v>
      </c>
      <c r="B60" s="496" t="s">
        <v>322</v>
      </c>
      <c r="C60" s="507"/>
      <c r="D60" s="507"/>
      <c r="E60" s="507"/>
      <c r="F60" s="507"/>
      <c r="G60" s="507"/>
      <c r="H60" s="507"/>
      <c r="I60" s="507"/>
      <c r="J60" s="507"/>
      <c r="K60" s="507"/>
    </row>
    <row r="61" spans="1:11" s="581" customFormat="1" ht="12" customHeight="1">
      <c r="A61" s="580" t="s">
        <v>186</v>
      </c>
      <c r="B61" s="499" t="s">
        <v>498</v>
      </c>
      <c r="C61" s="507"/>
      <c r="D61" s="507"/>
      <c r="E61" s="507"/>
      <c r="F61" s="507"/>
      <c r="G61" s="507"/>
      <c r="H61" s="507"/>
      <c r="I61" s="507"/>
      <c r="J61" s="507"/>
      <c r="K61" s="507"/>
    </row>
    <row r="62" spans="1:11" s="581" customFormat="1" ht="12" customHeight="1">
      <c r="A62" s="580" t="s">
        <v>235</v>
      </c>
      <c r="B62" s="499" t="s">
        <v>323</v>
      </c>
      <c r="C62" s="507"/>
      <c r="D62" s="507">
        <v>0</v>
      </c>
      <c r="E62" s="507">
        <v>0</v>
      </c>
      <c r="F62" s="507">
        <v>0</v>
      </c>
      <c r="G62" s="507">
        <v>0</v>
      </c>
      <c r="H62" s="507">
        <v>0</v>
      </c>
      <c r="I62" s="507">
        <v>0</v>
      </c>
      <c r="J62" s="507">
        <v>0</v>
      </c>
      <c r="K62" s="507">
        <v>0</v>
      </c>
    </row>
    <row r="63" spans="1:11" s="581" customFormat="1" ht="12" customHeight="1" thickBot="1">
      <c r="A63" s="583" t="s">
        <v>321</v>
      </c>
      <c r="B63" s="502" t="s">
        <v>324</v>
      </c>
      <c r="C63" s="507"/>
      <c r="D63" s="507"/>
      <c r="E63" s="507"/>
      <c r="F63" s="507"/>
      <c r="G63" s="507"/>
      <c r="H63" s="507"/>
      <c r="I63" s="507"/>
      <c r="J63" s="507"/>
      <c r="K63" s="507"/>
    </row>
    <row r="64" spans="1:11" s="581" customFormat="1" ht="12" customHeight="1" thickBot="1">
      <c r="A64" s="523" t="s">
        <v>28</v>
      </c>
      <c r="B64" s="492" t="s">
        <v>325</v>
      </c>
      <c r="C64" s="505">
        <f aca="true" t="shared" si="13" ref="C64:I64">+C9+C16+C23+C30+C37+C48+C54+C59</f>
        <v>0</v>
      </c>
      <c r="D64" s="505">
        <f t="shared" si="13"/>
        <v>2500000</v>
      </c>
      <c r="E64" s="505">
        <f t="shared" si="13"/>
        <v>2500000</v>
      </c>
      <c r="F64" s="505">
        <f t="shared" si="13"/>
        <v>810000</v>
      </c>
      <c r="G64" s="505">
        <f t="shared" si="13"/>
        <v>3310000</v>
      </c>
      <c r="H64" s="505">
        <f t="shared" si="13"/>
        <v>270000</v>
      </c>
      <c r="I64" s="505">
        <f t="shared" si="13"/>
        <v>3580000</v>
      </c>
      <c r="J64" s="505">
        <f>+J9+J16+J23+J30+J37+J48+J54+J59</f>
        <v>270000</v>
      </c>
      <c r="K64" s="505">
        <f>+K9+K16+K23+K30+K37+K48+K54+K59</f>
        <v>3850000</v>
      </c>
    </row>
    <row r="65" spans="1:11" s="581" customFormat="1" ht="12" customHeight="1" thickBot="1">
      <c r="A65" s="585" t="s">
        <v>459</v>
      </c>
      <c r="B65" s="503" t="s">
        <v>327</v>
      </c>
      <c r="C65" s="493">
        <f aca="true" t="shared" si="14" ref="C65:I65">SUM(C66:C68)</f>
        <v>0</v>
      </c>
      <c r="D65" s="493">
        <f t="shared" si="14"/>
        <v>0</v>
      </c>
      <c r="E65" s="493">
        <f t="shared" si="14"/>
        <v>0</v>
      </c>
      <c r="F65" s="493">
        <f t="shared" si="14"/>
        <v>0</v>
      </c>
      <c r="G65" s="493">
        <f t="shared" si="14"/>
        <v>0</v>
      </c>
      <c r="H65" s="493">
        <f t="shared" si="14"/>
        <v>0</v>
      </c>
      <c r="I65" s="493">
        <f t="shared" si="14"/>
        <v>0</v>
      </c>
      <c r="J65" s="493">
        <f>SUM(J66:J68)</f>
        <v>0</v>
      </c>
      <c r="K65" s="493">
        <f>SUM(K66:K68)</f>
        <v>0</v>
      </c>
    </row>
    <row r="66" spans="1:11" s="581" customFormat="1" ht="12" customHeight="1">
      <c r="A66" s="578" t="s">
        <v>360</v>
      </c>
      <c r="B66" s="496" t="s">
        <v>328</v>
      </c>
      <c r="C66" s="507"/>
      <c r="D66" s="507"/>
      <c r="E66" s="507"/>
      <c r="F66" s="507"/>
      <c r="G66" s="507"/>
      <c r="H66" s="507"/>
      <c r="I66" s="507"/>
      <c r="J66" s="507"/>
      <c r="K66" s="507"/>
    </row>
    <row r="67" spans="1:11" s="581" customFormat="1" ht="12" customHeight="1">
      <c r="A67" s="580" t="s">
        <v>369</v>
      </c>
      <c r="B67" s="499" t="s">
        <v>329</v>
      </c>
      <c r="C67" s="507"/>
      <c r="D67" s="507"/>
      <c r="E67" s="507"/>
      <c r="F67" s="507"/>
      <c r="G67" s="507"/>
      <c r="H67" s="507"/>
      <c r="I67" s="507"/>
      <c r="J67" s="507"/>
      <c r="K67" s="507"/>
    </row>
    <row r="68" spans="1:11" s="581" customFormat="1" ht="12" customHeight="1" thickBot="1">
      <c r="A68" s="583" t="s">
        <v>370</v>
      </c>
      <c r="B68" s="511" t="s">
        <v>330</v>
      </c>
      <c r="C68" s="507"/>
      <c r="D68" s="507"/>
      <c r="E68" s="507"/>
      <c r="F68" s="507"/>
      <c r="G68" s="507"/>
      <c r="H68" s="507"/>
      <c r="I68" s="507"/>
      <c r="J68" s="507"/>
      <c r="K68" s="507"/>
    </row>
    <row r="69" spans="1:11" s="581" customFormat="1" ht="12" customHeight="1" thickBot="1">
      <c r="A69" s="585" t="s">
        <v>331</v>
      </c>
      <c r="B69" s="503" t="s">
        <v>332</v>
      </c>
      <c r="C69" s="493">
        <f aca="true" t="shared" si="15" ref="C69:I69">SUM(C70:C73)</f>
        <v>0</v>
      </c>
      <c r="D69" s="493">
        <f t="shared" si="15"/>
        <v>0</v>
      </c>
      <c r="E69" s="493">
        <f t="shared" si="15"/>
        <v>0</v>
      </c>
      <c r="F69" s="493">
        <f t="shared" si="15"/>
        <v>0</v>
      </c>
      <c r="G69" s="493">
        <f t="shared" si="15"/>
        <v>0</v>
      </c>
      <c r="H69" s="493">
        <f t="shared" si="15"/>
        <v>0</v>
      </c>
      <c r="I69" s="493">
        <f t="shared" si="15"/>
        <v>0</v>
      </c>
      <c r="J69" s="493">
        <f>SUM(J70:J73)</f>
        <v>0</v>
      </c>
      <c r="K69" s="493">
        <f>SUM(K70:K73)</f>
        <v>0</v>
      </c>
    </row>
    <row r="70" spans="1:11" s="581" customFormat="1" ht="12" customHeight="1">
      <c r="A70" s="578" t="s">
        <v>153</v>
      </c>
      <c r="B70" s="496" t="s">
        <v>333</v>
      </c>
      <c r="C70" s="507"/>
      <c r="D70" s="507"/>
      <c r="E70" s="507"/>
      <c r="F70" s="507"/>
      <c r="G70" s="507"/>
      <c r="H70" s="507"/>
      <c r="I70" s="507"/>
      <c r="J70" s="507"/>
      <c r="K70" s="507"/>
    </row>
    <row r="71" spans="1:11" s="581" customFormat="1" ht="12" customHeight="1">
      <c r="A71" s="580" t="s">
        <v>154</v>
      </c>
      <c r="B71" s="499" t="s">
        <v>334</v>
      </c>
      <c r="C71" s="507"/>
      <c r="D71" s="507"/>
      <c r="E71" s="507"/>
      <c r="F71" s="507"/>
      <c r="G71" s="507"/>
      <c r="H71" s="507"/>
      <c r="I71" s="507"/>
      <c r="J71" s="507"/>
      <c r="K71" s="507"/>
    </row>
    <row r="72" spans="1:11" s="581" customFormat="1" ht="12" customHeight="1">
      <c r="A72" s="580" t="s">
        <v>361</v>
      </c>
      <c r="B72" s="499" t="s">
        <v>335</v>
      </c>
      <c r="C72" s="507"/>
      <c r="D72" s="507"/>
      <c r="E72" s="507"/>
      <c r="F72" s="507"/>
      <c r="G72" s="507"/>
      <c r="H72" s="507"/>
      <c r="I72" s="507"/>
      <c r="J72" s="507"/>
      <c r="K72" s="507"/>
    </row>
    <row r="73" spans="1:11" s="581" customFormat="1" ht="12" customHeight="1" thickBot="1">
      <c r="A73" s="583" t="s">
        <v>362</v>
      </c>
      <c r="B73" s="502" t="s">
        <v>336</v>
      </c>
      <c r="C73" s="507"/>
      <c r="D73" s="507"/>
      <c r="E73" s="507"/>
      <c r="F73" s="507"/>
      <c r="G73" s="507"/>
      <c r="H73" s="507"/>
      <c r="I73" s="507"/>
      <c r="J73" s="507"/>
      <c r="K73" s="507"/>
    </row>
    <row r="74" spans="1:11" s="581" customFormat="1" ht="12" customHeight="1" thickBot="1">
      <c r="A74" s="585" t="s">
        <v>337</v>
      </c>
      <c r="B74" s="503" t="s">
        <v>338</v>
      </c>
      <c r="C74" s="493">
        <f aca="true" t="shared" si="16" ref="C74:I74">SUM(C75:C76)</f>
        <v>0</v>
      </c>
      <c r="D74" s="493">
        <f t="shared" si="16"/>
        <v>9361300</v>
      </c>
      <c r="E74" s="493">
        <f t="shared" si="16"/>
        <v>9361300</v>
      </c>
      <c r="F74" s="493">
        <f t="shared" si="16"/>
        <v>60000</v>
      </c>
      <c r="G74" s="493">
        <f t="shared" si="16"/>
        <v>9421300</v>
      </c>
      <c r="H74" s="493">
        <f t="shared" si="16"/>
        <v>0</v>
      </c>
      <c r="I74" s="493">
        <f t="shared" si="16"/>
        <v>9421300</v>
      </c>
      <c r="J74" s="493">
        <f>SUM(J75:J76)</f>
        <v>0</v>
      </c>
      <c r="K74" s="493">
        <f>SUM(K75:K76)</f>
        <v>9421300</v>
      </c>
    </row>
    <row r="75" spans="1:11" s="581" customFormat="1" ht="12" customHeight="1">
      <c r="A75" s="578" t="s">
        <v>363</v>
      </c>
      <c r="B75" s="496" t="s">
        <v>339</v>
      </c>
      <c r="C75" s="507">
        <v>0</v>
      </c>
      <c r="D75" s="507">
        <v>9361300</v>
      </c>
      <c r="E75" s="507">
        <f>C75+D75</f>
        <v>9361300</v>
      </c>
      <c r="F75" s="507">
        <v>60000</v>
      </c>
      <c r="G75" s="507">
        <f>E75+F75</f>
        <v>9421300</v>
      </c>
      <c r="H75" s="507"/>
      <c r="I75" s="507">
        <f>G75+H75</f>
        <v>9421300</v>
      </c>
      <c r="J75" s="507"/>
      <c r="K75" s="507">
        <f>I75+J75</f>
        <v>9421300</v>
      </c>
    </row>
    <row r="76" spans="1:11" s="581" customFormat="1" ht="12" customHeight="1" thickBot="1">
      <c r="A76" s="583" t="s">
        <v>364</v>
      </c>
      <c r="B76" s="502" t="s">
        <v>340</v>
      </c>
      <c r="C76" s="507"/>
      <c r="D76" s="507"/>
      <c r="E76" s="507"/>
      <c r="F76" s="507"/>
      <c r="G76" s="507"/>
      <c r="H76" s="507"/>
      <c r="I76" s="507"/>
      <c r="J76" s="507"/>
      <c r="K76" s="507"/>
    </row>
    <row r="77" spans="1:11" s="579" customFormat="1" ht="12" customHeight="1" thickBot="1">
      <c r="A77" s="585" t="s">
        <v>341</v>
      </c>
      <c r="B77" s="503" t="s">
        <v>342</v>
      </c>
      <c r="C77" s="493">
        <f aca="true" t="shared" si="17" ref="C77:I77">SUM(C78:C80)</f>
        <v>0</v>
      </c>
      <c r="D77" s="493">
        <f t="shared" si="17"/>
        <v>0</v>
      </c>
      <c r="E77" s="493">
        <f t="shared" si="17"/>
        <v>0</v>
      </c>
      <c r="F77" s="493">
        <f t="shared" si="17"/>
        <v>0</v>
      </c>
      <c r="G77" s="493">
        <f t="shared" si="17"/>
        <v>0</v>
      </c>
      <c r="H77" s="493">
        <f t="shared" si="17"/>
        <v>0</v>
      </c>
      <c r="I77" s="493">
        <f t="shared" si="17"/>
        <v>0</v>
      </c>
      <c r="J77" s="493">
        <f>SUM(J78:J80)</f>
        <v>0</v>
      </c>
      <c r="K77" s="493">
        <f>SUM(K78:K80)</f>
        <v>0</v>
      </c>
    </row>
    <row r="78" spans="1:11" s="581" customFormat="1" ht="12" customHeight="1">
      <c r="A78" s="578" t="s">
        <v>365</v>
      </c>
      <c r="B78" s="496" t="s">
        <v>343</v>
      </c>
      <c r="C78" s="507"/>
      <c r="D78" s="507"/>
      <c r="E78" s="507"/>
      <c r="F78" s="507"/>
      <c r="G78" s="507"/>
      <c r="H78" s="507"/>
      <c r="I78" s="507"/>
      <c r="J78" s="507"/>
      <c r="K78" s="507"/>
    </row>
    <row r="79" spans="1:11" s="581" customFormat="1" ht="12" customHeight="1">
      <c r="A79" s="580" t="s">
        <v>366</v>
      </c>
      <c r="B79" s="499" t="s">
        <v>344</v>
      </c>
      <c r="C79" s="507"/>
      <c r="D79" s="507"/>
      <c r="E79" s="507"/>
      <c r="F79" s="507"/>
      <c r="G79" s="507"/>
      <c r="H79" s="507"/>
      <c r="I79" s="507"/>
      <c r="J79" s="507"/>
      <c r="K79" s="507"/>
    </row>
    <row r="80" spans="1:11" s="581" customFormat="1" ht="12" customHeight="1" thickBot="1">
      <c r="A80" s="583" t="s">
        <v>367</v>
      </c>
      <c r="B80" s="502" t="s">
        <v>345</v>
      </c>
      <c r="C80" s="507"/>
      <c r="D80" s="507"/>
      <c r="E80" s="507"/>
      <c r="F80" s="507"/>
      <c r="G80" s="507"/>
      <c r="H80" s="507"/>
      <c r="I80" s="507"/>
      <c r="J80" s="507"/>
      <c r="K80" s="507"/>
    </row>
    <row r="81" spans="1:11" s="581" customFormat="1" ht="12" customHeight="1" thickBot="1">
      <c r="A81" s="585" t="s">
        <v>346</v>
      </c>
      <c r="B81" s="503" t="s">
        <v>368</v>
      </c>
      <c r="C81" s="493">
        <f aca="true" t="shared" si="18" ref="C81:I81">SUM(C82:C85)</f>
        <v>0</v>
      </c>
      <c r="D81" s="493">
        <f t="shared" si="18"/>
        <v>0</v>
      </c>
      <c r="E81" s="493">
        <f t="shared" si="18"/>
        <v>0</v>
      </c>
      <c r="F81" s="493">
        <f t="shared" si="18"/>
        <v>0</v>
      </c>
      <c r="G81" s="493">
        <f t="shared" si="18"/>
        <v>0</v>
      </c>
      <c r="H81" s="493">
        <f t="shared" si="18"/>
        <v>0</v>
      </c>
      <c r="I81" s="493">
        <f t="shared" si="18"/>
        <v>0</v>
      </c>
      <c r="J81" s="493">
        <f>SUM(J82:J85)</f>
        <v>0</v>
      </c>
      <c r="K81" s="493">
        <f>SUM(K82:K85)</f>
        <v>0</v>
      </c>
    </row>
    <row r="82" spans="1:11" s="581" customFormat="1" ht="12" customHeight="1">
      <c r="A82" s="586" t="s">
        <v>347</v>
      </c>
      <c r="B82" s="496" t="s">
        <v>348</v>
      </c>
      <c r="C82" s="507"/>
      <c r="D82" s="507"/>
      <c r="E82" s="507"/>
      <c r="F82" s="507"/>
      <c r="G82" s="507"/>
      <c r="H82" s="507"/>
      <c r="I82" s="507"/>
      <c r="J82" s="507"/>
      <c r="K82" s="507"/>
    </row>
    <row r="83" spans="1:11" s="581" customFormat="1" ht="12" customHeight="1">
      <c r="A83" s="587" t="s">
        <v>349</v>
      </c>
      <c r="B83" s="499" t="s">
        <v>350</v>
      </c>
      <c r="C83" s="507"/>
      <c r="D83" s="507"/>
      <c r="E83" s="507"/>
      <c r="F83" s="507"/>
      <c r="G83" s="507"/>
      <c r="H83" s="507"/>
      <c r="I83" s="507"/>
      <c r="J83" s="507"/>
      <c r="K83" s="507"/>
    </row>
    <row r="84" spans="1:11" s="581" customFormat="1" ht="12" customHeight="1">
      <c r="A84" s="587" t="s">
        <v>351</v>
      </c>
      <c r="B84" s="499" t="s">
        <v>352</v>
      </c>
      <c r="C84" s="507"/>
      <c r="D84" s="507"/>
      <c r="E84" s="507"/>
      <c r="F84" s="507"/>
      <c r="G84" s="507"/>
      <c r="H84" s="507"/>
      <c r="I84" s="507"/>
      <c r="J84" s="507"/>
      <c r="K84" s="507"/>
    </row>
    <row r="85" spans="1:11" s="579" customFormat="1" ht="12" customHeight="1" thickBot="1">
      <c r="A85" s="588" t="s">
        <v>353</v>
      </c>
      <c r="B85" s="502" t="s">
        <v>354</v>
      </c>
      <c r="C85" s="507"/>
      <c r="D85" s="507"/>
      <c r="E85" s="507"/>
      <c r="F85" s="507"/>
      <c r="G85" s="507"/>
      <c r="H85" s="507"/>
      <c r="I85" s="507"/>
      <c r="J85" s="507"/>
      <c r="K85" s="507"/>
    </row>
    <row r="86" spans="1:11" s="579" customFormat="1" ht="12" customHeight="1" thickBot="1">
      <c r="A86" s="585" t="s">
        <v>355</v>
      </c>
      <c r="B86" s="503" t="s">
        <v>356</v>
      </c>
      <c r="C86" s="515"/>
      <c r="D86" s="515"/>
      <c r="E86" s="515"/>
      <c r="F86" s="515"/>
      <c r="G86" s="515"/>
      <c r="H86" s="515"/>
      <c r="I86" s="515"/>
      <c r="J86" s="515"/>
      <c r="K86" s="515"/>
    </row>
    <row r="87" spans="1:11" s="579" customFormat="1" ht="12" customHeight="1" thickBot="1">
      <c r="A87" s="585" t="s">
        <v>357</v>
      </c>
      <c r="B87" s="516" t="s">
        <v>358</v>
      </c>
      <c r="C87" s="505">
        <f aca="true" t="shared" si="19" ref="C87:I87">+C65+C69+C74+C77+C81+C86</f>
        <v>0</v>
      </c>
      <c r="D87" s="505">
        <f t="shared" si="19"/>
        <v>9361300</v>
      </c>
      <c r="E87" s="505">
        <f t="shared" si="19"/>
        <v>9361300</v>
      </c>
      <c r="F87" s="505">
        <f t="shared" si="19"/>
        <v>60000</v>
      </c>
      <c r="G87" s="505">
        <f t="shared" si="19"/>
        <v>9421300</v>
      </c>
      <c r="H87" s="505">
        <f t="shared" si="19"/>
        <v>0</v>
      </c>
      <c r="I87" s="505">
        <f t="shared" si="19"/>
        <v>9421300</v>
      </c>
      <c r="J87" s="505">
        <f>+J65+J69+J74+J77+J81+J86</f>
        <v>0</v>
      </c>
      <c r="K87" s="505">
        <f>+K65+K69+K74+K77+K81+K86</f>
        <v>9421300</v>
      </c>
    </row>
    <row r="88" spans="1:11" s="579" customFormat="1" ht="12" customHeight="1" thickBot="1">
      <c r="A88" s="589" t="s">
        <v>371</v>
      </c>
      <c r="B88" s="518" t="s">
        <v>486</v>
      </c>
      <c r="C88" s="505">
        <f aca="true" t="shared" si="20" ref="C88:I88">+C64+C87</f>
        <v>0</v>
      </c>
      <c r="D88" s="505">
        <f t="shared" si="20"/>
        <v>11861300</v>
      </c>
      <c r="E88" s="505">
        <f t="shared" si="20"/>
        <v>11861300</v>
      </c>
      <c r="F88" s="505">
        <f t="shared" si="20"/>
        <v>870000</v>
      </c>
      <c r="G88" s="505">
        <f t="shared" si="20"/>
        <v>12731300</v>
      </c>
      <c r="H88" s="505">
        <f t="shared" si="20"/>
        <v>270000</v>
      </c>
      <c r="I88" s="505">
        <f t="shared" si="20"/>
        <v>13001300</v>
      </c>
      <c r="J88" s="505">
        <f>+J64+J87</f>
        <v>270000</v>
      </c>
      <c r="K88" s="505">
        <f>+K64+K87</f>
        <v>13271300</v>
      </c>
    </row>
    <row r="89" spans="1:11" s="581" customFormat="1" ht="15" customHeight="1">
      <c r="A89" s="590"/>
      <c r="B89" s="591"/>
      <c r="C89" s="592"/>
      <c r="D89" s="592"/>
      <c r="E89" s="592"/>
      <c r="F89" s="592"/>
      <c r="G89" s="592"/>
      <c r="H89" s="592"/>
      <c r="I89" s="592"/>
      <c r="J89" s="592"/>
      <c r="K89" s="592"/>
    </row>
    <row r="90" spans="1:11" ht="13.5" thickBot="1">
      <c r="A90" s="590"/>
      <c r="B90" s="593"/>
      <c r="C90" s="594"/>
      <c r="D90" s="594"/>
      <c r="E90" s="594"/>
      <c r="F90" s="594"/>
      <c r="G90" s="594"/>
      <c r="H90" s="594"/>
      <c r="I90" s="594"/>
      <c r="J90" s="594"/>
      <c r="K90" s="594"/>
    </row>
    <row r="91" spans="1:11" s="575" customFormat="1" ht="16.5" customHeight="1" thickBot="1">
      <c r="A91" s="789" t="s">
        <v>61</v>
      </c>
      <c r="B91" s="786"/>
      <c r="C91" s="786"/>
      <c r="D91" s="786"/>
      <c r="E91" s="786"/>
      <c r="F91" s="786"/>
      <c r="G91" s="786"/>
      <c r="H91" s="786"/>
      <c r="I91" s="786"/>
      <c r="J91" s="786"/>
      <c r="K91" s="787"/>
    </row>
    <row r="92" spans="1:11" s="597" customFormat="1" ht="12" customHeight="1" thickBot="1">
      <c r="A92" s="487" t="s">
        <v>20</v>
      </c>
      <c r="B92" s="527" t="s">
        <v>374</v>
      </c>
      <c r="C92" s="528">
        <f aca="true" t="shared" si="21" ref="C92:I92">SUM(C93:C97)</f>
        <v>0</v>
      </c>
      <c r="D92" s="528">
        <f t="shared" si="21"/>
        <v>10461300</v>
      </c>
      <c r="E92" s="528">
        <f t="shared" si="21"/>
        <v>10461300</v>
      </c>
      <c r="F92" s="528">
        <f t="shared" si="21"/>
        <v>870000</v>
      </c>
      <c r="G92" s="528">
        <f t="shared" si="21"/>
        <v>11331300</v>
      </c>
      <c r="H92" s="528">
        <f t="shared" si="21"/>
        <v>270000</v>
      </c>
      <c r="I92" s="528">
        <f t="shared" si="21"/>
        <v>11601300</v>
      </c>
      <c r="J92" s="528">
        <f>SUM(J93:J97)</f>
        <v>270000</v>
      </c>
      <c r="K92" s="528">
        <f>SUM(K93:K97)</f>
        <v>11871300</v>
      </c>
    </row>
    <row r="93" spans="1:11" ht="12" customHeight="1">
      <c r="A93" s="598" t="s">
        <v>107</v>
      </c>
      <c r="B93" s="530" t="s">
        <v>50</v>
      </c>
      <c r="C93" s="531"/>
      <c r="D93" s="531">
        <v>4967000</v>
      </c>
      <c r="E93" s="532">
        <f>C93+D93</f>
        <v>4967000</v>
      </c>
      <c r="F93" s="531">
        <v>810000</v>
      </c>
      <c r="G93" s="532">
        <f>E93+F93</f>
        <v>5777000</v>
      </c>
      <c r="H93" s="531">
        <v>270000</v>
      </c>
      <c r="I93" s="532">
        <f>G93+H93</f>
        <v>6047000</v>
      </c>
      <c r="J93" s="531">
        <v>230000</v>
      </c>
      <c r="K93" s="532">
        <f>I93+J93</f>
        <v>6277000</v>
      </c>
    </row>
    <row r="94" spans="1:11" ht="12" customHeight="1">
      <c r="A94" s="580" t="s">
        <v>108</v>
      </c>
      <c r="B94" s="533" t="s">
        <v>187</v>
      </c>
      <c r="C94" s="500"/>
      <c r="D94" s="500">
        <v>974300</v>
      </c>
      <c r="E94" s="534">
        <f>C94+D94</f>
        <v>974300</v>
      </c>
      <c r="F94" s="500"/>
      <c r="G94" s="534">
        <f>E94+F94</f>
        <v>974300</v>
      </c>
      <c r="H94" s="500"/>
      <c r="I94" s="534">
        <f>G94+H94</f>
        <v>974300</v>
      </c>
      <c r="J94" s="500">
        <v>40000</v>
      </c>
      <c r="K94" s="534">
        <f>I94+J94</f>
        <v>1014300</v>
      </c>
    </row>
    <row r="95" spans="1:11" ht="12" customHeight="1">
      <c r="A95" s="580" t="s">
        <v>109</v>
      </c>
      <c r="B95" s="533" t="s">
        <v>143</v>
      </c>
      <c r="C95" s="504"/>
      <c r="D95" s="504">
        <v>270000</v>
      </c>
      <c r="E95" s="534">
        <f>C95+D95</f>
        <v>270000</v>
      </c>
      <c r="F95" s="504"/>
      <c r="G95" s="534">
        <f>E95+F95</f>
        <v>270000</v>
      </c>
      <c r="H95" s="504"/>
      <c r="I95" s="534">
        <f>G95+H95</f>
        <v>270000</v>
      </c>
      <c r="J95" s="504"/>
      <c r="K95" s="534">
        <f>I95+J95</f>
        <v>270000</v>
      </c>
    </row>
    <row r="96" spans="1:11" ht="12" customHeight="1">
      <c r="A96" s="580" t="s">
        <v>110</v>
      </c>
      <c r="B96" s="535" t="s">
        <v>188</v>
      </c>
      <c r="C96" s="504"/>
      <c r="D96" s="504"/>
      <c r="E96" s="534">
        <f>C96+D96</f>
        <v>0</v>
      </c>
      <c r="F96" s="504"/>
      <c r="G96" s="534">
        <f>E96+F96</f>
        <v>0</v>
      </c>
      <c r="H96" s="504"/>
      <c r="I96" s="534">
        <f>G96+H96</f>
        <v>0</v>
      </c>
      <c r="J96" s="504"/>
      <c r="K96" s="534">
        <f>I96+J96</f>
        <v>0</v>
      </c>
    </row>
    <row r="97" spans="1:11" ht="12" customHeight="1">
      <c r="A97" s="580" t="s">
        <v>121</v>
      </c>
      <c r="B97" s="536" t="s">
        <v>189</v>
      </c>
      <c r="C97" s="504">
        <v>0</v>
      </c>
      <c r="D97" s="504">
        <f aca="true" t="shared" si="22" ref="D97:I97">SUM(D98:D107)</f>
        <v>4250000</v>
      </c>
      <c r="E97" s="504">
        <f t="shared" si="22"/>
        <v>4250000</v>
      </c>
      <c r="F97" s="504">
        <f t="shared" si="22"/>
        <v>60000</v>
      </c>
      <c r="G97" s="504">
        <f t="shared" si="22"/>
        <v>4310000</v>
      </c>
      <c r="H97" s="504">
        <f t="shared" si="22"/>
        <v>0</v>
      </c>
      <c r="I97" s="504">
        <f t="shared" si="22"/>
        <v>4310000</v>
      </c>
      <c r="J97" s="504">
        <f>SUM(J98:J107)</f>
        <v>0</v>
      </c>
      <c r="K97" s="504">
        <f>SUM(K98:K107)</f>
        <v>4310000</v>
      </c>
    </row>
    <row r="98" spans="1:11" ht="12" customHeight="1">
      <c r="A98" s="580" t="s">
        <v>111</v>
      </c>
      <c r="B98" s="533" t="s">
        <v>375</v>
      </c>
      <c r="C98" s="504"/>
      <c r="D98" s="504"/>
      <c r="E98" s="504"/>
      <c r="F98" s="504"/>
      <c r="G98" s="504"/>
      <c r="H98" s="504"/>
      <c r="I98" s="504"/>
      <c r="J98" s="504"/>
      <c r="K98" s="504">
        <f>I98+J98</f>
        <v>0</v>
      </c>
    </row>
    <row r="99" spans="1:11" ht="12" customHeight="1">
      <c r="A99" s="580" t="s">
        <v>112</v>
      </c>
      <c r="B99" s="537" t="s">
        <v>376</v>
      </c>
      <c r="C99" s="504"/>
      <c r="D99" s="504"/>
      <c r="E99" s="504"/>
      <c r="F99" s="504"/>
      <c r="G99" s="504"/>
      <c r="H99" s="504"/>
      <c r="I99" s="504"/>
      <c r="J99" s="504"/>
      <c r="K99" s="504"/>
    </row>
    <row r="100" spans="1:11" ht="12" customHeight="1">
      <c r="A100" s="580" t="s">
        <v>122</v>
      </c>
      <c r="B100" s="538" t="s">
        <v>377</v>
      </c>
      <c r="C100" s="504"/>
      <c r="D100" s="504"/>
      <c r="E100" s="504"/>
      <c r="F100" s="504"/>
      <c r="G100" s="504"/>
      <c r="H100" s="504"/>
      <c r="I100" s="504"/>
      <c r="J100" s="504"/>
      <c r="K100" s="504"/>
    </row>
    <row r="101" spans="1:11" ht="12" customHeight="1">
      <c r="A101" s="580" t="s">
        <v>123</v>
      </c>
      <c r="B101" s="538" t="s">
        <v>378</v>
      </c>
      <c r="C101" s="504"/>
      <c r="D101" s="504"/>
      <c r="E101" s="504"/>
      <c r="F101" s="504"/>
      <c r="G101" s="504"/>
      <c r="H101" s="504"/>
      <c r="I101" s="504"/>
      <c r="J101" s="504"/>
      <c r="K101" s="504"/>
    </row>
    <row r="102" spans="1:11" ht="12" customHeight="1">
      <c r="A102" s="580" t="s">
        <v>124</v>
      </c>
      <c r="B102" s="537" t="s">
        <v>379</v>
      </c>
      <c r="C102" s="504">
        <v>0</v>
      </c>
      <c r="D102" s="504"/>
      <c r="E102" s="504">
        <f>C102+D102</f>
        <v>0</v>
      </c>
      <c r="F102" s="504"/>
      <c r="G102" s="504">
        <f>E102+F102</f>
        <v>0</v>
      </c>
      <c r="H102" s="504"/>
      <c r="I102" s="504">
        <f>G102+H102</f>
        <v>0</v>
      </c>
      <c r="J102" s="504"/>
      <c r="K102" s="504">
        <f>I102+J102</f>
        <v>0</v>
      </c>
    </row>
    <row r="103" spans="1:11" ht="12" customHeight="1">
      <c r="A103" s="580" t="s">
        <v>125</v>
      </c>
      <c r="B103" s="537" t="s">
        <v>380</v>
      </c>
      <c r="C103" s="504"/>
      <c r="D103" s="504"/>
      <c r="E103" s="504"/>
      <c r="F103" s="504"/>
      <c r="G103" s="504"/>
      <c r="H103" s="504"/>
      <c r="I103" s="504"/>
      <c r="J103" s="504"/>
      <c r="K103" s="504"/>
    </row>
    <row r="104" spans="1:11" ht="12" customHeight="1">
      <c r="A104" s="580" t="s">
        <v>127</v>
      </c>
      <c r="B104" s="538" t="s">
        <v>381</v>
      </c>
      <c r="C104" s="504"/>
      <c r="D104" s="504"/>
      <c r="E104" s="504"/>
      <c r="F104" s="504"/>
      <c r="G104" s="504"/>
      <c r="H104" s="504"/>
      <c r="I104" s="504"/>
      <c r="J104" s="504"/>
      <c r="K104" s="504"/>
    </row>
    <row r="105" spans="1:11" ht="12" customHeight="1">
      <c r="A105" s="599" t="s">
        <v>190</v>
      </c>
      <c r="B105" s="540" t="s">
        <v>382</v>
      </c>
      <c r="C105" s="504"/>
      <c r="D105" s="504"/>
      <c r="E105" s="504"/>
      <c r="F105" s="504"/>
      <c r="G105" s="504"/>
      <c r="H105" s="504"/>
      <c r="I105" s="504"/>
      <c r="J105" s="504"/>
      <c r="K105" s="504"/>
    </row>
    <row r="106" spans="1:11" ht="12" customHeight="1">
      <c r="A106" s="580" t="s">
        <v>372</v>
      </c>
      <c r="B106" s="540" t="s">
        <v>383</v>
      </c>
      <c r="C106" s="504"/>
      <c r="D106" s="504"/>
      <c r="E106" s="504"/>
      <c r="F106" s="504"/>
      <c r="G106" s="504"/>
      <c r="H106" s="504"/>
      <c r="I106" s="504"/>
      <c r="J106" s="504"/>
      <c r="K106" s="504"/>
    </row>
    <row r="107" spans="1:11" ht="12" customHeight="1" thickBot="1">
      <c r="A107" s="600" t="s">
        <v>373</v>
      </c>
      <c r="B107" s="542" t="s">
        <v>384</v>
      </c>
      <c r="C107" s="543">
        <v>0</v>
      </c>
      <c r="D107" s="543">
        <v>4250000</v>
      </c>
      <c r="E107" s="543">
        <f>C107+D107</f>
        <v>4250000</v>
      </c>
      <c r="F107" s="543">
        <v>60000</v>
      </c>
      <c r="G107" s="543">
        <f>E107+F107</f>
        <v>4310000</v>
      </c>
      <c r="H107" s="543"/>
      <c r="I107" s="543">
        <f>G107+H107</f>
        <v>4310000</v>
      </c>
      <c r="J107" s="543"/>
      <c r="K107" s="543">
        <f>I107+J107</f>
        <v>4310000</v>
      </c>
    </row>
    <row r="108" spans="1:11" ht="12" customHeight="1" thickBot="1">
      <c r="A108" s="523" t="s">
        <v>21</v>
      </c>
      <c r="B108" s="544" t="s">
        <v>385</v>
      </c>
      <c r="C108" s="493">
        <f aca="true" t="shared" si="23" ref="C108:I108">+C109+C111+C113</f>
        <v>0</v>
      </c>
      <c r="D108" s="493">
        <f t="shared" si="23"/>
        <v>1400000</v>
      </c>
      <c r="E108" s="493">
        <f t="shared" si="23"/>
        <v>1400000</v>
      </c>
      <c r="F108" s="493">
        <f t="shared" si="23"/>
        <v>0</v>
      </c>
      <c r="G108" s="493">
        <f t="shared" si="23"/>
        <v>1400000</v>
      </c>
      <c r="H108" s="493">
        <f t="shared" si="23"/>
        <v>0</v>
      </c>
      <c r="I108" s="493">
        <f t="shared" si="23"/>
        <v>1400000</v>
      </c>
      <c r="J108" s="493">
        <f>+J109+J111+J113+J121</f>
        <v>0</v>
      </c>
      <c r="K108" s="493">
        <f>+K109+K111+K113</f>
        <v>1400000</v>
      </c>
    </row>
    <row r="109" spans="1:11" ht="12" customHeight="1">
      <c r="A109" s="578" t="s">
        <v>113</v>
      </c>
      <c r="B109" s="533" t="s">
        <v>234</v>
      </c>
      <c r="C109" s="497"/>
      <c r="D109" s="497"/>
      <c r="E109" s="497">
        <f>C109+D109</f>
        <v>0</v>
      </c>
      <c r="F109" s="497"/>
      <c r="G109" s="497">
        <f>E109+F109</f>
        <v>0</v>
      </c>
      <c r="H109" s="497"/>
      <c r="I109" s="497">
        <f>G109+H109</f>
        <v>0</v>
      </c>
      <c r="J109" s="497"/>
      <c r="K109" s="497">
        <f>I109+J109</f>
        <v>0</v>
      </c>
    </row>
    <row r="110" spans="1:11" ht="12" customHeight="1">
      <c r="A110" s="578" t="s">
        <v>114</v>
      </c>
      <c r="B110" s="545" t="s">
        <v>389</v>
      </c>
      <c r="C110" s="497"/>
      <c r="D110" s="497"/>
      <c r="E110" s="497">
        <f aca="true" t="shared" si="24" ref="E110:E121">C110+D110</f>
        <v>0</v>
      </c>
      <c r="F110" s="497"/>
      <c r="G110" s="497">
        <f aca="true" t="shared" si="25" ref="G110:G121">E110+F110</f>
        <v>0</v>
      </c>
      <c r="H110" s="497"/>
      <c r="I110" s="497">
        <f aca="true" t="shared" si="26" ref="I110:I121">G110+H110</f>
        <v>0</v>
      </c>
      <c r="J110" s="497"/>
      <c r="K110" s="497">
        <f aca="true" t="shared" si="27" ref="K110:K121">I110+J110</f>
        <v>0</v>
      </c>
    </row>
    <row r="111" spans="1:11" ht="12" customHeight="1">
      <c r="A111" s="578" t="s">
        <v>115</v>
      </c>
      <c r="B111" s="545" t="s">
        <v>191</v>
      </c>
      <c r="C111" s="500"/>
      <c r="D111" s="500"/>
      <c r="E111" s="497">
        <f t="shared" si="24"/>
        <v>0</v>
      </c>
      <c r="F111" s="500"/>
      <c r="G111" s="497">
        <f t="shared" si="25"/>
        <v>0</v>
      </c>
      <c r="H111" s="500"/>
      <c r="I111" s="497">
        <f t="shared" si="26"/>
        <v>0</v>
      </c>
      <c r="J111" s="500"/>
      <c r="K111" s="497">
        <f t="shared" si="27"/>
        <v>0</v>
      </c>
    </row>
    <row r="112" spans="1:11" ht="12" customHeight="1">
      <c r="A112" s="578" t="s">
        <v>116</v>
      </c>
      <c r="B112" s="545" t="s">
        <v>390</v>
      </c>
      <c r="C112" s="546"/>
      <c r="D112" s="546"/>
      <c r="E112" s="497">
        <f t="shared" si="24"/>
        <v>0</v>
      </c>
      <c r="F112" s="546"/>
      <c r="G112" s="497">
        <f t="shared" si="25"/>
        <v>0</v>
      </c>
      <c r="H112" s="546"/>
      <c r="I112" s="497">
        <f t="shared" si="26"/>
        <v>0</v>
      </c>
      <c r="J112" s="546"/>
      <c r="K112" s="497">
        <f t="shared" si="27"/>
        <v>0</v>
      </c>
    </row>
    <row r="113" spans="1:11" ht="12" customHeight="1">
      <c r="A113" s="578" t="s">
        <v>117</v>
      </c>
      <c r="B113" s="547" t="s">
        <v>236</v>
      </c>
      <c r="C113" s="546"/>
      <c r="D113" s="546">
        <v>1400000</v>
      </c>
      <c r="E113" s="497">
        <f t="shared" si="24"/>
        <v>1400000</v>
      </c>
      <c r="F113" s="546">
        <v>0</v>
      </c>
      <c r="G113" s="497">
        <f t="shared" si="25"/>
        <v>1400000</v>
      </c>
      <c r="H113" s="546">
        <v>0</v>
      </c>
      <c r="I113" s="497">
        <f t="shared" si="26"/>
        <v>1400000</v>
      </c>
      <c r="J113" s="546"/>
      <c r="K113" s="497">
        <f t="shared" si="27"/>
        <v>1400000</v>
      </c>
    </row>
    <row r="114" spans="1:11" ht="12" customHeight="1">
      <c r="A114" s="578" t="s">
        <v>126</v>
      </c>
      <c r="B114" s="548" t="s">
        <v>499</v>
      </c>
      <c r="C114" s="546"/>
      <c r="D114" s="546"/>
      <c r="E114" s="497">
        <f t="shared" si="24"/>
        <v>0</v>
      </c>
      <c r="F114" s="546"/>
      <c r="G114" s="497">
        <f t="shared" si="25"/>
        <v>0</v>
      </c>
      <c r="H114" s="546"/>
      <c r="I114" s="497">
        <f t="shared" si="26"/>
        <v>0</v>
      </c>
      <c r="J114" s="546"/>
      <c r="K114" s="497">
        <f t="shared" si="27"/>
        <v>0</v>
      </c>
    </row>
    <row r="115" spans="1:11" ht="12" customHeight="1">
      <c r="A115" s="578" t="s">
        <v>128</v>
      </c>
      <c r="B115" s="549" t="s">
        <v>395</v>
      </c>
      <c r="C115" s="546"/>
      <c r="D115" s="546"/>
      <c r="E115" s="497">
        <f t="shared" si="24"/>
        <v>0</v>
      </c>
      <c r="F115" s="546"/>
      <c r="G115" s="497">
        <f t="shared" si="25"/>
        <v>0</v>
      </c>
      <c r="H115" s="546"/>
      <c r="I115" s="497">
        <f t="shared" si="26"/>
        <v>0</v>
      </c>
      <c r="J115" s="546"/>
      <c r="K115" s="497">
        <f t="shared" si="27"/>
        <v>0</v>
      </c>
    </row>
    <row r="116" spans="1:11" ht="12" customHeight="1">
      <c r="A116" s="578" t="s">
        <v>192</v>
      </c>
      <c r="B116" s="538" t="s">
        <v>378</v>
      </c>
      <c r="C116" s="546"/>
      <c r="D116" s="546"/>
      <c r="E116" s="497">
        <f t="shared" si="24"/>
        <v>0</v>
      </c>
      <c r="F116" s="546"/>
      <c r="G116" s="497">
        <f t="shared" si="25"/>
        <v>0</v>
      </c>
      <c r="H116" s="546"/>
      <c r="I116" s="497">
        <f t="shared" si="26"/>
        <v>0</v>
      </c>
      <c r="J116" s="546"/>
      <c r="K116" s="497">
        <f t="shared" si="27"/>
        <v>0</v>
      </c>
    </row>
    <row r="117" spans="1:11" ht="12" customHeight="1">
      <c r="A117" s="578" t="s">
        <v>193</v>
      </c>
      <c r="B117" s="538" t="s">
        <v>394</v>
      </c>
      <c r="C117" s="546"/>
      <c r="D117" s="546"/>
      <c r="E117" s="497">
        <f t="shared" si="24"/>
        <v>0</v>
      </c>
      <c r="F117" s="546"/>
      <c r="G117" s="497">
        <f t="shared" si="25"/>
        <v>0</v>
      </c>
      <c r="H117" s="546"/>
      <c r="I117" s="497">
        <f t="shared" si="26"/>
        <v>0</v>
      </c>
      <c r="J117" s="546"/>
      <c r="K117" s="497">
        <f t="shared" si="27"/>
        <v>0</v>
      </c>
    </row>
    <row r="118" spans="1:11" ht="12" customHeight="1">
      <c r="A118" s="578" t="s">
        <v>194</v>
      </c>
      <c r="B118" s="538" t="s">
        <v>393</v>
      </c>
      <c r="C118" s="546"/>
      <c r="D118" s="546"/>
      <c r="E118" s="497">
        <f t="shared" si="24"/>
        <v>0</v>
      </c>
      <c r="F118" s="546"/>
      <c r="G118" s="497">
        <f t="shared" si="25"/>
        <v>0</v>
      </c>
      <c r="H118" s="546"/>
      <c r="I118" s="497">
        <f t="shared" si="26"/>
        <v>0</v>
      </c>
      <c r="J118" s="546"/>
      <c r="K118" s="497">
        <f t="shared" si="27"/>
        <v>0</v>
      </c>
    </row>
    <row r="119" spans="1:11" ht="12" customHeight="1">
      <c r="A119" s="578" t="s">
        <v>386</v>
      </c>
      <c r="B119" s="538" t="s">
        <v>381</v>
      </c>
      <c r="C119" s="546"/>
      <c r="D119" s="546"/>
      <c r="E119" s="497">
        <f t="shared" si="24"/>
        <v>0</v>
      </c>
      <c r="F119" s="546"/>
      <c r="G119" s="497">
        <f t="shared" si="25"/>
        <v>0</v>
      </c>
      <c r="H119" s="546"/>
      <c r="I119" s="497">
        <f t="shared" si="26"/>
        <v>0</v>
      </c>
      <c r="J119" s="546"/>
      <c r="K119" s="497">
        <f t="shared" si="27"/>
        <v>0</v>
      </c>
    </row>
    <row r="120" spans="1:11" ht="12" customHeight="1">
      <c r="A120" s="578" t="s">
        <v>387</v>
      </c>
      <c r="B120" s="538" t="s">
        <v>392</v>
      </c>
      <c r="C120" s="546"/>
      <c r="D120" s="546"/>
      <c r="E120" s="497">
        <f t="shared" si="24"/>
        <v>0</v>
      </c>
      <c r="F120" s="546"/>
      <c r="G120" s="497">
        <f t="shared" si="25"/>
        <v>0</v>
      </c>
      <c r="H120" s="546"/>
      <c r="I120" s="497">
        <f t="shared" si="26"/>
        <v>0</v>
      </c>
      <c r="J120" s="546"/>
      <c r="K120" s="497">
        <f t="shared" si="27"/>
        <v>0</v>
      </c>
    </row>
    <row r="121" spans="1:11" ht="12" customHeight="1" thickBot="1">
      <c r="A121" s="599" t="s">
        <v>388</v>
      </c>
      <c r="B121" s="538" t="s">
        <v>391</v>
      </c>
      <c r="C121" s="550"/>
      <c r="D121" s="550">
        <v>1400000</v>
      </c>
      <c r="E121" s="497">
        <f t="shared" si="24"/>
        <v>1400000</v>
      </c>
      <c r="F121" s="550">
        <v>0</v>
      </c>
      <c r="G121" s="497">
        <f t="shared" si="25"/>
        <v>1400000</v>
      </c>
      <c r="H121" s="550">
        <v>0</v>
      </c>
      <c r="I121" s="497">
        <f t="shared" si="26"/>
        <v>1400000</v>
      </c>
      <c r="J121" s="550"/>
      <c r="K121" s="497">
        <f t="shared" si="27"/>
        <v>1400000</v>
      </c>
    </row>
    <row r="122" spans="1:11" ht="12" customHeight="1" thickBot="1">
      <c r="A122" s="523" t="s">
        <v>22</v>
      </c>
      <c r="B122" s="551" t="s">
        <v>396</v>
      </c>
      <c r="C122" s="493">
        <f aca="true" t="shared" si="28" ref="C122:I122">+C123+C124</f>
        <v>0</v>
      </c>
      <c r="D122" s="493">
        <f t="shared" si="28"/>
        <v>0</v>
      </c>
      <c r="E122" s="493">
        <f t="shared" si="28"/>
        <v>0</v>
      </c>
      <c r="F122" s="493">
        <f t="shared" si="28"/>
        <v>0</v>
      </c>
      <c r="G122" s="493">
        <f t="shared" si="28"/>
        <v>0</v>
      </c>
      <c r="H122" s="493">
        <f t="shared" si="28"/>
        <v>0</v>
      </c>
      <c r="I122" s="493">
        <f t="shared" si="28"/>
        <v>0</v>
      </c>
      <c r="J122" s="493">
        <f>+J123+J124</f>
        <v>0</v>
      </c>
      <c r="K122" s="493">
        <f>+K123+K124</f>
        <v>0</v>
      </c>
    </row>
    <row r="123" spans="1:11" ht="12" customHeight="1">
      <c r="A123" s="578" t="s">
        <v>96</v>
      </c>
      <c r="B123" s="552" t="s">
        <v>63</v>
      </c>
      <c r="C123" s="497"/>
      <c r="D123" s="497"/>
      <c r="E123" s="497">
        <v>0</v>
      </c>
      <c r="F123" s="497"/>
      <c r="G123" s="497">
        <v>0</v>
      </c>
      <c r="H123" s="497"/>
      <c r="I123" s="497">
        <v>0</v>
      </c>
      <c r="J123" s="497"/>
      <c r="K123" s="497">
        <f>I123+J123</f>
        <v>0</v>
      </c>
    </row>
    <row r="124" spans="1:11" ht="12" customHeight="1" thickBot="1">
      <c r="A124" s="583" t="s">
        <v>97</v>
      </c>
      <c r="B124" s="545" t="s">
        <v>64</v>
      </c>
      <c r="C124" s="504"/>
      <c r="D124" s="504"/>
      <c r="E124" s="504"/>
      <c r="F124" s="504"/>
      <c r="G124" s="504"/>
      <c r="H124" s="504"/>
      <c r="I124" s="504"/>
      <c r="J124" s="504"/>
      <c r="K124" s="504"/>
    </row>
    <row r="125" spans="1:11" ht="12" customHeight="1" thickBot="1">
      <c r="A125" s="523" t="s">
        <v>23</v>
      </c>
      <c r="B125" s="551" t="s">
        <v>397</v>
      </c>
      <c r="C125" s="493">
        <f aca="true" t="shared" si="29" ref="C125:I125">+C92+C108+C122</f>
        <v>0</v>
      </c>
      <c r="D125" s="493">
        <f t="shared" si="29"/>
        <v>11861300</v>
      </c>
      <c r="E125" s="493">
        <f t="shared" si="29"/>
        <v>11861300</v>
      </c>
      <c r="F125" s="493">
        <f t="shared" si="29"/>
        <v>870000</v>
      </c>
      <c r="G125" s="493">
        <f t="shared" si="29"/>
        <v>12731300</v>
      </c>
      <c r="H125" s="493">
        <f t="shared" si="29"/>
        <v>270000</v>
      </c>
      <c r="I125" s="493">
        <f t="shared" si="29"/>
        <v>13001300</v>
      </c>
      <c r="J125" s="493">
        <f>+J92+J108+J122</f>
        <v>270000</v>
      </c>
      <c r="K125" s="493">
        <f>+K92+K108+K122</f>
        <v>13271300</v>
      </c>
    </row>
    <row r="126" spans="1:11" ht="12" customHeight="1" thickBot="1">
      <c r="A126" s="523" t="s">
        <v>24</v>
      </c>
      <c r="B126" s="551" t="s">
        <v>398</v>
      </c>
      <c r="C126" s="493">
        <f aca="true" t="shared" si="30" ref="C126:I126">+C127+C128+C129</f>
        <v>0</v>
      </c>
      <c r="D126" s="493">
        <f t="shared" si="30"/>
        <v>0</v>
      </c>
      <c r="E126" s="493">
        <f t="shared" si="30"/>
        <v>0</v>
      </c>
      <c r="F126" s="493">
        <f t="shared" si="30"/>
        <v>0</v>
      </c>
      <c r="G126" s="493">
        <f t="shared" si="30"/>
        <v>0</v>
      </c>
      <c r="H126" s="493">
        <f t="shared" si="30"/>
        <v>0</v>
      </c>
      <c r="I126" s="493">
        <f t="shared" si="30"/>
        <v>0</v>
      </c>
      <c r="J126" s="493">
        <f>+J127+J128+J129</f>
        <v>0</v>
      </c>
      <c r="K126" s="493">
        <f>+K127+K128+K129</f>
        <v>0</v>
      </c>
    </row>
    <row r="127" spans="1:11" s="597" customFormat="1" ht="12" customHeight="1">
      <c r="A127" s="578" t="s">
        <v>100</v>
      </c>
      <c r="B127" s="552" t="s">
        <v>399</v>
      </c>
      <c r="C127" s="546"/>
      <c r="D127" s="546"/>
      <c r="E127" s="546"/>
      <c r="F127" s="546"/>
      <c r="G127" s="546"/>
      <c r="H127" s="546"/>
      <c r="I127" s="546"/>
      <c r="J127" s="546"/>
      <c r="K127" s="546"/>
    </row>
    <row r="128" spans="1:11" ht="12" customHeight="1">
      <c r="A128" s="578" t="s">
        <v>101</v>
      </c>
      <c r="B128" s="552" t="s">
        <v>400</v>
      </c>
      <c r="C128" s="546"/>
      <c r="D128" s="546"/>
      <c r="E128" s="546"/>
      <c r="F128" s="546"/>
      <c r="G128" s="546"/>
      <c r="H128" s="546"/>
      <c r="I128" s="546"/>
      <c r="J128" s="546"/>
      <c r="K128" s="546"/>
    </row>
    <row r="129" spans="1:11" ht="12" customHeight="1" thickBot="1">
      <c r="A129" s="599" t="s">
        <v>102</v>
      </c>
      <c r="B129" s="553" t="s">
        <v>401</v>
      </c>
      <c r="C129" s="546"/>
      <c r="D129" s="546"/>
      <c r="E129" s="546"/>
      <c r="F129" s="546"/>
      <c r="G129" s="546"/>
      <c r="H129" s="546"/>
      <c r="I129" s="546"/>
      <c r="J129" s="546"/>
      <c r="K129" s="546"/>
    </row>
    <row r="130" spans="1:11" ht="12" customHeight="1" thickBot="1">
      <c r="A130" s="523" t="s">
        <v>25</v>
      </c>
      <c r="B130" s="551" t="s">
        <v>458</v>
      </c>
      <c r="C130" s="493">
        <f aca="true" t="shared" si="31" ref="C130:I130">+C131+C132+C133+C134</f>
        <v>0</v>
      </c>
      <c r="D130" s="493">
        <f t="shared" si="31"/>
        <v>0</v>
      </c>
      <c r="E130" s="493">
        <f t="shared" si="31"/>
        <v>0</v>
      </c>
      <c r="F130" s="493">
        <f t="shared" si="31"/>
        <v>0</v>
      </c>
      <c r="G130" s="493">
        <f t="shared" si="31"/>
        <v>0</v>
      </c>
      <c r="H130" s="493">
        <f t="shared" si="31"/>
        <v>0</v>
      </c>
      <c r="I130" s="493">
        <f t="shared" si="31"/>
        <v>0</v>
      </c>
      <c r="J130" s="493">
        <f>+J131+J132+J133+J134</f>
        <v>0</v>
      </c>
      <c r="K130" s="493">
        <f>+K131+K132+K133+K134</f>
        <v>0</v>
      </c>
    </row>
    <row r="131" spans="1:11" ht="12" customHeight="1">
      <c r="A131" s="578" t="s">
        <v>103</v>
      </c>
      <c r="B131" s="552" t="s">
        <v>402</v>
      </c>
      <c r="C131" s="546"/>
      <c r="D131" s="546"/>
      <c r="E131" s="546"/>
      <c r="F131" s="546"/>
      <c r="G131" s="546"/>
      <c r="H131" s="546"/>
      <c r="I131" s="546"/>
      <c r="J131" s="546"/>
      <c r="K131" s="546"/>
    </row>
    <row r="132" spans="1:11" ht="12" customHeight="1">
      <c r="A132" s="578" t="s">
        <v>104</v>
      </c>
      <c r="B132" s="552" t="s">
        <v>403</v>
      </c>
      <c r="C132" s="546"/>
      <c r="D132" s="546"/>
      <c r="E132" s="546"/>
      <c r="F132" s="546"/>
      <c r="G132" s="546"/>
      <c r="H132" s="546"/>
      <c r="I132" s="546"/>
      <c r="J132" s="546"/>
      <c r="K132" s="546"/>
    </row>
    <row r="133" spans="1:11" ht="12" customHeight="1">
      <c r="A133" s="578" t="s">
        <v>305</v>
      </c>
      <c r="B133" s="552" t="s">
        <v>404</v>
      </c>
      <c r="C133" s="546"/>
      <c r="D133" s="546"/>
      <c r="E133" s="546"/>
      <c r="F133" s="546"/>
      <c r="G133" s="546"/>
      <c r="H133" s="546"/>
      <c r="I133" s="546"/>
      <c r="J133" s="546"/>
      <c r="K133" s="546"/>
    </row>
    <row r="134" spans="1:11" s="597" customFormat="1" ht="12" customHeight="1" thickBot="1">
      <c r="A134" s="599" t="s">
        <v>306</v>
      </c>
      <c r="B134" s="553" t="s">
        <v>405</v>
      </c>
      <c r="C134" s="546"/>
      <c r="D134" s="546"/>
      <c r="E134" s="546"/>
      <c r="F134" s="546"/>
      <c r="G134" s="546"/>
      <c r="H134" s="546"/>
      <c r="I134" s="546"/>
      <c r="J134" s="546"/>
      <c r="K134" s="546"/>
    </row>
    <row r="135" spans="1:17" ht="12" customHeight="1" thickBot="1">
      <c r="A135" s="523" t="s">
        <v>26</v>
      </c>
      <c r="B135" s="551" t="s">
        <v>406</v>
      </c>
      <c r="C135" s="505">
        <f aca="true" t="shared" si="32" ref="C135:I135">+C136+C137+C139+C140</f>
        <v>0</v>
      </c>
      <c r="D135" s="505">
        <f t="shared" si="32"/>
        <v>0</v>
      </c>
      <c r="E135" s="505">
        <f t="shared" si="32"/>
        <v>0</v>
      </c>
      <c r="F135" s="505">
        <f t="shared" si="32"/>
        <v>0</v>
      </c>
      <c r="G135" s="505">
        <f t="shared" si="32"/>
        <v>0</v>
      </c>
      <c r="H135" s="505">
        <f t="shared" si="32"/>
        <v>0</v>
      </c>
      <c r="I135" s="505">
        <f t="shared" si="32"/>
        <v>0</v>
      </c>
      <c r="J135" s="505">
        <f>+J136+J137+J138+J139</f>
        <v>0</v>
      </c>
      <c r="K135" s="505">
        <f>+K136+K137+K138+K139</f>
        <v>0</v>
      </c>
      <c r="L135" s="724"/>
      <c r="Q135" s="601"/>
    </row>
    <row r="136" spans="1:12" ht="12.75">
      <c r="A136" s="578" t="s">
        <v>105</v>
      </c>
      <c r="B136" s="552" t="s">
        <v>407</v>
      </c>
      <c r="C136" s="546"/>
      <c r="D136" s="546"/>
      <c r="E136" s="546"/>
      <c r="F136" s="546"/>
      <c r="G136" s="546"/>
      <c r="H136" s="546"/>
      <c r="I136" s="546"/>
      <c r="J136" s="546"/>
      <c r="K136" s="546"/>
      <c r="L136" s="724"/>
    </row>
    <row r="137" spans="1:12" ht="12" customHeight="1">
      <c r="A137" s="578" t="s">
        <v>106</v>
      </c>
      <c r="B137" s="552" t="s">
        <v>417</v>
      </c>
      <c r="C137" s="546"/>
      <c r="D137" s="546"/>
      <c r="E137" s="546">
        <f>C137+D137</f>
        <v>0</v>
      </c>
      <c r="F137" s="546"/>
      <c r="G137" s="546">
        <f>E137+F137</f>
        <v>0</v>
      </c>
      <c r="H137" s="546"/>
      <c r="I137" s="546">
        <f>G137+H137</f>
        <v>0</v>
      </c>
      <c r="J137" s="546"/>
      <c r="K137" s="546">
        <f>I137+J137</f>
        <v>0</v>
      </c>
      <c r="L137" s="724"/>
    </row>
    <row r="138" spans="1:15" s="597" customFormat="1" ht="12" customHeight="1" thickBot="1">
      <c r="A138" s="578" t="s">
        <v>318</v>
      </c>
      <c r="B138" s="696" t="s">
        <v>481</v>
      </c>
      <c r="C138" s="504"/>
      <c r="D138" s="504"/>
      <c r="E138" s="504">
        <f>C138+D138</f>
        <v>0</v>
      </c>
      <c r="F138" s="504"/>
      <c r="G138" s="504">
        <f>E138+F138</f>
        <v>0</v>
      </c>
      <c r="H138" s="504"/>
      <c r="I138" s="504">
        <f>G138+H138</f>
        <v>0</v>
      </c>
      <c r="J138" s="504"/>
      <c r="K138" s="504">
        <f>I138+J138</f>
        <v>0</v>
      </c>
      <c r="L138" s="725"/>
      <c r="M138" s="726"/>
      <c r="N138" s="726"/>
      <c r="O138" s="726"/>
    </row>
    <row r="139" spans="1:12" s="597" customFormat="1" ht="12" customHeight="1">
      <c r="A139" s="578" t="s">
        <v>319</v>
      </c>
      <c r="B139" s="552" t="s">
        <v>408</v>
      </c>
      <c r="C139" s="546"/>
      <c r="D139" s="546"/>
      <c r="E139" s="546"/>
      <c r="F139" s="546"/>
      <c r="G139" s="546"/>
      <c r="H139" s="546"/>
      <c r="I139" s="546"/>
      <c r="J139" s="546"/>
      <c r="K139" s="546"/>
      <c r="L139" s="727"/>
    </row>
    <row r="140" spans="1:12" s="597" customFormat="1" ht="12" customHeight="1" thickBot="1">
      <c r="A140" s="599" t="s">
        <v>605</v>
      </c>
      <c r="B140" s="553" t="s">
        <v>409</v>
      </c>
      <c r="C140" s="546"/>
      <c r="D140" s="546"/>
      <c r="E140" s="546"/>
      <c r="F140" s="546"/>
      <c r="G140" s="546"/>
      <c r="H140" s="546"/>
      <c r="I140" s="546"/>
      <c r="J140" s="546"/>
      <c r="K140" s="546"/>
      <c r="L140" s="727"/>
    </row>
    <row r="141" spans="1:11" s="597" customFormat="1" ht="12" customHeight="1" thickBot="1">
      <c r="A141" s="523" t="s">
        <v>27</v>
      </c>
      <c r="B141" s="551" t="s">
        <v>410</v>
      </c>
      <c r="C141" s="554">
        <f aca="true" t="shared" si="33" ref="C141:I141">+C142+C143+C144+C145</f>
        <v>0</v>
      </c>
      <c r="D141" s="554">
        <f t="shared" si="33"/>
        <v>0</v>
      </c>
      <c r="E141" s="554">
        <f t="shared" si="33"/>
        <v>0</v>
      </c>
      <c r="F141" s="554">
        <f t="shared" si="33"/>
        <v>0</v>
      </c>
      <c r="G141" s="554">
        <f t="shared" si="33"/>
        <v>0</v>
      </c>
      <c r="H141" s="554">
        <f t="shared" si="33"/>
        <v>0</v>
      </c>
      <c r="I141" s="554">
        <f t="shared" si="33"/>
        <v>0</v>
      </c>
      <c r="J141" s="554">
        <f>+J142+J143+J144+J145</f>
        <v>0</v>
      </c>
      <c r="K141" s="554">
        <f>+K142+K143+K144+K145</f>
        <v>0</v>
      </c>
    </row>
    <row r="142" spans="1:11" s="597" customFormat="1" ht="12" customHeight="1">
      <c r="A142" s="578" t="s">
        <v>185</v>
      </c>
      <c r="B142" s="552" t="s">
        <v>411</v>
      </c>
      <c r="C142" s="546"/>
      <c r="D142" s="546"/>
      <c r="E142" s="546"/>
      <c r="F142" s="546"/>
      <c r="G142" s="546"/>
      <c r="H142" s="546"/>
      <c r="I142" s="546"/>
      <c r="J142" s="546"/>
      <c r="K142" s="546"/>
    </row>
    <row r="143" spans="1:11" s="597" customFormat="1" ht="12" customHeight="1">
      <c r="A143" s="578" t="s">
        <v>186</v>
      </c>
      <c r="B143" s="552" t="s">
        <v>412</v>
      </c>
      <c r="C143" s="546"/>
      <c r="D143" s="546"/>
      <c r="E143" s="546"/>
      <c r="F143" s="546"/>
      <c r="G143" s="546"/>
      <c r="H143" s="546"/>
      <c r="I143" s="546"/>
      <c r="J143" s="546"/>
      <c r="K143" s="546"/>
    </row>
    <row r="144" spans="1:11" s="597" customFormat="1" ht="12" customHeight="1">
      <c r="A144" s="578" t="s">
        <v>235</v>
      </c>
      <c r="B144" s="552" t="s">
        <v>413</v>
      </c>
      <c r="C144" s="546"/>
      <c r="D144" s="546"/>
      <c r="E144" s="546"/>
      <c r="F144" s="546"/>
      <c r="G144" s="546"/>
      <c r="H144" s="546"/>
      <c r="I144" s="546"/>
      <c r="J144" s="546"/>
      <c r="K144" s="546"/>
    </row>
    <row r="145" spans="1:11" ht="12.75" customHeight="1" thickBot="1">
      <c r="A145" s="578" t="s">
        <v>321</v>
      </c>
      <c r="B145" s="552" t="s">
        <v>414</v>
      </c>
      <c r="C145" s="546"/>
      <c r="D145" s="546"/>
      <c r="E145" s="546"/>
      <c r="F145" s="546"/>
      <c r="G145" s="546"/>
      <c r="H145" s="546"/>
      <c r="I145" s="546"/>
      <c r="J145" s="546"/>
      <c r="K145" s="546"/>
    </row>
    <row r="146" spans="1:11" ht="12" customHeight="1" thickBot="1">
      <c r="A146" s="523" t="s">
        <v>28</v>
      </c>
      <c r="B146" s="551" t="s">
        <v>415</v>
      </c>
      <c r="C146" s="555">
        <f aca="true" t="shared" si="34" ref="C146:I146">+C126+C130+C135+C141</f>
        <v>0</v>
      </c>
      <c r="D146" s="555">
        <f t="shared" si="34"/>
        <v>0</v>
      </c>
      <c r="E146" s="555">
        <f t="shared" si="34"/>
        <v>0</v>
      </c>
      <c r="F146" s="555">
        <f t="shared" si="34"/>
        <v>0</v>
      </c>
      <c r="G146" s="555">
        <f t="shared" si="34"/>
        <v>0</v>
      </c>
      <c r="H146" s="555">
        <f t="shared" si="34"/>
        <v>0</v>
      </c>
      <c r="I146" s="555">
        <f t="shared" si="34"/>
        <v>0</v>
      </c>
      <c r="J146" s="555">
        <f>+J126+J130+J135+J141</f>
        <v>0</v>
      </c>
      <c r="K146" s="555">
        <f>+K126+K130+K135+K141</f>
        <v>0</v>
      </c>
    </row>
    <row r="147" spans="1:11" ht="15" customHeight="1" thickBot="1">
      <c r="A147" s="602" t="s">
        <v>29</v>
      </c>
      <c r="B147" s="559" t="s">
        <v>416</v>
      </c>
      <c r="C147" s="555">
        <f aca="true" t="shared" si="35" ref="C147:I147">+C125+C146</f>
        <v>0</v>
      </c>
      <c r="D147" s="555">
        <f t="shared" si="35"/>
        <v>11861300</v>
      </c>
      <c r="E147" s="555">
        <f t="shared" si="35"/>
        <v>11861300</v>
      </c>
      <c r="F147" s="555">
        <f t="shared" si="35"/>
        <v>870000</v>
      </c>
      <c r="G147" s="555">
        <f t="shared" si="35"/>
        <v>12731300</v>
      </c>
      <c r="H147" s="555">
        <f t="shared" si="35"/>
        <v>270000</v>
      </c>
      <c r="I147" s="555">
        <f t="shared" si="35"/>
        <v>13001300</v>
      </c>
      <c r="J147" s="555">
        <f>+J125+J146</f>
        <v>270000</v>
      </c>
      <c r="K147" s="555">
        <f>+K125+K146</f>
        <v>13271300</v>
      </c>
    </row>
    <row r="149" spans="1:11" ht="15" customHeight="1" hidden="1" thickBot="1">
      <c r="A149" s="603" t="s">
        <v>210</v>
      </c>
      <c r="B149" s="604"/>
      <c r="C149" s="605"/>
      <c r="D149" s="605">
        <v>0</v>
      </c>
      <c r="E149" s="605">
        <v>0</v>
      </c>
      <c r="F149" s="605">
        <v>0</v>
      </c>
      <c r="G149" s="605">
        <v>0</v>
      </c>
      <c r="H149" s="605">
        <v>0</v>
      </c>
      <c r="I149" s="605">
        <v>0</v>
      </c>
      <c r="J149" s="605"/>
      <c r="K149" s="605">
        <v>0</v>
      </c>
    </row>
    <row r="150" spans="1:11" ht="14.25" customHeight="1" hidden="1" thickBot="1">
      <c r="A150" s="603" t="s">
        <v>211</v>
      </c>
      <c r="B150" s="604"/>
      <c r="C150" s="605"/>
      <c r="D150" s="605">
        <v>0</v>
      </c>
      <c r="E150" s="605">
        <v>0</v>
      </c>
      <c r="F150" s="605">
        <v>0</v>
      </c>
      <c r="G150" s="605">
        <v>0</v>
      </c>
      <c r="H150" s="605">
        <v>0</v>
      </c>
      <c r="I150" s="605">
        <v>0</v>
      </c>
      <c r="J150" s="605"/>
      <c r="K150" s="605">
        <v>0</v>
      </c>
    </row>
  </sheetData>
  <sheetProtection formatCells="0"/>
  <mergeCells count="4">
    <mergeCell ref="B3:J3"/>
    <mergeCell ref="B4:J4"/>
    <mergeCell ref="B8:I8"/>
    <mergeCell ref="A91:K9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2" r:id="rId1"/>
  <rowBreaks count="1" manualBreakCount="1">
    <brk id="8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G115" sqref="G115"/>
    </sheetView>
  </sheetViews>
  <sheetFormatPr defaultColWidth="9.00390625" defaultRowHeight="12.75"/>
  <cols>
    <col min="1" max="1" width="19.50390625" style="342" customWidth="1"/>
    <col min="2" max="2" width="72.00390625" style="343" customWidth="1"/>
    <col min="3" max="3" width="25.00390625" style="344" customWidth="1"/>
    <col min="4" max="16384" width="9.375" style="3" customWidth="1"/>
  </cols>
  <sheetData>
    <row r="1" spans="1:3" s="2" customFormat="1" ht="16.5" customHeight="1" thickBot="1">
      <c r="A1" s="219"/>
      <c r="B1" s="221"/>
      <c r="C1" s="244" t="s">
        <v>569</v>
      </c>
    </row>
    <row r="2" spans="1:3" s="93" customFormat="1" ht="21" customHeight="1">
      <c r="A2" s="356" t="s">
        <v>68</v>
      </c>
      <c r="B2" s="306" t="s">
        <v>230</v>
      </c>
      <c r="C2" s="308" t="s">
        <v>55</v>
      </c>
    </row>
    <row r="3" spans="1:3" s="93" customFormat="1" ht="16.5" thickBot="1">
      <c r="A3" s="222" t="s">
        <v>207</v>
      </c>
      <c r="B3" s="307" t="s">
        <v>501</v>
      </c>
      <c r="C3" s="309">
        <v>4</v>
      </c>
    </row>
    <row r="4" spans="1:3" s="94" customFormat="1" ht="15.75" customHeight="1" thickBot="1">
      <c r="A4" s="223"/>
      <c r="B4" s="223"/>
      <c r="C4" s="224" t="s">
        <v>535</v>
      </c>
    </row>
    <row r="5" spans="1:3" ht="13.5" thickBot="1">
      <c r="A5" s="357" t="s">
        <v>209</v>
      </c>
      <c r="B5" s="225" t="s">
        <v>57</v>
      </c>
      <c r="C5" s="310" t="s">
        <v>58</v>
      </c>
    </row>
    <row r="6" spans="1:3" s="67" customFormat="1" ht="12.75" customHeight="1" thickBot="1">
      <c r="A6" s="198">
        <v>1</v>
      </c>
      <c r="B6" s="199">
        <v>2</v>
      </c>
      <c r="C6" s="200">
        <v>3</v>
      </c>
    </row>
    <row r="7" spans="1:3" s="67" customFormat="1" ht="15.75" customHeight="1" thickBot="1">
      <c r="A7" s="227"/>
      <c r="B7" s="228" t="s">
        <v>59</v>
      </c>
      <c r="C7" s="311"/>
    </row>
    <row r="8" spans="1:3" s="67" customFormat="1" ht="12" customHeight="1" thickBot="1">
      <c r="A8" s="32" t="s">
        <v>20</v>
      </c>
      <c r="B8" s="21" t="s">
        <v>261</v>
      </c>
      <c r="C8" s="286">
        <f>+C9+C10+C11+C12+C13+C14</f>
        <v>0</v>
      </c>
    </row>
    <row r="9" spans="1:3" s="95" customFormat="1" ht="12" customHeight="1">
      <c r="A9" s="382" t="s">
        <v>107</v>
      </c>
      <c r="B9" s="366" t="s">
        <v>262</v>
      </c>
      <c r="C9" s="289"/>
    </row>
    <row r="10" spans="1:3" s="96" customFormat="1" ht="12" customHeight="1">
      <c r="A10" s="383" t="s">
        <v>108</v>
      </c>
      <c r="B10" s="367" t="s">
        <v>263</v>
      </c>
      <c r="C10" s="288"/>
    </row>
    <row r="11" spans="1:3" s="96" customFormat="1" ht="12" customHeight="1">
      <c r="A11" s="383" t="s">
        <v>109</v>
      </c>
      <c r="B11" s="367" t="s">
        <v>264</v>
      </c>
      <c r="C11" s="288"/>
    </row>
    <row r="12" spans="1:3" s="96" customFormat="1" ht="12" customHeight="1">
      <c r="A12" s="383" t="s">
        <v>110</v>
      </c>
      <c r="B12" s="367" t="s">
        <v>265</v>
      </c>
      <c r="C12" s="288"/>
    </row>
    <row r="13" spans="1:3" s="96" customFormat="1" ht="12" customHeight="1">
      <c r="A13" s="383" t="s">
        <v>152</v>
      </c>
      <c r="B13" s="367" t="s">
        <v>533</v>
      </c>
      <c r="C13" s="410"/>
    </row>
    <row r="14" spans="1:3" s="95" customFormat="1" ht="12" customHeight="1" thickBot="1">
      <c r="A14" s="384" t="s">
        <v>111</v>
      </c>
      <c r="B14" s="368" t="s">
        <v>534</v>
      </c>
      <c r="C14" s="411"/>
    </row>
    <row r="15" spans="1:3" s="95" customFormat="1" ht="12" customHeight="1" thickBot="1">
      <c r="A15" s="32" t="s">
        <v>21</v>
      </c>
      <c r="B15" s="281" t="s">
        <v>268</v>
      </c>
      <c r="C15" s="286">
        <f>+C16+C17+C18+C19+C20</f>
        <v>0</v>
      </c>
    </row>
    <row r="16" spans="1:3" s="95" customFormat="1" ht="12" customHeight="1">
      <c r="A16" s="382" t="s">
        <v>113</v>
      </c>
      <c r="B16" s="366" t="s">
        <v>269</v>
      </c>
      <c r="C16" s="289"/>
    </row>
    <row r="17" spans="1:3" s="95" customFormat="1" ht="12" customHeight="1">
      <c r="A17" s="383" t="s">
        <v>114</v>
      </c>
      <c r="B17" s="367" t="s">
        <v>270</v>
      </c>
      <c r="C17" s="288"/>
    </row>
    <row r="18" spans="1:3" s="95" customFormat="1" ht="12" customHeight="1">
      <c r="A18" s="383" t="s">
        <v>115</v>
      </c>
      <c r="B18" s="367" t="s">
        <v>493</v>
      </c>
      <c r="C18" s="288"/>
    </row>
    <row r="19" spans="1:3" s="95" customFormat="1" ht="12" customHeight="1">
      <c r="A19" s="383" t="s">
        <v>116</v>
      </c>
      <c r="B19" s="367" t="s">
        <v>494</v>
      </c>
      <c r="C19" s="288"/>
    </row>
    <row r="20" spans="1:3" s="95" customFormat="1" ht="12" customHeight="1">
      <c r="A20" s="383" t="s">
        <v>117</v>
      </c>
      <c r="B20" s="367" t="s">
        <v>271</v>
      </c>
      <c r="C20" s="288"/>
    </row>
    <row r="21" spans="1:3" s="96" customFormat="1" ht="12" customHeight="1" thickBot="1">
      <c r="A21" s="384" t="s">
        <v>126</v>
      </c>
      <c r="B21" s="368" t="s">
        <v>272</v>
      </c>
      <c r="C21" s="290"/>
    </row>
    <row r="22" spans="1:3" s="96" customFormat="1" ht="12" customHeight="1" thickBot="1">
      <c r="A22" s="32" t="s">
        <v>22</v>
      </c>
      <c r="B22" s="21" t="s">
        <v>273</v>
      </c>
      <c r="C22" s="286">
        <f>+C23+C24+C25+C26+C27</f>
        <v>0</v>
      </c>
    </row>
    <row r="23" spans="1:3" s="96" customFormat="1" ht="12" customHeight="1">
      <c r="A23" s="382" t="s">
        <v>96</v>
      </c>
      <c r="B23" s="366" t="s">
        <v>274</v>
      </c>
      <c r="C23" s="289"/>
    </row>
    <row r="24" spans="1:3" s="95" customFormat="1" ht="12" customHeight="1">
      <c r="A24" s="383" t="s">
        <v>97</v>
      </c>
      <c r="B24" s="367" t="s">
        <v>275</v>
      </c>
      <c r="C24" s="288"/>
    </row>
    <row r="25" spans="1:3" s="96" customFormat="1" ht="12" customHeight="1">
      <c r="A25" s="383" t="s">
        <v>98</v>
      </c>
      <c r="B25" s="367" t="s">
        <v>495</v>
      </c>
      <c r="C25" s="288"/>
    </row>
    <row r="26" spans="1:3" s="96" customFormat="1" ht="12" customHeight="1">
      <c r="A26" s="383" t="s">
        <v>99</v>
      </c>
      <c r="B26" s="367" t="s">
        <v>496</v>
      </c>
      <c r="C26" s="288"/>
    </row>
    <row r="27" spans="1:3" s="96" customFormat="1" ht="12" customHeight="1">
      <c r="A27" s="383" t="s">
        <v>175</v>
      </c>
      <c r="B27" s="367" t="s">
        <v>276</v>
      </c>
      <c r="C27" s="288"/>
    </row>
    <row r="28" spans="1:3" s="96" customFormat="1" ht="12" customHeight="1" thickBot="1">
      <c r="A28" s="384" t="s">
        <v>176</v>
      </c>
      <c r="B28" s="368" t="s">
        <v>277</v>
      </c>
      <c r="C28" s="290"/>
    </row>
    <row r="29" spans="1:3" s="96" customFormat="1" ht="12" customHeight="1" thickBot="1">
      <c r="A29" s="32" t="s">
        <v>177</v>
      </c>
      <c r="B29" s="21" t="s">
        <v>278</v>
      </c>
      <c r="C29" s="292">
        <f>+C30+C33+C34+C35</f>
        <v>0</v>
      </c>
    </row>
    <row r="30" spans="1:3" s="96" customFormat="1" ht="12" customHeight="1">
      <c r="A30" s="382" t="s">
        <v>279</v>
      </c>
      <c r="B30" s="366" t="s">
        <v>285</v>
      </c>
      <c r="C30" s="361">
        <f>+C31+C32</f>
        <v>0</v>
      </c>
    </row>
    <row r="31" spans="1:3" s="96" customFormat="1" ht="12" customHeight="1">
      <c r="A31" s="383" t="s">
        <v>280</v>
      </c>
      <c r="B31" s="367" t="s">
        <v>286</v>
      </c>
      <c r="C31" s="288"/>
    </row>
    <row r="32" spans="1:3" s="96" customFormat="1" ht="12" customHeight="1">
      <c r="A32" s="383" t="s">
        <v>281</v>
      </c>
      <c r="B32" s="367" t="s">
        <v>287</v>
      </c>
      <c r="C32" s="288"/>
    </row>
    <row r="33" spans="1:3" s="96" customFormat="1" ht="12" customHeight="1">
      <c r="A33" s="383" t="s">
        <v>282</v>
      </c>
      <c r="B33" s="367" t="s">
        <v>288</v>
      </c>
      <c r="C33" s="288"/>
    </row>
    <row r="34" spans="1:3" s="96" customFormat="1" ht="12" customHeight="1">
      <c r="A34" s="383" t="s">
        <v>283</v>
      </c>
      <c r="B34" s="367" t="s">
        <v>289</v>
      </c>
      <c r="C34" s="288"/>
    </row>
    <row r="35" spans="1:3" s="96" customFormat="1" ht="12" customHeight="1" thickBot="1">
      <c r="A35" s="384" t="s">
        <v>284</v>
      </c>
      <c r="B35" s="368" t="s">
        <v>290</v>
      </c>
      <c r="C35" s="290"/>
    </row>
    <row r="36" spans="1:3" s="96" customFormat="1" ht="12" customHeight="1" thickBot="1">
      <c r="A36" s="32" t="s">
        <v>24</v>
      </c>
      <c r="B36" s="21" t="s">
        <v>291</v>
      </c>
      <c r="C36" s="286">
        <f>SUM(C37:C46)</f>
        <v>0</v>
      </c>
    </row>
    <row r="37" spans="1:3" s="96" customFormat="1" ht="12" customHeight="1">
      <c r="A37" s="382" t="s">
        <v>100</v>
      </c>
      <c r="B37" s="366" t="s">
        <v>294</v>
      </c>
      <c r="C37" s="289"/>
    </row>
    <row r="38" spans="1:3" s="96" customFormat="1" ht="12" customHeight="1">
      <c r="A38" s="383" t="s">
        <v>101</v>
      </c>
      <c r="B38" s="367" t="s">
        <v>295</v>
      </c>
      <c r="C38" s="288"/>
    </row>
    <row r="39" spans="1:3" s="96" customFormat="1" ht="12" customHeight="1">
      <c r="A39" s="383" t="s">
        <v>102</v>
      </c>
      <c r="B39" s="367" t="s">
        <v>296</v>
      </c>
      <c r="C39" s="288"/>
    </row>
    <row r="40" spans="1:3" s="96" customFormat="1" ht="12" customHeight="1">
      <c r="A40" s="383" t="s">
        <v>179</v>
      </c>
      <c r="B40" s="367" t="s">
        <v>297</v>
      </c>
      <c r="C40" s="288"/>
    </row>
    <row r="41" spans="1:3" s="96" customFormat="1" ht="12" customHeight="1">
      <c r="A41" s="383" t="s">
        <v>180</v>
      </c>
      <c r="B41" s="367" t="s">
        <v>298</v>
      </c>
      <c r="C41" s="288"/>
    </row>
    <row r="42" spans="1:3" s="96" customFormat="1" ht="12" customHeight="1">
      <c r="A42" s="383" t="s">
        <v>181</v>
      </c>
      <c r="B42" s="367" t="s">
        <v>299</v>
      </c>
      <c r="C42" s="288"/>
    </row>
    <row r="43" spans="1:3" s="96" customFormat="1" ht="12" customHeight="1">
      <c r="A43" s="383" t="s">
        <v>182</v>
      </c>
      <c r="B43" s="367" t="s">
        <v>300</v>
      </c>
      <c r="C43" s="288"/>
    </row>
    <row r="44" spans="1:3" s="96" customFormat="1" ht="12" customHeight="1">
      <c r="A44" s="383" t="s">
        <v>183</v>
      </c>
      <c r="B44" s="367" t="s">
        <v>301</v>
      </c>
      <c r="C44" s="288"/>
    </row>
    <row r="45" spans="1:3" s="96" customFormat="1" ht="12" customHeight="1">
      <c r="A45" s="383" t="s">
        <v>292</v>
      </c>
      <c r="B45" s="367" t="s">
        <v>302</v>
      </c>
      <c r="C45" s="291"/>
    </row>
    <row r="46" spans="1:3" s="96" customFormat="1" ht="12" customHeight="1" thickBot="1">
      <c r="A46" s="384" t="s">
        <v>293</v>
      </c>
      <c r="B46" s="368" t="s">
        <v>303</v>
      </c>
      <c r="C46" s="352"/>
    </row>
    <row r="47" spans="1:3" s="96" customFormat="1" ht="12" customHeight="1" thickBot="1">
      <c r="A47" s="32" t="s">
        <v>25</v>
      </c>
      <c r="B47" s="21" t="s">
        <v>304</v>
      </c>
      <c r="C47" s="286">
        <f>SUM(C48:C52)</f>
        <v>0</v>
      </c>
    </row>
    <row r="48" spans="1:3" s="96" customFormat="1" ht="12" customHeight="1">
      <c r="A48" s="382" t="s">
        <v>103</v>
      </c>
      <c r="B48" s="366" t="s">
        <v>308</v>
      </c>
      <c r="C48" s="412"/>
    </row>
    <row r="49" spans="1:3" s="96" customFormat="1" ht="12" customHeight="1">
      <c r="A49" s="383" t="s">
        <v>104</v>
      </c>
      <c r="B49" s="367" t="s">
        <v>309</v>
      </c>
      <c r="C49" s="291"/>
    </row>
    <row r="50" spans="1:3" s="96" customFormat="1" ht="12" customHeight="1">
      <c r="A50" s="383" t="s">
        <v>305</v>
      </c>
      <c r="B50" s="367" t="s">
        <v>310</v>
      </c>
      <c r="C50" s="291"/>
    </row>
    <row r="51" spans="1:3" s="96" customFormat="1" ht="12" customHeight="1">
      <c r="A51" s="383" t="s">
        <v>306</v>
      </c>
      <c r="B51" s="367" t="s">
        <v>311</v>
      </c>
      <c r="C51" s="291"/>
    </row>
    <row r="52" spans="1:3" s="96" customFormat="1" ht="12" customHeight="1" thickBot="1">
      <c r="A52" s="384" t="s">
        <v>307</v>
      </c>
      <c r="B52" s="368" t="s">
        <v>312</v>
      </c>
      <c r="C52" s="352"/>
    </row>
    <row r="53" spans="1:3" s="96" customFormat="1" ht="12" customHeight="1" thickBot="1">
      <c r="A53" s="32" t="s">
        <v>184</v>
      </c>
      <c r="B53" s="21" t="s">
        <v>313</v>
      </c>
      <c r="C53" s="286">
        <f>SUM(C54:C56)</f>
        <v>0</v>
      </c>
    </row>
    <row r="54" spans="1:3" s="96" customFormat="1" ht="12" customHeight="1">
      <c r="A54" s="382" t="s">
        <v>105</v>
      </c>
      <c r="B54" s="366" t="s">
        <v>314</v>
      </c>
      <c r="C54" s="289"/>
    </row>
    <row r="55" spans="1:3" s="96" customFormat="1" ht="12" customHeight="1">
      <c r="A55" s="383" t="s">
        <v>106</v>
      </c>
      <c r="B55" s="367" t="s">
        <v>497</v>
      </c>
      <c r="C55" s="288"/>
    </row>
    <row r="56" spans="1:3" s="96" customFormat="1" ht="12" customHeight="1">
      <c r="A56" s="383" t="s">
        <v>318</v>
      </c>
      <c r="B56" s="367" t="s">
        <v>316</v>
      </c>
      <c r="C56" s="288"/>
    </row>
    <row r="57" spans="1:3" s="96" customFormat="1" ht="12" customHeight="1" thickBot="1">
      <c r="A57" s="384" t="s">
        <v>319</v>
      </c>
      <c r="B57" s="368" t="s">
        <v>317</v>
      </c>
      <c r="C57" s="290"/>
    </row>
    <row r="58" spans="1:3" s="96" customFormat="1" ht="12" customHeight="1" thickBot="1">
      <c r="A58" s="32" t="s">
        <v>27</v>
      </c>
      <c r="B58" s="281" t="s">
        <v>320</v>
      </c>
      <c r="C58" s="286">
        <f>SUM(C59:C61)</f>
        <v>0</v>
      </c>
    </row>
    <row r="59" spans="1:3" s="96" customFormat="1" ht="12" customHeight="1">
      <c r="A59" s="382" t="s">
        <v>185</v>
      </c>
      <c r="B59" s="366" t="s">
        <v>322</v>
      </c>
      <c r="C59" s="291"/>
    </row>
    <row r="60" spans="1:3" s="96" customFormat="1" ht="12" customHeight="1">
      <c r="A60" s="383" t="s">
        <v>186</v>
      </c>
      <c r="B60" s="367" t="s">
        <v>498</v>
      </c>
      <c r="C60" s="291"/>
    </row>
    <row r="61" spans="1:3" s="96" customFormat="1" ht="12" customHeight="1">
      <c r="A61" s="383" t="s">
        <v>235</v>
      </c>
      <c r="B61" s="367" t="s">
        <v>323</v>
      </c>
      <c r="C61" s="291"/>
    </row>
    <row r="62" spans="1:3" s="96" customFormat="1" ht="12" customHeight="1" thickBot="1">
      <c r="A62" s="384" t="s">
        <v>321</v>
      </c>
      <c r="B62" s="368" t="s">
        <v>324</v>
      </c>
      <c r="C62" s="291"/>
    </row>
    <row r="63" spans="1:3" s="96" customFormat="1" ht="12" customHeight="1" thickBot="1">
      <c r="A63" s="32" t="s">
        <v>28</v>
      </c>
      <c r="B63" s="21" t="s">
        <v>325</v>
      </c>
      <c r="C63" s="292">
        <f>+C8+C15+C22+C29+C36+C47+C53+C58</f>
        <v>0</v>
      </c>
    </row>
    <row r="64" spans="1:3" s="96" customFormat="1" ht="12" customHeight="1" thickBot="1">
      <c r="A64" s="385" t="s">
        <v>459</v>
      </c>
      <c r="B64" s="281" t="s">
        <v>327</v>
      </c>
      <c r="C64" s="286">
        <f>SUM(C65:C67)</f>
        <v>0</v>
      </c>
    </row>
    <row r="65" spans="1:3" s="96" customFormat="1" ht="12" customHeight="1">
      <c r="A65" s="382" t="s">
        <v>360</v>
      </c>
      <c r="B65" s="366" t="s">
        <v>328</v>
      </c>
      <c r="C65" s="291"/>
    </row>
    <row r="66" spans="1:3" s="96" customFormat="1" ht="12" customHeight="1">
      <c r="A66" s="383" t="s">
        <v>369</v>
      </c>
      <c r="B66" s="367" t="s">
        <v>329</v>
      </c>
      <c r="C66" s="291"/>
    </row>
    <row r="67" spans="1:3" s="96" customFormat="1" ht="12" customHeight="1" thickBot="1">
      <c r="A67" s="384" t="s">
        <v>370</v>
      </c>
      <c r="B67" s="370" t="s">
        <v>330</v>
      </c>
      <c r="C67" s="291"/>
    </row>
    <row r="68" spans="1:3" s="96" customFormat="1" ht="12" customHeight="1" thickBot="1">
      <c r="A68" s="385" t="s">
        <v>331</v>
      </c>
      <c r="B68" s="281" t="s">
        <v>332</v>
      </c>
      <c r="C68" s="286">
        <f>SUM(C69:C72)</f>
        <v>0</v>
      </c>
    </row>
    <row r="69" spans="1:3" s="96" customFormat="1" ht="12" customHeight="1">
      <c r="A69" s="382" t="s">
        <v>153</v>
      </c>
      <c r="B69" s="366" t="s">
        <v>333</v>
      </c>
      <c r="C69" s="291"/>
    </row>
    <row r="70" spans="1:3" s="96" customFormat="1" ht="12" customHeight="1">
      <c r="A70" s="383" t="s">
        <v>154</v>
      </c>
      <c r="B70" s="367" t="s">
        <v>334</v>
      </c>
      <c r="C70" s="291"/>
    </row>
    <row r="71" spans="1:3" s="96" customFormat="1" ht="12" customHeight="1">
      <c r="A71" s="383" t="s">
        <v>361</v>
      </c>
      <c r="B71" s="367" t="s">
        <v>335</v>
      </c>
      <c r="C71" s="291"/>
    </row>
    <row r="72" spans="1:3" s="96" customFormat="1" ht="12" customHeight="1" thickBot="1">
      <c r="A72" s="384" t="s">
        <v>362</v>
      </c>
      <c r="B72" s="368" t="s">
        <v>336</v>
      </c>
      <c r="C72" s="291"/>
    </row>
    <row r="73" spans="1:3" s="96" customFormat="1" ht="12" customHeight="1" thickBot="1">
      <c r="A73" s="385" t="s">
        <v>337</v>
      </c>
      <c r="B73" s="281" t="s">
        <v>338</v>
      </c>
      <c r="C73" s="286">
        <f>SUM(C74:C75)</f>
        <v>0</v>
      </c>
    </row>
    <row r="74" spans="1:3" s="96" customFormat="1" ht="12" customHeight="1">
      <c r="A74" s="382" t="s">
        <v>363</v>
      </c>
      <c r="B74" s="366" t="s">
        <v>339</v>
      </c>
      <c r="C74" s="291"/>
    </row>
    <row r="75" spans="1:3" s="96" customFormat="1" ht="12" customHeight="1" thickBot="1">
      <c r="A75" s="384" t="s">
        <v>364</v>
      </c>
      <c r="B75" s="368" t="s">
        <v>340</v>
      </c>
      <c r="C75" s="291"/>
    </row>
    <row r="76" spans="1:3" s="95" customFormat="1" ht="12" customHeight="1" thickBot="1">
      <c r="A76" s="385" t="s">
        <v>341</v>
      </c>
      <c r="B76" s="281" t="s">
        <v>342</v>
      </c>
      <c r="C76" s="286">
        <f>SUM(C77:C79)</f>
        <v>0</v>
      </c>
    </row>
    <row r="77" spans="1:3" s="96" customFormat="1" ht="12" customHeight="1">
      <c r="A77" s="382" t="s">
        <v>365</v>
      </c>
      <c r="B77" s="366" t="s">
        <v>343</v>
      </c>
      <c r="C77" s="291"/>
    </row>
    <row r="78" spans="1:3" s="96" customFormat="1" ht="12" customHeight="1">
      <c r="A78" s="383" t="s">
        <v>366</v>
      </c>
      <c r="B78" s="367" t="s">
        <v>344</v>
      </c>
      <c r="C78" s="291"/>
    </row>
    <row r="79" spans="1:3" s="96" customFormat="1" ht="12" customHeight="1" thickBot="1">
      <c r="A79" s="384" t="s">
        <v>367</v>
      </c>
      <c r="B79" s="368" t="s">
        <v>345</v>
      </c>
      <c r="C79" s="291"/>
    </row>
    <row r="80" spans="1:3" s="96" customFormat="1" ht="12" customHeight="1" thickBot="1">
      <c r="A80" s="385" t="s">
        <v>346</v>
      </c>
      <c r="B80" s="281" t="s">
        <v>368</v>
      </c>
      <c r="C80" s="286">
        <f>SUM(C81:C84)</f>
        <v>0</v>
      </c>
    </row>
    <row r="81" spans="1:3" s="96" customFormat="1" ht="12" customHeight="1">
      <c r="A81" s="386" t="s">
        <v>347</v>
      </c>
      <c r="B81" s="366" t="s">
        <v>348</v>
      </c>
      <c r="C81" s="291"/>
    </row>
    <row r="82" spans="1:3" s="96" customFormat="1" ht="12" customHeight="1">
      <c r="A82" s="387" t="s">
        <v>349</v>
      </c>
      <c r="B82" s="367" t="s">
        <v>350</v>
      </c>
      <c r="C82" s="291"/>
    </row>
    <row r="83" spans="1:3" s="96" customFormat="1" ht="12" customHeight="1">
      <c r="A83" s="387" t="s">
        <v>351</v>
      </c>
      <c r="B83" s="367" t="s">
        <v>352</v>
      </c>
      <c r="C83" s="291"/>
    </row>
    <row r="84" spans="1:3" s="95" customFormat="1" ht="12" customHeight="1" thickBot="1">
      <c r="A84" s="388" t="s">
        <v>353</v>
      </c>
      <c r="B84" s="368" t="s">
        <v>354</v>
      </c>
      <c r="C84" s="291"/>
    </row>
    <row r="85" spans="1:3" s="95" customFormat="1" ht="12" customHeight="1" thickBot="1">
      <c r="A85" s="385" t="s">
        <v>355</v>
      </c>
      <c r="B85" s="281" t="s">
        <v>356</v>
      </c>
      <c r="C85" s="413"/>
    </row>
    <row r="86" spans="1:3" s="95" customFormat="1" ht="12" customHeight="1" thickBot="1">
      <c r="A86" s="385" t="s">
        <v>357</v>
      </c>
      <c r="B86" s="374" t="s">
        <v>358</v>
      </c>
      <c r="C86" s="292">
        <f>+C64+C68+C73+C76+C80+C85</f>
        <v>0</v>
      </c>
    </row>
    <row r="87" spans="1:3" s="95" customFormat="1" ht="12" customHeight="1" thickBot="1">
      <c r="A87" s="389" t="s">
        <v>371</v>
      </c>
      <c r="B87" s="376" t="s">
        <v>486</v>
      </c>
      <c r="C87" s="292">
        <f>+C63+C86</f>
        <v>0</v>
      </c>
    </row>
    <row r="88" spans="1:3" s="96" customFormat="1" ht="15" customHeight="1">
      <c r="A88" s="233"/>
      <c r="B88" s="234"/>
      <c r="C88" s="316"/>
    </row>
    <row r="89" spans="1:3" ht="13.5" thickBot="1">
      <c r="A89" s="390"/>
      <c r="B89" s="236"/>
      <c r="C89" s="317"/>
    </row>
    <row r="90" spans="1:3" s="67" customFormat="1" ht="16.5" customHeight="1" thickBot="1">
      <c r="A90" s="237"/>
      <c r="B90" s="238" t="s">
        <v>61</v>
      </c>
      <c r="C90" s="318"/>
    </row>
    <row r="91" spans="1:3" s="97" customFormat="1" ht="12" customHeight="1" thickBot="1">
      <c r="A91" s="358" t="s">
        <v>20</v>
      </c>
      <c r="B91" s="31" t="s">
        <v>374</v>
      </c>
      <c r="C91" s="285">
        <f>SUM(C92:C96)</f>
        <v>0</v>
      </c>
    </row>
    <row r="92" spans="1:3" ht="12" customHeight="1">
      <c r="A92" s="391" t="s">
        <v>107</v>
      </c>
      <c r="B92" s="10" t="s">
        <v>50</v>
      </c>
      <c r="C92" s="287"/>
    </row>
    <row r="93" spans="1:3" ht="12" customHeight="1">
      <c r="A93" s="383" t="s">
        <v>108</v>
      </c>
      <c r="B93" s="8" t="s">
        <v>187</v>
      </c>
      <c r="C93" s="288"/>
    </row>
    <row r="94" spans="1:3" ht="12" customHeight="1">
      <c r="A94" s="383" t="s">
        <v>109</v>
      </c>
      <c r="B94" s="8" t="s">
        <v>143</v>
      </c>
      <c r="C94" s="290"/>
    </row>
    <row r="95" spans="1:3" ht="12" customHeight="1">
      <c r="A95" s="383" t="s">
        <v>110</v>
      </c>
      <c r="B95" s="11" t="s">
        <v>188</v>
      </c>
      <c r="C95" s="290"/>
    </row>
    <row r="96" spans="1:3" ht="12" customHeight="1">
      <c r="A96" s="383" t="s">
        <v>121</v>
      </c>
      <c r="B96" s="19" t="s">
        <v>189</v>
      </c>
      <c r="C96" s="290"/>
    </row>
    <row r="97" spans="1:3" ht="12" customHeight="1">
      <c r="A97" s="383" t="s">
        <v>111</v>
      </c>
      <c r="B97" s="8" t="s">
        <v>375</v>
      </c>
      <c r="C97" s="290"/>
    </row>
    <row r="98" spans="1:3" ht="12" customHeight="1">
      <c r="A98" s="383" t="s">
        <v>112</v>
      </c>
      <c r="B98" s="133" t="s">
        <v>376</v>
      </c>
      <c r="C98" s="290"/>
    </row>
    <row r="99" spans="1:3" ht="12" customHeight="1">
      <c r="A99" s="383" t="s">
        <v>122</v>
      </c>
      <c r="B99" s="134" t="s">
        <v>377</v>
      </c>
      <c r="C99" s="290"/>
    </row>
    <row r="100" spans="1:3" ht="12" customHeight="1">
      <c r="A100" s="383" t="s">
        <v>123</v>
      </c>
      <c r="B100" s="134" t="s">
        <v>378</v>
      </c>
      <c r="C100" s="290"/>
    </row>
    <row r="101" spans="1:3" ht="12" customHeight="1">
      <c r="A101" s="383" t="s">
        <v>124</v>
      </c>
      <c r="B101" s="133" t="s">
        <v>379</v>
      </c>
      <c r="C101" s="290"/>
    </row>
    <row r="102" spans="1:3" ht="12" customHeight="1">
      <c r="A102" s="383" t="s">
        <v>125</v>
      </c>
      <c r="B102" s="133" t="s">
        <v>380</v>
      </c>
      <c r="C102" s="290"/>
    </row>
    <row r="103" spans="1:3" ht="12" customHeight="1">
      <c r="A103" s="383" t="s">
        <v>127</v>
      </c>
      <c r="B103" s="134" t="s">
        <v>381</v>
      </c>
      <c r="C103" s="290"/>
    </row>
    <row r="104" spans="1:3" ht="12" customHeight="1">
      <c r="A104" s="392" t="s">
        <v>190</v>
      </c>
      <c r="B104" s="135" t="s">
        <v>382</v>
      </c>
      <c r="C104" s="290"/>
    </row>
    <row r="105" spans="1:3" ht="12" customHeight="1">
      <c r="A105" s="383" t="s">
        <v>372</v>
      </c>
      <c r="B105" s="135" t="s">
        <v>383</v>
      </c>
      <c r="C105" s="290"/>
    </row>
    <row r="106" spans="1:3" ht="12" customHeight="1" thickBot="1">
      <c r="A106" s="393" t="s">
        <v>373</v>
      </c>
      <c r="B106" s="136" t="s">
        <v>384</v>
      </c>
      <c r="C106" s="294"/>
    </row>
    <row r="107" spans="1:3" ht="12" customHeight="1" thickBot="1">
      <c r="A107" s="32" t="s">
        <v>21</v>
      </c>
      <c r="B107" s="30" t="s">
        <v>385</v>
      </c>
      <c r="C107" s="286">
        <f>+C108+C110+C112</f>
        <v>0</v>
      </c>
    </row>
    <row r="108" spans="1:3" ht="12" customHeight="1">
      <c r="A108" s="382" t="s">
        <v>113</v>
      </c>
      <c r="B108" s="8" t="s">
        <v>234</v>
      </c>
      <c r="C108" s="289"/>
    </row>
    <row r="109" spans="1:3" ht="12" customHeight="1">
      <c r="A109" s="382" t="s">
        <v>114</v>
      </c>
      <c r="B109" s="12" t="s">
        <v>389</v>
      </c>
      <c r="C109" s="289"/>
    </row>
    <row r="110" spans="1:3" ht="12" customHeight="1">
      <c r="A110" s="382" t="s">
        <v>115</v>
      </c>
      <c r="B110" s="12" t="s">
        <v>191</v>
      </c>
      <c r="C110" s="288"/>
    </row>
    <row r="111" spans="1:3" ht="12" customHeight="1">
      <c r="A111" s="382" t="s">
        <v>116</v>
      </c>
      <c r="B111" s="12" t="s">
        <v>390</v>
      </c>
      <c r="C111" s="262"/>
    </row>
    <row r="112" spans="1:3" ht="12" customHeight="1">
      <c r="A112" s="382" t="s">
        <v>117</v>
      </c>
      <c r="B112" s="283" t="s">
        <v>236</v>
      </c>
      <c r="C112" s="262"/>
    </row>
    <row r="113" spans="1:3" ht="12" customHeight="1">
      <c r="A113" s="382" t="s">
        <v>126</v>
      </c>
      <c r="B113" s="282" t="s">
        <v>499</v>
      </c>
      <c r="C113" s="262"/>
    </row>
    <row r="114" spans="1:3" ht="12" customHeight="1">
      <c r="A114" s="382" t="s">
        <v>128</v>
      </c>
      <c r="B114" s="362" t="s">
        <v>395</v>
      </c>
      <c r="C114" s="262"/>
    </row>
    <row r="115" spans="1:3" ht="12" customHeight="1">
      <c r="A115" s="382" t="s">
        <v>192</v>
      </c>
      <c r="B115" s="134" t="s">
        <v>378</v>
      </c>
      <c r="C115" s="262"/>
    </row>
    <row r="116" spans="1:3" ht="12" customHeight="1">
      <c r="A116" s="382" t="s">
        <v>193</v>
      </c>
      <c r="B116" s="134" t="s">
        <v>394</v>
      </c>
      <c r="C116" s="262"/>
    </row>
    <row r="117" spans="1:3" ht="12" customHeight="1">
      <c r="A117" s="382" t="s">
        <v>194</v>
      </c>
      <c r="B117" s="134" t="s">
        <v>393</v>
      </c>
      <c r="C117" s="262"/>
    </row>
    <row r="118" spans="1:3" ht="12" customHeight="1">
      <c r="A118" s="382" t="s">
        <v>386</v>
      </c>
      <c r="B118" s="134" t="s">
        <v>381</v>
      </c>
      <c r="C118" s="262"/>
    </row>
    <row r="119" spans="1:3" ht="12" customHeight="1">
      <c r="A119" s="382" t="s">
        <v>387</v>
      </c>
      <c r="B119" s="134" t="s">
        <v>392</v>
      </c>
      <c r="C119" s="262"/>
    </row>
    <row r="120" spans="1:3" ht="12" customHeight="1" thickBot="1">
      <c r="A120" s="392" t="s">
        <v>388</v>
      </c>
      <c r="B120" s="134" t="s">
        <v>391</v>
      </c>
      <c r="C120" s="263"/>
    </row>
    <row r="121" spans="1:3" ht="12" customHeight="1" thickBot="1">
      <c r="A121" s="32" t="s">
        <v>22</v>
      </c>
      <c r="B121" s="119" t="s">
        <v>396</v>
      </c>
      <c r="C121" s="286">
        <f>+C122+C123</f>
        <v>0</v>
      </c>
    </row>
    <row r="122" spans="1:3" ht="12" customHeight="1">
      <c r="A122" s="382" t="s">
        <v>96</v>
      </c>
      <c r="B122" s="9" t="s">
        <v>63</v>
      </c>
      <c r="C122" s="289"/>
    </row>
    <row r="123" spans="1:3" ht="12" customHeight="1" thickBot="1">
      <c r="A123" s="384" t="s">
        <v>97</v>
      </c>
      <c r="B123" s="12" t="s">
        <v>64</v>
      </c>
      <c r="C123" s="290"/>
    </row>
    <row r="124" spans="1:3" ht="12" customHeight="1" thickBot="1">
      <c r="A124" s="32" t="s">
        <v>23</v>
      </c>
      <c r="B124" s="119" t="s">
        <v>397</v>
      </c>
      <c r="C124" s="286">
        <f>+C91+C107+C121</f>
        <v>0</v>
      </c>
    </row>
    <row r="125" spans="1:3" ht="12" customHeight="1" thickBot="1">
      <c r="A125" s="32" t="s">
        <v>24</v>
      </c>
      <c r="B125" s="119" t="s">
        <v>398</v>
      </c>
      <c r="C125" s="286">
        <f>+C126+C127+C128</f>
        <v>0</v>
      </c>
    </row>
    <row r="126" spans="1:3" s="97" customFormat="1" ht="12" customHeight="1">
      <c r="A126" s="382" t="s">
        <v>100</v>
      </c>
      <c r="B126" s="9" t="s">
        <v>399</v>
      </c>
      <c r="C126" s="262"/>
    </row>
    <row r="127" spans="1:3" ht="12" customHeight="1">
      <c r="A127" s="382" t="s">
        <v>101</v>
      </c>
      <c r="B127" s="9" t="s">
        <v>400</v>
      </c>
      <c r="C127" s="262"/>
    </row>
    <row r="128" spans="1:3" ht="12" customHeight="1" thickBot="1">
      <c r="A128" s="392" t="s">
        <v>102</v>
      </c>
      <c r="B128" s="7" t="s">
        <v>401</v>
      </c>
      <c r="C128" s="262"/>
    </row>
    <row r="129" spans="1:3" ht="12" customHeight="1" thickBot="1">
      <c r="A129" s="32" t="s">
        <v>25</v>
      </c>
      <c r="B129" s="119" t="s">
        <v>458</v>
      </c>
      <c r="C129" s="286">
        <f>+C130+C131+C132+C133</f>
        <v>0</v>
      </c>
    </row>
    <row r="130" spans="1:3" ht="12" customHeight="1">
      <c r="A130" s="382" t="s">
        <v>103</v>
      </c>
      <c r="B130" s="9" t="s">
        <v>402</v>
      </c>
      <c r="C130" s="262"/>
    </row>
    <row r="131" spans="1:3" ht="12" customHeight="1">
      <c r="A131" s="382" t="s">
        <v>104</v>
      </c>
      <c r="B131" s="9" t="s">
        <v>403</v>
      </c>
      <c r="C131" s="262"/>
    </row>
    <row r="132" spans="1:3" ht="12" customHeight="1">
      <c r="A132" s="382" t="s">
        <v>305</v>
      </c>
      <c r="B132" s="9" t="s">
        <v>404</v>
      </c>
      <c r="C132" s="262"/>
    </row>
    <row r="133" spans="1:3" s="97" customFormat="1" ht="12" customHeight="1" thickBot="1">
      <c r="A133" s="392" t="s">
        <v>306</v>
      </c>
      <c r="B133" s="7" t="s">
        <v>405</v>
      </c>
      <c r="C133" s="262"/>
    </row>
    <row r="134" spans="1:11" ht="12" customHeight="1" thickBot="1">
      <c r="A134" s="32" t="s">
        <v>26</v>
      </c>
      <c r="B134" s="119" t="s">
        <v>406</v>
      </c>
      <c r="C134" s="292">
        <f>+C135+C136+C137+C138</f>
        <v>0</v>
      </c>
      <c r="K134" s="245"/>
    </row>
    <row r="135" spans="1:3" ht="12.75">
      <c r="A135" s="382" t="s">
        <v>105</v>
      </c>
      <c r="B135" s="9" t="s">
        <v>407</v>
      </c>
      <c r="C135" s="262"/>
    </row>
    <row r="136" spans="1:3" ht="12" customHeight="1">
      <c r="A136" s="382" t="s">
        <v>106</v>
      </c>
      <c r="B136" s="9" t="s">
        <v>417</v>
      </c>
      <c r="C136" s="262"/>
    </row>
    <row r="137" spans="1:3" s="97" customFormat="1" ht="12" customHeight="1">
      <c r="A137" s="382" t="s">
        <v>318</v>
      </c>
      <c r="B137" s="9" t="s">
        <v>408</v>
      </c>
      <c r="C137" s="262"/>
    </row>
    <row r="138" spans="1:3" s="97" customFormat="1" ht="12" customHeight="1" thickBot="1">
      <c r="A138" s="392" t="s">
        <v>319</v>
      </c>
      <c r="B138" s="7" t="s">
        <v>409</v>
      </c>
      <c r="C138" s="262"/>
    </row>
    <row r="139" spans="1:3" s="97" customFormat="1" ht="12" customHeight="1" thickBot="1">
      <c r="A139" s="32" t="s">
        <v>27</v>
      </c>
      <c r="B139" s="119" t="s">
        <v>410</v>
      </c>
      <c r="C139" s="295">
        <f>+C140+C141+C142+C143</f>
        <v>0</v>
      </c>
    </row>
    <row r="140" spans="1:3" s="97" customFormat="1" ht="12" customHeight="1">
      <c r="A140" s="382" t="s">
        <v>185</v>
      </c>
      <c r="B140" s="9" t="s">
        <v>411</v>
      </c>
      <c r="C140" s="262"/>
    </row>
    <row r="141" spans="1:3" s="97" customFormat="1" ht="12" customHeight="1">
      <c r="A141" s="382" t="s">
        <v>186</v>
      </c>
      <c r="B141" s="9" t="s">
        <v>412</v>
      </c>
      <c r="C141" s="262"/>
    </row>
    <row r="142" spans="1:3" s="97" customFormat="1" ht="12" customHeight="1">
      <c r="A142" s="382" t="s">
        <v>235</v>
      </c>
      <c r="B142" s="9" t="s">
        <v>413</v>
      </c>
      <c r="C142" s="262"/>
    </row>
    <row r="143" spans="1:3" ht="12.75" customHeight="1" thickBot="1">
      <c r="A143" s="382" t="s">
        <v>321</v>
      </c>
      <c r="B143" s="9" t="s">
        <v>414</v>
      </c>
      <c r="C143" s="262"/>
    </row>
    <row r="144" spans="1:3" ht="12" customHeight="1" thickBot="1">
      <c r="A144" s="32" t="s">
        <v>28</v>
      </c>
      <c r="B144" s="119" t="s">
        <v>415</v>
      </c>
      <c r="C144" s="378">
        <f>+C125+C129+C134+C139</f>
        <v>0</v>
      </c>
    </row>
    <row r="145" spans="1:3" ht="15" customHeight="1" thickBot="1">
      <c r="A145" s="394" t="s">
        <v>29</v>
      </c>
      <c r="B145" s="332" t="s">
        <v>416</v>
      </c>
      <c r="C145" s="378">
        <f>+C124+C144</f>
        <v>0</v>
      </c>
    </row>
    <row r="146" spans="1:3" ht="13.5" thickBot="1">
      <c r="A146" s="339"/>
      <c r="B146" s="340"/>
      <c r="C146" s="341"/>
    </row>
    <row r="147" spans="1:3" ht="15" customHeight="1" thickBot="1">
      <c r="A147" s="242" t="s">
        <v>210</v>
      </c>
      <c r="B147" s="243"/>
      <c r="C147" s="118"/>
    </row>
    <row r="148" spans="1:3" ht="14.25" customHeight="1" thickBot="1">
      <c r="A148" s="242" t="s">
        <v>211</v>
      </c>
      <c r="B148" s="243"/>
      <c r="C14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O59"/>
  <sheetViews>
    <sheetView tabSelected="1" workbookViewId="0" topLeftCell="A1">
      <selection activeCell="C1" sqref="C1:O1"/>
    </sheetView>
  </sheetViews>
  <sheetFormatPr defaultColWidth="9.00390625" defaultRowHeight="12.75"/>
  <cols>
    <col min="1" max="1" width="13.875" style="680" customWidth="1"/>
    <col min="2" max="2" width="64.00390625" style="478" customWidth="1"/>
    <col min="3" max="3" width="14.875" style="478" customWidth="1"/>
    <col min="4" max="4" width="16.375" style="478" hidden="1" customWidth="1"/>
    <col min="5" max="5" width="15.625" style="478" hidden="1" customWidth="1"/>
    <col min="6" max="6" width="14.125" style="478" hidden="1" customWidth="1"/>
    <col min="7" max="7" width="13.875" style="478" hidden="1" customWidth="1"/>
    <col min="8" max="8" width="14.125" style="478" hidden="1" customWidth="1"/>
    <col min="9" max="9" width="13.875" style="478" hidden="1" customWidth="1"/>
    <col min="10" max="10" width="14.125" style="478" hidden="1" customWidth="1"/>
    <col min="11" max="11" width="13.875" style="478" hidden="1" customWidth="1"/>
    <col min="12" max="12" width="14.125" style="478" hidden="1" customWidth="1"/>
    <col min="13" max="13" width="13.875" style="478" customWidth="1"/>
    <col min="14" max="14" width="14.125" style="478" customWidth="1"/>
    <col min="15" max="15" width="13.875" style="478" customWidth="1"/>
    <col min="16" max="16384" width="9.375" style="478" customWidth="1"/>
  </cols>
  <sheetData>
    <row r="1" spans="3:15" ht="17.25" customHeight="1">
      <c r="C1" s="815" t="s">
        <v>622</v>
      </c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  <c r="O1" s="815"/>
    </row>
    <row r="2" spans="1:15" s="481" customFormat="1" ht="21" customHeight="1" thickBot="1">
      <c r="A2" s="479"/>
      <c r="B2" s="480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 t="s">
        <v>570</v>
      </c>
    </row>
    <row r="3" spans="1:15" s="563" customFormat="1" ht="33" customHeight="1">
      <c r="A3" s="561" t="s">
        <v>208</v>
      </c>
      <c r="B3" s="779" t="s">
        <v>507</v>
      </c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  <c r="N3" s="781"/>
      <c r="O3" s="682" t="s">
        <v>65</v>
      </c>
    </row>
    <row r="4" spans="1:15" s="563" customFormat="1" ht="24.75" thickBot="1">
      <c r="A4" s="683" t="s">
        <v>207</v>
      </c>
      <c r="B4" s="782" t="s">
        <v>464</v>
      </c>
      <c r="C4" s="783"/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4"/>
      <c r="O4" s="684" t="s">
        <v>55</v>
      </c>
    </row>
    <row r="5" spans="1:15" s="568" customFormat="1" ht="15.75" customHeight="1" thickBot="1">
      <c r="A5" s="566"/>
      <c r="B5" s="566"/>
      <c r="C5" s="567"/>
      <c r="D5" s="567"/>
      <c r="E5" s="567"/>
      <c r="F5" s="567"/>
      <c r="G5" s="567"/>
      <c r="H5" s="567"/>
      <c r="I5" s="567"/>
      <c r="J5" s="567"/>
      <c r="K5" s="567"/>
      <c r="L5" s="567"/>
      <c r="M5" s="567"/>
      <c r="N5" s="567"/>
      <c r="O5" s="567" t="s">
        <v>535</v>
      </c>
    </row>
    <row r="6" spans="1:15" ht="42.75" customHeight="1" thickBot="1">
      <c r="A6" s="569" t="s">
        <v>209</v>
      </c>
      <c r="B6" s="570" t="s">
        <v>57</v>
      </c>
      <c r="C6" s="571" t="s">
        <v>582</v>
      </c>
      <c r="D6" s="571" t="s">
        <v>594</v>
      </c>
      <c r="E6" s="571" t="s">
        <v>584</v>
      </c>
      <c r="F6" s="571" t="s">
        <v>597</v>
      </c>
      <c r="G6" s="571" t="s">
        <v>584</v>
      </c>
      <c r="H6" s="571" t="s">
        <v>601</v>
      </c>
      <c r="I6" s="571" t="s">
        <v>584</v>
      </c>
      <c r="J6" s="571" t="s">
        <v>604</v>
      </c>
      <c r="K6" s="571" t="s">
        <v>584</v>
      </c>
      <c r="L6" s="571" t="s">
        <v>610</v>
      </c>
      <c r="M6" s="571" t="s">
        <v>584</v>
      </c>
      <c r="N6" s="571" t="s">
        <v>620</v>
      </c>
      <c r="O6" s="571" t="s">
        <v>584</v>
      </c>
    </row>
    <row r="7" spans="1:15" s="575" customFormat="1" ht="12.75" customHeight="1" thickBot="1">
      <c r="A7" s="572">
        <v>1</v>
      </c>
      <c r="B7" s="573">
        <v>2</v>
      </c>
      <c r="C7" s="574">
        <v>3</v>
      </c>
      <c r="D7" s="574">
        <v>4</v>
      </c>
      <c r="E7" s="574">
        <v>4</v>
      </c>
      <c r="F7" s="574">
        <v>5</v>
      </c>
      <c r="G7" s="574">
        <v>4</v>
      </c>
      <c r="H7" s="574">
        <v>5</v>
      </c>
      <c r="I7" s="574">
        <v>4</v>
      </c>
      <c r="J7" s="574">
        <v>5</v>
      </c>
      <c r="K7" s="574">
        <v>4</v>
      </c>
      <c r="L7" s="574">
        <v>5</v>
      </c>
      <c r="M7" s="574">
        <v>4</v>
      </c>
      <c r="N7" s="574">
        <v>5</v>
      </c>
      <c r="O7" s="574">
        <v>6</v>
      </c>
    </row>
    <row r="8" spans="1:15" s="575" customFormat="1" ht="15.75" customHeight="1" thickBot="1">
      <c r="A8" s="576"/>
      <c r="B8" s="577" t="s">
        <v>59</v>
      </c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5"/>
      <c r="N8" s="685"/>
      <c r="O8" s="685"/>
    </row>
    <row r="9" spans="1:15" s="579" customFormat="1" ht="12" customHeight="1" thickBot="1">
      <c r="A9" s="572" t="s">
        <v>20</v>
      </c>
      <c r="B9" s="686" t="s">
        <v>465</v>
      </c>
      <c r="C9" s="669">
        <f aca="true" t="shared" si="0" ref="C9:O9">SUM(C10:C19)</f>
        <v>15113000</v>
      </c>
      <c r="D9" s="669">
        <f t="shared" si="0"/>
        <v>501000</v>
      </c>
      <c r="E9" s="669">
        <f t="shared" si="0"/>
        <v>15614000</v>
      </c>
      <c r="F9" s="669">
        <f t="shared" si="0"/>
        <v>1287000</v>
      </c>
      <c r="G9" s="669">
        <f t="shared" si="0"/>
        <v>16901000</v>
      </c>
      <c r="H9" s="669">
        <f t="shared" si="0"/>
        <v>594000</v>
      </c>
      <c r="I9" s="669">
        <f t="shared" si="0"/>
        <v>17495000</v>
      </c>
      <c r="J9" s="669">
        <f t="shared" si="0"/>
        <v>0</v>
      </c>
      <c r="K9" s="669">
        <f t="shared" si="0"/>
        <v>17495000</v>
      </c>
      <c r="L9" s="669">
        <f t="shared" si="0"/>
        <v>4690696</v>
      </c>
      <c r="M9" s="669">
        <f t="shared" si="0"/>
        <v>22185696</v>
      </c>
      <c r="N9" s="669">
        <f t="shared" si="0"/>
        <v>-9</v>
      </c>
      <c r="O9" s="669">
        <f t="shared" si="0"/>
        <v>22185687</v>
      </c>
    </row>
    <row r="10" spans="1:15" s="579" customFormat="1" ht="12" customHeight="1">
      <c r="A10" s="687" t="s">
        <v>107</v>
      </c>
      <c r="B10" s="530" t="s">
        <v>294</v>
      </c>
      <c r="C10" s="688"/>
      <c r="D10" s="688"/>
      <c r="E10" s="688"/>
      <c r="F10" s="688"/>
      <c r="G10" s="688"/>
      <c r="H10" s="688"/>
      <c r="I10" s="688"/>
      <c r="J10" s="688"/>
      <c r="K10" s="688"/>
      <c r="L10" s="688"/>
      <c r="M10" s="688"/>
      <c r="N10" s="688"/>
      <c r="O10" s="688"/>
    </row>
    <row r="11" spans="1:15" s="579" customFormat="1" ht="12" customHeight="1">
      <c r="A11" s="689" t="s">
        <v>108</v>
      </c>
      <c r="B11" s="533" t="s">
        <v>295</v>
      </c>
      <c r="C11" s="658"/>
      <c r="D11" s="658"/>
      <c r="E11" s="658"/>
      <c r="F11" s="658"/>
      <c r="G11" s="658"/>
      <c r="H11" s="658"/>
      <c r="I11" s="658">
        <f>G11+H11</f>
        <v>0</v>
      </c>
      <c r="J11" s="658"/>
      <c r="K11" s="658">
        <f>I11+J11</f>
        <v>0</v>
      </c>
      <c r="L11" s="658">
        <v>4971529</v>
      </c>
      <c r="M11" s="658">
        <f>K11+L11</f>
        <v>4971529</v>
      </c>
      <c r="N11" s="658">
        <v>-9</v>
      </c>
      <c r="O11" s="658">
        <f>M11+N11</f>
        <v>4971520</v>
      </c>
    </row>
    <row r="12" spans="1:15" s="579" customFormat="1" ht="12" customHeight="1">
      <c r="A12" s="689" t="s">
        <v>109</v>
      </c>
      <c r="B12" s="533" t="s">
        <v>296</v>
      </c>
      <c r="C12" s="658"/>
      <c r="D12" s="658"/>
      <c r="E12" s="658"/>
      <c r="F12" s="658"/>
      <c r="G12" s="658">
        <f>E12+F12</f>
        <v>0</v>
      </c>
      <c r="H12" s="658"/>
      <c r="I12" s="658">
        <f aca="true" t="shared" si="1" ref="I12:I19">G12+H12</f>
        <v>0</v>
      </c>
      <c r="J12" s="658"/>
      <c r="K12" s="658">
        <f aca="true" t="shared" si="2" ref="K12:K19">I12+J12</f>
        <v>0</v>
      </c>
      <c r="L12" s="658"/>
      <c r="M12" s="658">
        <f aca="true" t="shared" si="3" ref="M12:M19">K12+L12</f>
        <v>0</v>
      </c>
      <c r="N12" s="658"/>
      <c r="O12" s="658">
        <f aca="true" t="shared" si="4" ref="O12:O19">M12+N12</f>
        <v>0</v>
      </c>
    </row>
    <row r="13" spans="1:15" s="579" customFormat="1" ht="12" customHeight="1">
      <c r="A13" s="689" t="s">
        <v>110</v>
      </c>
      <c r="B13" s="533" t="s">
        <v>297</v>
      </c>
      <c r="C13" s="658"/>
      <c r="D13" s="658"/>
      <c r="E13" s="658"/>
      <c r="F13" s="658"/>
      <c r="G13" s="658">
        <f aca="true" t="shared" si="5" ref="G13:G19">E13+F13</f>
        <v>0</v>
      </c>
      <c r="H13" s="658"/>
      <c r="I13" s="658">
        <f t="shared" si="1"/>
        <v>0</v>
      </c>
      <c r="J13" s="658"/>
      <c r="K13" s="658">
        <f t="shared" si="2"/>
        <v>0</v>
      </c>
      <c r="L13" s="658"/>
      <c r="M13" s="658">
        <f t="shared" si="3"/>
        <v>0</v>
      </c>
      <c r="N13" s="658"/>
      <c r="O13" s="658">
        <f t="shared" si="4"/>
        <v>0</v>
      </c>
    </row>
    <row r="14" spans="1:15" s="579" customFormat="1" ht="12" customHeight="1">
      <c r="A14" s="689" t="s">
        <v>152</v>
      </c>
      <c r="B14" s="533" t="s">
        <v>298</v>
      </c>
      <c r="C14" s="658">
        <v>11900000</v>
      </c>
      <c r="D14" s="658"/>
      <c r="E14" s="658">
        <v>11900000</v>
      </c>
      <c r="F14" s="658"/>
      <c r="G14" s="658">
        <f t="shared" si="5"/>
        <v>11900000</v>
      </c>
      <c r="H14" s="658"/>
      <c r="I14" s="658">
        <f t="shared" si="1"/>
        <v>11900000</v>
      </c>
      <c r="J14" s="658"/>
      <c r="K14" s="658">
        <f t="shared" si="2"/>
        <v>11900000</v>
      </c>
      <c r="L14" s="658">
        <v>-3854199</v>
      </c>
      <c r="M14" s="658">
        <f t="shared" si="3"/>
        <v>8045801</v>
      </c>
      <c r="N14" s="658"/>
      <c r="O14" s="658">
        <f t="shared" si="4"/>
        <v>8045801</v>
      </c>
    </row>
    <row r="15" spans="1:15" s="579" customFormat="1" ht="12" customHeight="1">
      <c r="A15" s="689" t="s">
        <v>111</v>
      </c>
      <c r="B15" s="533" t="s">
        <v>466</v>
      </c>
      <c r="C15" s="658">
        <v>3213000</v>
      </c>
      <c r="D15" s="658"/>
      <c r="E15" s="658">
        <v>3213000</v>
      </c>
      <c r="F15" s="658"/>
      <c r="G15" s="658">
        <f t="shared" si="5"/>
        <v>3213000</v>
      </c>
      <c r="H15" s="658"/>
      <c r="I15" s="658">
        <f t="shared" si="1"/>
        <v>3213000</v>
      </c>
      <c r="J15" s="658"/>
      <c r="K15" s="658">
        <f t="shared" si="2"/>
        <v>3213000</v>
      </c>
      <c r="L15" s="658">
        <v>288175</v>
      </c>
      <c r="M15" s="658">
        <f t="shared" si="3"/>
        <v>3501175</v>
      </c>
      <c r="N15" s="658"/>
      <c r="O15" s="658">
        <f t="shared" si="4"/>
        <v>3501175</v>
      </c>
    </row>
    <row r="16" spans="1:15" s="579" customFormat="1" ht="12" customHeight="1">
      <c r="A16" s="689" t="s">
        <v>112</v>
      </c>
      <c r="B16" s="553" t="s">
        <v>467</v>
      </c>
      <c r="C16" s="658"/>
      <c r="D16" s="658">
        <v>378000</v>
      </c>
      <c r="E16" s="658">
        <v>378000</v>
      </c>
      <c r="F16" s="658">
        <f>366000+345000+197000</f>
        <v>908000</v>
      </c>
      <c r="G16" s="658">
        <f t="shared" si="5"/>
        <v>1286000</v>
      </c>
      <c r="H16" s="658">
        <v>594000</v>
      </c>
      <c r="I16" s="658">
        <f t="shared" si="1"/>
        <v>1880000</v>
      </c>
      <c r="J16" s="658"/>
      <c r="K16" s="658">
        <f t="shared" si="2"/>
        <v>1880000</v>
      </c>
      <c r="L16" s="658">
        <v>2048000</v>
      </c>
      <c r="M16" s="658">
        <f t="shared" si="3"/>
        <v>3928000</v>
      </c>
      <c r="N16" s="658"/>
      <c r="O16" s="658">
        <f t="shared" si="4"/>
        <v>3928000</v>
      </c>
    </row>
    <row r="17" spans="1:15" s="579" customFormat="1" ht="12" customHeight="1">
      <c r="A17" s="689" t="s">
        <v>122</v>
      </c>
      <c r="B17" s="533" t="s">
        <v>301</v>
      </c>
      <c r="C17" s="690"/>
      <c r="D17" s="690"/>
      <c r="E17" s="690"/>
      <c r="F17" s="690"/>
      <c r="G17" s="658">
        <f t="shared" si="5"/>
        <v>0</v>
      </c>
      <c r="H17" s="690"/>
      <c r="I17" s="658">
        <f t="shared" si="1"/>
        <v>0</v>
      </c>
      <c r="J17" s="690"/>
      <c r="K17" s="658">
        <f t="shared" si="2"/>
        <v>0</v>
      </c>
      <c r="L17" s="690"/>
      <c r="M17" s="658">
        <f t="shared" si="3"/>
        <v>0</v>
      </c>
      <c r="N17" s="690"/>
      <c r="O17" s="658">
        <f t="shared" si="4"/>
        <v>0</v>
      </c>
    </row>
    <row r="18" spans="1:15" s="581" customFormat="1" ht="12" customHeight="1">
      <c r="A18" s="689" t="s">
        <v>123</v>
      </c>
      <c r="B18" s="533" t="s">
        <v>302</v>
      </c>
      <c r="C18" s="658"/>
      <c r="D18" s="658"/>
      <c r="E18" s="658"/>
      <c r="F18" s="658"/>
      <c r="G18" s="658">
        <f t="shared" si="5"/>
        <v>0</v>
      </c>
      <c r="H18" s="658"/>
      <c r="I18" s="658">
        <f t="shared" si="1"/>
        <v>0</v>
      </c>
      <c r="J18" s="658"/>
      <c r="K18" s="658">
        <f t="shared" si="2"/>
        <v>0</v>
      </c>
      <c r="L18" s="658"/>
      <c r="M18" s="658">
        <f t="shared" si="3"/>
        <v>0</v>
      </c>
      <c r="N18" s="658"/>
      <c r="O18" s="658">
        <f t="shared" si="4"/>
        <v>0</v>
      </c>
    </row>
    <row r="19" spans="1:15" s="581" customFormat="1" ht="12" customHeight="1" thickBot="1">
      <c r="A19" s="689" t="s">
        <v>124</v>
      </c>
      <c r="B19" s="553" t="s">
        <v>303</v>
      </c>
      <c r="C19" s="665"/>
      <c r="D19" s="665">
        <v>123000</v>
      </c>
      <c r="E19" s="665">
        <v>123000</v>
      </c>
      <c r="F19" s="665">
        <f>92000+86000+201000</f>
        <v>379000</v>
      </c>
      <c r="G19" s="658">
        <f t="shared" si="5"/>
        <v>502000</v>
      </c>
      <c r="H19" s="665"/>
      <c r="I19" s="658">
        <f t="shared" si="1"/>
        <v>502000</v>
      </c>
      <c r="J19" s="665"/>
      <c r="K19" s="658">
        <f t="shared" si="2"/>
        <v>502000</v>
      </c>
      <c r="L19" s="665">
        <v>1237191</v>
      </c>
      <c r="M19" s="658">
        <f t="shared" si="3"/>
        <v>1739191</v>
      </c>
      <c r="N19" s="665"/>
      <c r="O19" s="658">
        <f t="shared" si="4"/>
        <v>1739191</v>
      </c>
    </row>
    <row r="20" spans="1:15" s="579" customFormat="1" ht="12" customHeight="1" thickBot="1">
      <c r="A20" s="572" t="s">
        <v>21</v>
      </c>
      <c r="B20" s="686" t="s">
        <v>468</v>
      </c>
      <c r="C20" s="669">
        <f aca="true" t="shared" si="6" ref="C20:O20">SUM(C21:C23)</f>
        <v>0</v>
      </c>
      <c r="D20" s="669">
        <f t="shared" si="6"/>
        <v>1154708</v>
      </c>
      <c r="E20" s="669">
        <f t="shared" si="6"/>
        <v>1154708</v>
      </c>
      <c r="F20" s="669">
        <f t="shared" si="6"/>
        <v>40375</v>
      </c>
      <c r="G20" s="669">
        <f t="shared" si="6"/>
        <v>1195083</v>
      </c>
      <c r="H20" s="669">
        <f t="shared" si="6"/>
        <v>1342643</v>
      </c>
      <c r="I20" s="669">
        <f t="shared" si="6"/>
        <v>2537726</v>
      </c>
      <c r="J20" s="669">
        <f t="shared" si="6"/>
        <v>155199</v>
      </c>
      <c r="K20" s="669">
        <f t="shared" si="6"/>
        <v>2692925</v>
      </c>
      <c r="L20" s="669">
        <f t="shared" si="6"/>
        <v>0</v>
      </c>
      <c r="M20" s="669">
        <f t="shared" si="6"/>
        <v>2692925</v>
      </c>
      <c r="N20" s="669">
        <f t="shared" si="6"/>
        <v>0</v>
      </c>
      <c r="O20" s="669">
        <f t="shared" si="6"/>
        <v>2692925</v>
      </c>
    </row>
    <row r="21" spans="1:15" s="581" customFormat="1" ht="12" customHeight="1">
      <c r="A21" s="689" t="s">
        <v>113</v>
      </c>
      <c r="B21" s="552" t="s">
        <v>269</v>
      </c>
      <c r="C21" s="658"/>
      <c r="D21" s="658"/>
      <c r="E21" s="658"/>
      <c r="F21" s="658"/>
      <c r="G21" s="658"/>
      <c r="H21" s="658"/>
      <c r="I21" s="658"/>
      <c r="J21" s="658"/>
      <c r="K21" s="658"/>
      <c r="L21" s="658"/>
      <c r="M21" s="658"/>
      <c r="N21" s="658"/>
      <c r="O21" s="658"/>
    </row>
    <row r="22" spans="1:15" s="581" customFormat="1" ht="12" customHeight="1">
      <c r="A22" s="689" t="s">
        <v>114</v>
      </c>
      <c r="B22" s="533" t="s">
        <v>469</v>
      </c>
      <c r="C22" s="658"/>
      <c r="D22" s="658"/>
      <c r="E22" s="658"/>
      <c r="F22" s="658"/>
      <c r="G22" s="658"/>
      <c r="H22" s="658"/>
      <c r="I22" s="658">
        <f>G22+H22</f>
        <v>0</v>
      </c>
      <c r="J22" s="658"/>
      <c r="K22" s="658">
        <f>I22+J22</f>
        <v>0</v>
      </c>
      <c r="L22" s="658"/>
      <c r="M22" s="658">
        <f>K22+L22</f>
        <v>0</v>
      </c>
      <c r="N22" s="658"/>
      <c r="O22" s="658">
        <f>M22+N22</f>
        <v>0</v>
      </c>
    </row>
    <row r="23" spans="1:15" s="581" customFormat="1" ht="12" customHeight="1">
      <c r="A23" s="689" t="s">
        <v>115</v>
      </c>
      <c r="B23" s="533" t="s">
        <v>470</v>
      </c>
      <c r="C23" s="658"/>
      <c r="D23" s="658">
        <v>1154708</v>
      </c>
      <c r="E23" s="658">
        <v>1154708</v>
      </c>
      <c r="F23" s="658">
        <v>40375</v>
      </c>
      <c r="G23" s="658">
        <f>E23+F23</f>
        <v>1195083</v>
      </c>
      <c r="H23" s="658">
        <v>1342643</v>
      </c>
      <c r="I23" s="658">
        <f>G23+H23</f>
        <v>2537726</v>
      </c>
      <c r="J23" s="658">
        <v>155199</v>
      </c>
      <c r="K23" s="658">
        <f>I23+J23</f>
        <v>2692925</v>
      </c>
      <c r="L23" s="658"/>
      <c r="M23" s="658">
        <f>K23+L23</f>
        <v>2692925</v>
      </c>
      <c r="N23" s="658"/>
      <c r="O23" s="658">
        <f>M23+N23</f>
        <v>2692925</v>
      </c>
    </row>
    <row r="24" spans="1:15" s="581" customFormat="1" ht="12" customHeight="1" thickBot="1">
      <c r="A24" s="689" t="s">
        <v>116</v>
      </c>
      <c r="B24" s="533" t="s">
        <v>2</v>
      </c>
      <c r="C24" s="658"/>
      <c r="D24" s="658"/>
      <c r="E24" s="658"/>
      <c r="F24" s="658"/>
      <c r="G24" s="658"/>
      <c r="H24" s="658"/>
      <c r="I24" s="658"/>
      <c r="J24" s="658"/>
      <c r="K24" s="658"/>
      <c r="L24" s="658"/>
      <c r="M24" s="658"/>
      <c r="N24" s="658"/>
      <c r="O24" s="658"/>
    </row>
    <row r="25" spans="1:15" s="581" customFormat="1" ht="12" customHeight="1" thickBot="1">
      <c r="A25" s="612" t="s">
        <v>22</v>
      </c>
      <c r="B25" s="551" t="s">
        <v>178</v>
      </c>
      <c r="C25" s="691"/>
      <c r="D25" s="691"/>
      <c r="E25" s="691"/>
      <c r="F25" s="691"/>
      <c r="G25" s="691"/>
      <c r="H25" s="691"/>
      <c r="I25" s="691"/>
      <c r="J25" s="691"/>
      <c r="K25" s="691"/>
      <c r="L25" s="691"/>
      <c r="M25" s="691"/>
      <c r="N25" s="691"/>
      <c r="O25" s="691"/>
    </row>
    <row r="26" spans="1:15" s="581" customFormat="1" ht="12" customHeight="1" thickBot="1">
      <c r="A26" s="612" t="s">
        <v>23</v>
      </c>
      <c r="B26" s="551" t="s">
        <v>471</v>
      </c>
      <c r="C26" s="669">
        <f aca="true" t="shared" si="7" ref="C26:O26">+C27+C28</f>
        <v>0</v>
      </c>
      <c r="D26" s="669">
        <f t="shared" si="7"/>
        <v>0</v>
      </c>
      <c r="E26" s="669">
        <f t="shared" si="7"/>
        <v>0</v>
      </c>
      <c r="F26" s="669">
        <f t="shared" si="7"/>
        <v>0</v>
      </c>
      <c r="G26" s="669">
        <f t="shared" si="7"/>
        <v>0</v>
      </c>
      <c r="H26" s="669">
        <f t="shared" si="7"/>
        <v>0</v>
      </c>
      <c r="I26" s="669">
        <f t="shared" si="7"/>
        <v>0</v>
      </c>
      <c r="J26" s="669">
        <f t="shared" si="7"/>
        <v>0</v>
      </c>
      <c r="K26" s="669">
        <f t="shared" si="7"/>
        <v>0</v>
      </c>
      <c r="L26" s="669">
        <f t="shared" si="7"/>
        <v>0</v>
      </c>
      <c r="M26" s="669">
        <f t="shared" si="7"/>
        <v>0</v>
      </c>
      <c r="N26" s="669">
        <f t="shared" si="7"/>
        <v>0</v>
      </c>
      <c r="O26" s="669">
        <f t="shared" si="7"/>
        <v>0</v>
      </c>
    </row>
    <row r="27" spans="1:15" s="581" customFormat="1" ht="12" customHeight="1">
      <c r="A27" s="692" t="s">
        <v>279</v>
      </c>
      <c r="B27" s="693" t="s">
        <v>469</v>
      </c>
      <c r="C27" s="625"/>
      <c r="D27" s="625"/>
      <c r="E27" s="625"/>
      <c r="F27" s="625"/>
      <c r="G27" s="625"/>
      <c r="H27" s="625"/>
      <c r="I27" s="625"/>
      <c r="J27" s="625"/>
      <c r="K27" s="625"/>
      <c r="L27" s="625"/>
      <c r="M27" s="625"/>
      <c r="N27" s="625"/>
      <c r="O27" s="625"/>
    </row>
    <row r="28" spans="1:15" s="581" customFormat="1" ht="12" customHeight="1">
      <c r="A28" s="692" t="s">
        <v>282</v>
      </c>
      <c r="B28" s="694" t="s">
        <v>472</v>
      </c>
      <c r="C28" s="674"/>
      <c r="D28" s="674"/>
      <c r="E28" s="674"/>
      <c r="F28" s="674"/>
      <c r="G28" s="674"/>
      <c r="H28" s="674"/>
      <c r="I28" s="674"/>
      <c r="J28" s="674"/>
      <c r="K28" s="674"/>
      <c r="L28" s="674"/>
      <c r="M28" s="674"/>
      <c r="N28" s="674"/>
      <c r="O28" s="674"/>
    </row>
    <row r="29" spans="1:15" s="581" customFormat="1" ht="12" customHeight="1" thickBot="1">
      <c r="A29" s="689" t="s">
        <v>283</v>
      </c>
      <c r="B29" s="695" t="s">
        <v>473</v>
      </c>
      <c r="C29" s="613"/>
      <c r="D29" s="613"/>
      <c r="E29" s="613"/>
      <c r="F29" s="613"/>
      <c r="G29" s="613"/>
      <c r="H29" s="613"/>
      <c r="I29" s="613"/>
      <c r="J29" s="613"/>
      <c r="K29" s="613"/>
      <c r="L29" s="613"/>
      <c r="M29" s="613"/>
      <c r="N29" s="613"/>
      <c r="O29" s="613"/>
    </row>
    <row r="30" spans="1:15" s="581" customFormat="1" ht="12" customHeight="1" thickBot="1">
      <c r="A30" s="612" t="s">
        <v>24</v>
      </c>
      <c r="B30" s="551" t="s">
        <v>474</v>
      </c>
      <c r="C30" s="669">
        <f aca="true" t="shared" si="8" ref="C30:O30">+C31+C32+C33</f>
        <v>0</v>
      </c>
      <c r="D30" s="669">
        <f t="shared" si="8"/>
        <v>0</v>
      </c>
      <c r="E30" s="669">
        <f t="shared" si="8"/>
        <v>0</v>
      </c>
      <c r="F30" s="669">
        <f t="shared" si="8"/>
        <v>0</v>
      </c>
      <c r="G30" s="669">
        <f t="shared" si="8"/>
        <v>0</v>
      </c>
      <c r="H30" s="669">
        <f t="shared" si="8"/>
        <v>0</v>
      </c>
      <c r="I30" s="669">
        <f t="shared" si="8"/>
        <v>0</v>
      </c>
      <c r="J30" s="669">
        <f t="shared" si="8"/>
        <v>0</v>
      </c>
      <c r="K30" s="669">
        <f t="shared" si="8"/>
        <v>0</v>
      </c>
      <c r="L30" s="669">
        <f t="shared" si="8"/>
        <v>0</v>
      </c>
      <c r="M30" s="669">
        <f t="shared" si="8"/>
        <v>0</v>
      </c>
      <c r="N30" s="669">
        <f t="shared" si="8"/>
        <v>0</v>
      </c>
      <c r="O30" s="669">
        <f t="shared" si="8"/>
        <v>0</v>
      </c>
    </row>
    <row r="31" spans="1:15" s="581" customFormat="1" ht="12" customHeight="1">
      <c r="A31" s="692" t="s">
        <v>100</v>
      </c>
      <c r="B31" s="693" t="s">
        <v>308</v>
      </c>
      <c r="C31" s="625"/>
      <c r="D31" s="625"/>
      <c r="E31" s="625"/>
      <c r="F31" s="625"/>
      <c r="G31" s="625"/>
      <c r="H31" s="625"/>
      <c r="I31" s="625"/>
      <c r="J31" s="625"/>
      <c r="K31" s="625"/>
      <c r="L31" s="625"/>
      <c r="M31" s="625"/>
      <c r="N31" s="625"/>
      <c r="O31" s="625"/>
    </row>
    <row r="32" spans="1:15" s="581" customFormat="1" ht="12" customHeight="1">
      <c r="A32" s="692" t="s">
        <v>101</v>
      </c>
      <c r="B32" s="694" t="s">
        <v>309</v>
      </c>
      <c r="C32" s="674"/>
      <c r="D32" s="674"/>
      <c r="E32" s="674"/>
      <c r="F32" s="674"/>
      <c r="G32" s="674"/>
      <c r="H32" s="674"/>
      <c r="I32" s="674"/>
      <c r="J32" s="674"/>
      <c r="K32" s="674"/>
      <c r="L32" s="674"/>
      <c r="M32" s="674"/>
      <c r="N32" s="674"/>
      <c r="O32" s="674"/>
    </row>
    <row r="33" spans="1:15" s="581" customFormat="1" ht="12" customHeight="1" thickBot="1">
      <c r="A33" s="689" t="s">
        <v>102</v>
      </c>
      <c r="B33" s="696" t="s">
        <v>310</v>
      </c>
      <c r="C33" s="613"/>
      <c r="D33" s="613"/>
      <c r="E33" s="613"/>
      <c r="F33" s="613"/>
      <c r="G33" s="613"/>
      <c r="H33" s="613"/>
      <c r="I33" s="613"/>
      <c r="J33" s="613"/>
      <c r="K33" s="613"/>
      <c r="L33" s="613"/>
      <c r="M33" s="613"/>
      <c r="N33" s="613"/>
      <c r="O33" s="613"/>
    </row>
    <row r="34" spans="1:15" s="579" customFormat="1" ht="12" customHeight="1" thickBot="1">
      <c r="A34" s="612" t="s">
        <v>25</v>
      </c>
      <c r="B34" s="551" t="s">
        <v>423</v>
      </c>
      <c r="C34" s="691"/>
      <c r="D34" s="691"/>
      <c r="E34" s="691"/>
      <c r="F34" s="691"/>
      <c r="G34" s="691"/>
      <c r="H34" s="691"/>
      <c r="I34" s="691"/>
      <c r="J34" s="691"/>
      <c r="K34" s="691"/>
      <c r="L34" s="691"/>
      <c r="M34" s="691"/>
      <c r="N34" s="691"/>
      <c r="O34" s="691"/>
    </row>
    <row r="35" spans="1:15" s="579" customFormat="1" ht="12" customHeight="1" thickBot="1">
      <c r="A35" s="612" t="s">
        <v>26</v>
      </c>
      <c r="B35" s="551" t="s">
        <v>475</v>
      </c>
      <c r="C35" s="697"/>
      <c r="D35" s="697"/>
      <c r="E35" s="697"/>
      <c r="F35" s="697"/>
      <c r="G35" s="697"/>
      <c r="H35" s="697"/>
      <c r="I35" s="697"/>
      <c r="J35" s="697"/>
      <c r="K35" s="697"/>
      <c r="L35" s="697"/>
      <c r="M35" s="697"/>
      <c r="N35" s="697"/>
      <c r="O35" s="697"/>
    </row>
    <row r="36" spans="1:15" s="579" customFormat="1" ht="12" customHeight="1" thickBot="1">
      <c r="A36" s="572" t="s">
        <v>27</v>
      </c>
      <c r="B36" s="551" t="s">
        <v>476</v>
      </c>
      <c r="C36" s="698">
        <f aca="true" t="shared" si="9" ref="C36:O36">+C9+C20+C25+C26+C30+C34+C35</f>
        <v>15113000</v>
      </c>
      <c r="D36" s="698">
        <f t="shared" si="9"/>
        <v>1655708</v>
      </c>
      <c r="E36" s="698">
        <f t="shared" si="9"/>
        <v>16768708</v>
      </c>
      <c r="F36" s="698">
        <f t="shared" si="9"/>
        <v>1327375</v>
      </c>
      <c r="G36" s="698">
        <f t="shared" si="9"/>
        <v>18096083</v>
      </c>
      <c r="H36" s="698">
        <f t="shared" si="9"/>
        <v>1936643</v>
      </c>
      <c r="I36" s="698">
        <f t="shared" si="9"/>
        <v>20032726</v>
      </c>
      <c r="J36" s="698">
        <f t="shared" si="9"/>
        <v>155199</v>
      </c>
      <c r="K36" s="698">
        <f t="shared" si="9"/>
        <v>20187925</v>
      </c>
      <c r="L36" s="698">
        <f t="shared" si="9"/>
        <v>4690696</v>
      </c>
      <c r="M36" s="698">
        <f t="shared" si="9"/>
        <v>24878621</v>
      </c>
      <c r="N36" s="698">
        <f t="shared" si="9"/>
        <v>-9</v>
      </c>
      <c r="O36" s="698">
        <f t="shared" si="9"/>
        <v>24878612</v>
      </c>
    </row>
    <row r="37" spans="1:15" s="579" customFormat="1" ht="12" customHeight="1" thickBot="1">
      <c r="A37" s="699" t="s">
        <v>28</v>
      </c>
      <c r="B37" s="551" t="s">
        <v>477</v>
      </c>
      <c r="C37" s="698">
        <f aca="true" t="shared" si="10" ref="C37:O37">+C38+C39+C40</f>
        <v>82849632</v>
      </c>
      <c r="D37" s="698">
        <f t="shared" si="10"/>
        <v>-130970</v>
      </c>
      <c r="E37" s="698">
        <f t="shared" si="10"/>
        <v>82718662</v>
      </c>
      <c r="F37" s="698">
        <f t="shared" si="10"/>
        <v>6722600</v>
      </c>
      <c r="G37" s="698">
        <f t="shared" si="10"/>
        <v>89441262</v>
      </c>
      <c r="H37" s="698">
        <f t="shared" si="10"/>
        <v>1223161</v>
      </c>
      <c r="I37" s="698">
        <f t="shared" si="10"/>
        <v>90664423</v>
      </c>
      <c r="J37" s="698">
        <f t="shared" si="10"/>
        <v>0</v>
      </c>
      <c r="K37" s="698">
        <f t="shared" si="10"/>
        <v>90664423</v>
      </c>
      <c r="L37" s="698">
        <f t="shared" si="10"/>
        <v>-1083321</v>
      </c>
      <c r="M37" s="698">
        <f t="shared" si="10"/>
        <v>89581102</v>
      </c>
      <c r="N37" s="698">
        <f t="shared" si="10"/>
        <v>0</v>
      </c>
      <c r="O37" s="698">
        <f t="shared" si="10"/>
        <v>89581102</v>
      </c>
    </row>
    <row r="38" spans="1:15" s="579" customFormat="1" ht="12" customHeight="1">
      <c r="A38" s="692" t="s">
        <v>478</v>
      </c>
      <c r="B38" s="693" t="s">
        <v>243</v>
      </c>
      <c r="C38" s="625">
        <v>1033680</v>
      </c>
      <c r="D38" s="625">
        <v>-130970</v>
      </c>
      <c r="E38" s="625">
        <f>C38+D38</f>
        <v>902710</v>
      </c>
      <c r="F38" s="625"/>
      <c r="G38" s="625">
        <f>E38+F38</f>
        <v>902710</v>
      </c>
      <c r="H38" s="625"/>
      <c r="I38" s="625">
        <f>G38+H38</f>
        <v>902710</v>
      </c>
      <c r="J38" s="625"/>
      <c r="K38" s="625">
        <f>I38+J38</f>
        <v>902710</v>
      </c>
      <c r="L38" s="625"/>
      <c r="M38" s="625">
        <f>K38+L38</f>
        <v>902710</v>
      </c>
      <c r="N38" s="625"/>
      <c r="O38" s="625">
        <f>M38+N38</f>
        <v>902710</v>
      </c>
    </row>
    <row r="39" spans="1:15" s="579" customFormat="1" ht="12" customHeight="1">
      <c r="A39" s="692" t="s">
        <v>479</v>
      </c>
      <c r="B39" s="694" t="s">
        <v>3</v>
      </c>
      <c r="C39" s="674"/>
      <c r="D39" s="674"/>
      <c r="E39" s="674"/>
      <c r="F39" s="674"/>
      <c r="G39" s="674"/>
      <c r="H39" s="674"/>
      <c r="I39" s="674"/>
      <c r="J39" s="674"/>
      <c r="K39" s="674"/>
      <c r="L39" s="674"/>
      <c r="M39" s="674"/>
      <c r="N39" s="674"/>
      <c r="O39" s="674"/>
    </row>
    <row r="40" spans="1:15" s="581" customFormat="1" ht="12" customHeight="1" thickBot="1">
      <c r="A40" s="689" t="s">
        <v>480</v>
      </c>
      <c r="B40" s="696" t="s">
        <v>481</v>
      </c>
      <c r="C40" s="613">
        <v>81815952</v>
      </c>
      <c r="D40" s="613"/>
      <c r="E40" s="613">
        <v>81815952</v>
      </c>
      <c r="F40" s="613">
        <f>1813000+4909600</f>
        <v>6722600</v>
      </c>
      <c r="G40" s="613">
        <f>E40+F40</f>
        <v>88538552</v>
      </c>
      <c r="H40" s="613">
        <v>1223161</v>
      </c>
      <c r="I40" s="613">
        <f>G40+H40</f>
        <v>89761713</v>
      </c>
      <c r="J40" s="613"/>
      <c r="K40" s="613">
        <f>I40+J40</f>
        <v>89761713</v>
      </c>
      <c r="L40" s="613">
        <v>-1083321</v>
      </c>
      <c r="M40" s="613">
        <f>K40+L40</f>
        <v>88678392</v>
      </c>
      <c r="N40" s="613"/>
      <c r="O40" s="613">
        <f>M40+N40</f>
        <v>88678392</v>
      </c>
    </row>
    <row r="41" spans="1:15" s="581" customFormat="1" ht="15" customHeight="1" thickBot="1">
      <c r="A41" s="699" t="s">
        <v>29</v>
      </c>
      <c r="B41" s="700" t="s">
        <v>482</v>
      </c>
      <c r="C41" s="596">
        <f aca="true" t="shared" si="11" ref="C41:O41">+C36+C37</f>
        <v>97962632</v>
      </c>
      <c r="D41" s="596">
        <f t="shared" si="11"/>
        <v>1524738</v>
      </c>
      <c r="E41" s="596">
        <f t="shared" si="11"/>
        <v>99487370</v>
      </c>
      <c r="F41" s="596">
        <f t="shared" si="11"/>
        <v>8049975</v>
      </c>
      <c r="G41" s="596">
        <f t="shared" si="11"/>
        <v>107537345</v>
      </c>
      <c r="H41" s="596">
        <f t="shared" si="11"/>
        <v>3159804</v>
      </c>
      <c r="I41" s="596">
        <f t="shared" si="11"/>
        <v>110697149</v>
      </c>
      <c r="J41" s="596">
        <f t="shared" si="11"/>
        <v>155199</v>
      </c>
      <c r="K41" s="596">
        <f t="shared" si="11"/>
        <v>110852348</v>
      </c>
      <c r="L41" s="596">
        <f t="shared" si="11"/>
        <v>3607375</v>
      </c>
      <c r="M41" s="596">
        <f t="shared" si="11"/>
        <v>114459723</v>
      </c>
      <c r="N41" s="596">
        <f t="shared" si="11"/>
        <v>-9</v>
      </c>
      <c r="O41" s="596">
        <f t="shared" si="11"/>
        <v>114459714</v>
      </c>
    </row>
    <row r="42" spans="1:15" s="581" customFormat="1" ht="15" customHeight="1">
      <c r="A42" s="590"/>
      <c r="B42" s="591"/>
      <c r="C42" s="592"/>
      <c r="D42" s="592"/>
      <c r="E42" s="592"/>
      <c r="F42" s="592"/>
      <c r="G42" s="592"/>
      <c r="H42" s="592"/>
      <c r="I42" s="592"/>
      <c r="J42" s="592"/>
      <c r="K42" s="592"/>
      <c r="L42" s="592"/>
      <c r="M42" s="592"/>
      <c r="N42" s="592"/>
      <c r="O42" s="592"/>
    </row>
    <row r="43" spans="1:15" ht="13.5" thickBot="1">
      <c r="A43" s="701"/>
      <c r="B43" s="593"/>
      <c r="C43" s="594"/>
      <c r="D43" s="594"/>
      <c r="E43" s="594"/>
      <c r="F43" s="594"/>
      <c r="G43" s="594"/>
      <c r="H43" s="594"/>
      <c r="I43" s="594"/>
      <c r="J43" s="594"/>
      <c r="K43" s="594"/>
      <c r="L43" s="594"/>
      <c r="M43" s="594"/>
      <c r="N43" s="594"/>
      <c r="O43" s="594"/>
    </row>
    <row r="44" spans="1:15" s="575" customFormat="1" ht="16.5" customHeight="1" thickBot="1">
      <c r="A44" s="595"/>
      <c r="B44" s="814" t="s">
        <v>61</v>
      </c>
      <c r="C44" s="786"/>
      <c r="D44" s="786"/>
      <c r="E44" s="786"/>
      <c r="F44" s="786"/>
      <c r="G44" s="786"/>
      <c r="H44" s="786"/>
      <c r="I44" s="786"/>
      <c r="J44" s="786"/>
      <c r="K44" s="786"/>
      <c r="L44" s="786"/>
      <c r="M44" s="786"/>
      <c r="N44" s="786"/>
      <c r="O44" s="787"/>
    </row>
    <row r="45" spans="1:15" s="597" customFormat="1" ht="12" customHeight="1" thickBot="1">
      <c r="A45" s="612" t="s">
        <v>20</v>
      </c>
      <c r="B45" s="551" t="s">
        <v>483</v>
      </c>
      <c r="C45" s="669">
        <f aca="true" t="shared" si="12" ref="C45:O45">SUM(C46:C50)</f>
        <v>97362632</v>
      </c>
      <c r="D45" s="669">
        <f t="shared" si="12"/>
        <v>1524738</v>
      </c>
      <c r="E45" s="669">
        <f t="shared" si="12"/>
        <v>98887370</v>
      </c>
      <c r="F45" s="669">
        <f t="shared" si="12"/>
        <v>8049975</v>
      </c>
      <c r="G45" s="669">
        <f t="shared" si="12"/>
        <v>106937345</v>
      </c>
      <c r="H45" s="669">
        <f t="shared" si="12"/>
        <v>3159804</v>
      </c>
      <c r="I45" s="669">
        <f t="shared" si="12"/>
        <v>110097149</v>
      </c>
      <c r="J45" s="669">
        <f t="shared" si="12"/>
        <v>155199</v>
      </c>
      <c r="K45" s="669">
        <f t="shared" si="12"/>
        <v>110252348</v>
      </c>
      <c r="L45" s="669">
        <f t="shared" si="12"/>
        <v>3607375</v>
      </c>
      <c r="M45" s="669">
        <f t="shared" si="12"/>
        <v>113859723</v>
      </c>
      <c r="N45" s="669">
        <f t="shared" si="12"/>
        <v>-9</v>
      </c>
      <c r="O45" s="669">
        <f t="shared" si="12"/>
        <v>113859714</v>
      </c>
    </row>
    <row r="46" spans="1:15" ht="12" customHeight="1">
      <c r="A46" s="689" t="s">
        <v>107</v>
      </c>
      <c r="B46" s="552" t="s">
        <v>50</v>
      </c>
      <c r="C46" s="625">
        <v>44980308</v>
      </c>
      <c r="D46" s="625">
        <v>835200</v>
      </c>
      <c r="E46" s="625">
        <f>C46+D46</f>
        <v>45815508</v>
      </c>
      <c r="F46" s="625">
        <f>33787+1517000+4108500</f>
        <v>5659287</v>
      </c>
      <c r="G46" s="625">
        <f>E46+F46</f>
        <v>51474795</v>
      </c>
      <c r="H46" s="625">
        <v>1104000</v>
      </c>
      <c r="I46" s="625">
        <f>G46+H46</f>
        <v>52578795</v>
      </c>
      <c r="J46" s="625">
        <v>155199</v>
      </c>
      <c r="K46" s="625">
        <f>I46+J46</f>
        <v>52733994</v>
      </c>
      <c r="L46" s="625">
        <v>-182560</v>
      </c>
      <c r="M46" s="625">
        <f>K46+L46</f>
        <v>52551434</v>
      </c>
      <c r="N46" s="625"/>
      <c r="O46" s="625">
        <f>M46+N46</f>
        <v>52551434</v>
      </c>
    </row>
    <row r="47" spans="1:15" ht="12" customHeight="1">
      <c r="A47" s="689" t="s">
        <v>108</v>
      </c>
      <c r="B47" s="533" t="s">
        <v>187</v>
      </c>
      <c r="C47" s="617">
        <v>9349824</v>
      </c>
      <c r="D47" s="617">
        <v>170978</v>
      </c>
      <c r="E47" s="625">
        <f>C47+D47</f>
        <v>9520802</v>
      </c>
      <c r="F47" s="617">
        <f>6588+296000+801100</f>
        <v>1103688</v>
      </c>
      <c r="G47" s="625">
        <f>E47+F47</f>
        <v>10624490</v>
      </c>
      <c r="H47" s="617">
        <v>45326</v>
      </c>
      <c r="I47" s="625">
        <f>G47+H47</f>
        <v>10669816</v>
      </c>
      <c r="J47" s="617"/>
      <c r="K47" s="625">
        <f>I47+J47</f>
        <v>10669816</v>
      </c>
      <c r="L47" s="617">
        <v>-71000</v>
      </c>
      <c r="M47" s="625">
        <f>K47+L47</f>
        <v>10598816</v>
      </c>
      <c r="N47" s="617"/>
      <c r="O47" s="625">
        <f>M47+N47</f>
        <v>10598816</v>
      </c>
    </row>
    <row r="48" spans="1:15" ht="12" customHeight="1">
      <c r="A48" s="689" t="s">
        <v>109</v>
      </c>
      <c r="B48" s="533" t="s">
        <v>143</v>
      </c>
      <c r="C48" s="617">
        <v>43032500</v>
      </c>
      <c r="D48" s="617">
        <f>649530-130970</f>
        <v>518560</v>
      </c>
      <c r="E48" s="625">
        <f>C48+D48</f>
        <v>43551060</v>
      </c>
      <c r="F48" s="617">
        <v>1287000</v>
      </c>
      <c r="G48" s="625">
        <f>E48+F48</f>
        <v>44838060</v>
      </c>
      <c r="H48" s="617">
        <v>2010478</v>
      </c>
      <c r="I48" s="625">
        <f>G48+H48</f>
        <v>46848538</v>
      </c>
      <c r="J48" s="617"/>
      <c r="K48" s="625">
        <f>I48+J48</f>
        <v>46848538</v>
      </c>
      <c r="L48" s="617">
        <f>-829761+4690696</f>
        <v>3860935</v>
      </c>
      <c r="M48" s="625">
        <f>K48+L48</f>
        <v>50709473</v>
      </c>
      <c r="N48" s="617">
        <v>-9</v>
      </c>
      <c r="O48" s="625">
        <f>M48+N48</f>
        <v>50709464</v>
      </c>
    </row>
    <row r="49" spans="1:15" ht="12" customHeight="1">
      <c r="A49" s="689" t="s">
        <v>110</v>
      </c>
      <c r="B49" s="533" t="s">
        <v>188</v>
      </c>
      <c r="C49" s="617"/>
      <c r="D49" s="617"/>
      <c r="E49" s="617"/>
      <c r="F49" s="617"/>
      <c r="G49" s="617"/>
      <c r="H49" s="617"/>
      <c r="I49" s="617"/>
      <c r="J49" s="617"/>
      <c r="K49" s="617"/>
      <c r="L49" s="617"/>
      <c r="M49" s="617"/>
      <c r="N49" s="617"/>
      <c r="O49" s="617"/>
    </row>
    <row r="50" spans="1:15" ht="12" customHeight="1" thickBot="1">
      <c r="A50" s="689" t="s">
        <v>152</v>
      </c>
      <c r="B50" s="533" t="s">
        <v>189</v>
      </c>
      <c r="C50" s="617"/>
      <c r="D50" s="617"/>
      <c r="E50" s="617"/>
      <c r="F50" s="617"/>
      <c r="G50" s="617"/>
      <c r="H50" s="617"/>
      <c r="I50" s="617"/>
      <c r="J50" s="617"/>
      <c r="K50" s="617"/>
      <c r="L50" s="617"/>
      <c r="M50" s="617"/>
      <c r="N50" s="617"/>
      <c r="O50" s="617"/>
    </row>
    <row r="51" spans="1:15" ht="12" customHeight="1" thickBot="1">
      <c r="A51" s="612" t="s">
        <v>21</v>
      </c>
      <c r="B51" s="551" t="s">
        <v>484</v>
      </c>
      <c r="C51" s="669">
        <f aca="true" t="shared" si="13" ref="C51:O51">SUM(C52:C54)</f>
        <v>600000</v>
      </c>
      <c r="D51" s="669">
        <f t="shared" si="13"/>
        <v>0</v>
      </c>
      <c r="E51" s="669">
        <f t="shared" si="13"/>
        <v>600000</v>
      </c>
      <c r="F51" s="669">
        <f t="shared" si="13"/>
        <v>0</v>
      </c>
      <c r="G51" s="669">
        <f t="shared" si="13"/>
        <v>600000</v>
      </c>
      <c r="H51" s="669">
        <f t="shared" si="13"/>
        <v>0</v>
      </c>
      <c r="I51" s="669">
        <f t="shared" si="13"/>
        <v>600000</v>
      </c>
      <c r="J51" s="669">
        <f t="shared" si="13"/>
        <v>0</v>
      </c>
      <c r="K51" s="669">
        <f t="shared" si="13"/>
        <v>600000</v>
      </c>
      <c r="L51" s="669">
        <f t="shared" si="13"/>
        <v>0</v>
      </c>
      <c r="M51" s="669">
        <f t="shared" si="13"/>
        <v>600000</v>
      </c>
      <c r="N51" s="669">
        <f t="shared" si="13"/>
        <v>0</v>
      </c>
      <c r="O51" s="669">
        <f t="shared" si="13"/>
        <v>600000</v>
      </c>
    </row>
    <row r="52" spans="1:15" s="597" customFormat="1" ht="12" customHeight="1">
      <c r="A52" s="689" t="s">
        <v>113</v>
      </c>
      <c r="B52" s="552" t="s">
        <v>234</v>
      </c>
      <c r="C52" s="625">
        <v>600000</v>
      </c>
      <c r="D52" s="625"/>
      <c r="E52" s="625">
        <f>C52+D52</f>
        <v>600000</v>
      </c>
      <c r="F52" s="625"/>
      <c r="G52" s="625">
        <f>E52+F52</f>
        <v>600000</v>
      </c>
      <c r="H52" s="625"/>
      <c r="I52" s="625">
        <f>G52+H52</f>
        <v>600000</v>
      </c>
      <c r="J52" s="625"/>
      <c r="K52" s="625">
        <f>I52+J52</f>
        <v>600000</v>
      </c>
      <c r="L52" s="625"/>
      <c r="M52" s="625">
        <f>K52+L52</f>
        <v>600000</v>
      </c>
      <c r="N52" s="625"/>
      <c r="O52" s="625">
        <f>M52+N52</f>
        <v>600000</v>
      </c>
    </row>
    <row r="53" spans="1:15" ht="12" customHeight="1">
      <c r="A53" s="689" t="s">
        <v>114</v>
      </c>
      <c r="B53" s="533" t="s">
        <v>191</v>
      </c>
      <c r="C53" s="617"/>
      <c r="D53" s="617"/>
      <c r="E53" s="617"/>
      <c r="F53" s="617"/>
      <c r="G53" s="617"/>
      <c r="H53" s="617"/>
      <c r="I53" s="617"/>
      <c r="J53" s="617"/>
      <c r="K53" s="617"/>
      <c r="L53" s="617"/>
      <c r="M53" s="617"/>
      <c r="N53" s="617"/>
      <c r="O53" s="617"/>
    </row>
    <row r="54" spans="1:15" ht="12" customHeight="1">
      <c r="A54" s="689" t="s">
        <v>115</v>
      </c>
      <c r="B54" s="533" t="s">
        <v>62</v>
      </c>
      <c r="C54" s="617"/>
      <c r="D54" s="617"/>
      <c r="E54" s="617"/>
      <c r="F54" s="617"/>
      <c r="G54" s="617"/>
      <c r="H54" s="617"/>
      <c r="I54" s="617"/>
      <c r="J54" s="617"/>
      <c r="K54" s="617"/>
      <c r="L54" s="617"/>
      <c r="M54" s="617"/>
      <c r="N54" s="617"/>
      <c r="O54" s="617"/>
    </row>
    <row r="55" spans="1:15" ht="12" customHeight="1" thickBot="1">
      <c r="A55" s="689" t="s">
        <v>116</v>
      </c>
      <c r="B55" s="533" t="s">
        <v>4</v>
      </c>
      <c r="C55" s="617"/>
      <c r="D55" s="617"/>
      <c r="E55" s="617"/>
      <c r="F55" s="617"/>
      <c r="G55" s="617"/>
      <c r="H55" s="617"/>
      <c r="I55" s="617"/>
      <c r="J55" s="617"/>
      <c r="K55" s="617"/>
      <c r="L55" s="617"/>
      <c r="M55" s="617"/>
      <c r="N55" s="617"/>
      <c r="O55" s="617"/>
    </row>
    <row r="56" spans="1:15" ht="15" customHeight="1" thickBot="1">
      <c r="A56" s="612" t="s">
        <v>22</v>
      </c>
      <c r="B56" s="702" t="s">
        <v>485</v>
      </c>
      <c r="C56" s="703">
        <f aca="true" t="shared" si="14" ref="C56:O56">+C45+C51</f>
        <v>97962632</v>
      </c>
      <c r="D56" s="703">
        <f t="shared" si="14"/>
        <v>1524738</v>
      </c>
      <c r="E56" s="703">
        <f t="shared" si="14"/>
        <v>99487370</v>
      </c>
      <c r="F56" s="703">
        <f t="shared" si="14"/>
        <v>8049975</v>
      </c>
      <c r="G56" s="703">
        <f t="shared" si="14"/>
        <v>107537345</v>
      </c>
      <c r="H56" s="703">
        <f t="shared" si="14"/>
        <v>3159804</v>
      </c>
      <c r="I56" s="703">
        <f t="shared" si="14"/>
        <v>110697149</v>
      </c>
      <c r="J56" s="703">
        <f t="shared" si="14"/>
        <v>155199</v>
      </c>
      <c r="K56" s="703">
        <f t="shared" si="14"/>
        <v>110852348</v>
      </c>
      <c r="L56" s="703">
        <f t="shared" si="14"/>
        <v>3607375</v>
      </c>
      <c r="M56" s="703">
        <f t="shared" si="14"/>
        <v>114459723</v>
      </c>
      <c r="N56" s="703">
        <f t="shared" si="14"/>
        <v>-9</v>
      </c>
      <c r="O56" s="703">
        <f t="shared" si="14"/>
        <v>114459714</v>
      </c>
    </row>
    <row r="57" spans="3:15" ht="12.75">
      <c r="C57" s="704"/>
      <c r="D57" s="704"/>
      <c r="E57" s="704"/>
      <c r="F57" s="704"/>
      <c r="G57" s="704"/>
      <c r="H57" s="704"/>
      <c r="I57" s="704"/>
      <c r="J57" s="704"/>
      <c r="K57" s="704"/>
      <c r="L57" s="704"/>
      <c r="M57" s="704"/>
      <c r="N57" s="704"/>
      <c r="O57" s="704"/>
    </row>
    <row r="58" spans="1:15" ht="15" customHeight="1" hidden="1" thickBot="1">
      <c r="A58" s="603" t="s">
        <v>210</v>
      </c>
      <c r="B58" s="604"/>
      <c r="C58" s="605">
        <v>0</v>
      </c>
      <c r="D58" s="605">
        <v>0</v>
      </c>
      <c r="E58" s="605">
        <v>0</v>
      </c>
      <c r="F58" s="605">
        <v>0</v>
      </c>
      <c r="G58" s="605">
        <v>0</v>
      </c>
      <c r="H58" s="605">
        <v>0</v>
      </c>
      <c r="I58" s="605">
        <v>0</v>
      </c>
      <c r="J58" s="605">
        <v>0</v>
      </c>
      <c r="K58" s="605">
        <v>0</v>
      </c>
      <c r="L58" s="605">
        <v>0</v>
      </c>
      <c r="M58" s="605">
        <v>0</v>
      </c>
      <c r="N58" s="605">
        <v>0</v>
      </c>
      <c r="O58" s="605">
        <v>0</v>
      </c>
    </row>
    <row r="59" spans="1:15" ht="14.25" customHeight="1" hidden="1" thickBot="1">
      <c r="A59" s="603" t="s">
        <v>211</v>
      </c>
      <c r="B59" s="604"/>
      <c r="C59" s="605">
        <v>0</v>
      </c>
      <c r="D59" s="605">
        <v>0</v>
      </c>
      <c r="E59" s="605">
        <v>0</v>
      </c>
      <c r="F59" s="605">
        <v>0</v>
      </c>
      <c r="G59" s="605">
        <v>0</v>
      </c>
      <c r="H59" s="605">
        <v>0</v>
      </c>
      <c r="I59" s="605">
        <v>0</v>
      </c>
      <c r="J59" s="605">
        <v>0</v>
      </c>
      <c r="K59" s="605">
        <v>0</v>
      </c>
      <c r="L59" s="605">
        <v>0</v>
      </c>
      <c r="M59" s="605">
        <v>0</v>
      </c>
      <c r="N59" s="605">
        <v>0</v>
      </c>
      <c r="O59" s="605">
        <v>0</v>
      </c>
    </row>
  </sheetData>
  <sheetProtection formatCells="0"/>
  <mergeCells count="4">
    <mergeCell ref="C1:O1"/>
    <mergeCell ref="B3:N3"/>
    <mergeCell ref="B4:N4"/>
    <mergeCell ref="B44:O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S151"/>
  <sheetViews>
    <sheetView zoomScaleSheetLayoutView="100" workbookViewId="0" topLeftCell="A1">
      <selection activeCell="M1" sqref="M1:O1"/>
    </sheetView>
  </sheetViews>
  <sheetFormatPr defaultColWidth="9.00390625" defaultRowHeight="12.75"/>
  <cols>
    <col min="1" max="1" width="9.50390625" style="482" customWidth="1"/>
    <col min="2" max="2" width="69.625" style="482" customWidth="1"/>
    <col min="3" max="3" width="19.125" style="560" customWidth="1"/>
    <col min="4" max="4" width="17.375" style="560" hidden="1" customWidth="1"/>
    <col min="5" max="5" width="19.00390625" style="560" hidden="1" customWidth="1"/>
    <col min="6" max="6" width="17.375" style="560" hidden="1" customWidth="1"/>
    <col min="7" max="7" width="19.00390625" style="560" hidden="1" customWidth="1"/>
    <col min="8" max="8" width="17.375" style="560" hidden="1" customWidth="1"/>
    <col min="9" max="9" width="19.00390625" style="560" hidden="1" customWidth="1"/>
    <col min="10" max="10" width="17.375" style="560" hidden="1" customWidth="1"/>
    <col min="11" max="11" width="19.00390625" style="560" hidden="1" customWidth="1"/>
    <col min="12" max="12" width="17.375" style="560" hidden="1" customWidth="1"/>
    <col min="13" max="13" width="19.00390625" style="560" customWidth="1"/>
    <col min="14" max="14" width="17.375" style="560" customWidth="1"/>
    <col min="15" max="15" width="19.00390625" style="560" customWidth="1"/>
    <col min="16" max="16384" width="9.375" style="482" customWidth="1"/>
  </cols>
  <sheetData>
    <row r="1" spans="1:15" s="478" customFormat="1" ht="12.75">
      <c r="A1" s="475"/>
      <c r="B1" s="476"/>
      <c r="C1" s="477"/>
      <c r="D1" s="477"/>
      <c r="E1" s="244"/>
      <c r="F1" s="477"/>
      <c r="G1" s="244"/>
      <c r="H1" s="477"/>
      <c r="I1" s="244"/>
      <c r="J1" s="477"/>
      <c r="K1" s="244"/>
      <c r="L1" s="477"/>
      <c r="M1" s="813" t="s">
        <v>614</v>
      </c>
      <c r="N1" s="813"/>
      <c r="O1" s="813"/>
    </row>
    <row r="2" spans="1:15" s="481" customFormat="1" ht="16.5" customHeight="1">
      <c r="A2" s="479"/>
      <c r="B2" s="480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 t="s">
        <v>590</v>
      </c>
    </row>
    <row r="3" spans="1:15" ht="15.75" customHeight="1">
      <c r="A3" s="728" t="s">
        <v>17</v>
      </c>
      <c r="B3" s="728"/>
      <c r="C3" s="728"/>
      <c r="D3" s="729"/>
      <c r="E3" s="729"/>
      <c r="F3" s="729"/>
      <c r="G3" s="729"/>
      <c r="H3" s="729"/>
      <c r="I3" s="729"/>
      <c r="J3" s="729"/>
      <c r="K3" s="729"/>
      <c r="L3" s="729"/>
      <c r="M3" s="729"/>
      <c r="N3"/>
      <c r="O3"/>
    </row>
    <row r="4" spans="1:15" ht="15.75" customHeight="1" thickBot="1">
      <c r="A4" s="730" t="s">
        <v>156</v>
      </c>
      <c r="B4" s="730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 t="s">
        <v>535</v>
      </c>
    </row>
    <row r="5" spans="1:15" ht="37.5" customHeight="1" thickBot="1">
      <c r="A5" s="484" t="s">
        <v>76</v>
      </c>
      <c r="B5" s="485" t="s">
        <v>19</v>
      </c>
      <c r="C5" s="486" t="s">
        <v>586</v>
      </c>
      <c r="D5" s="486" t="s">
        <v>591</v>
      </c>
      <c r="E5" s="486" t="s">
        <v>581</v>
      </c>
      <c r="F5" s="486" t="s">
        <v>595</v>
      </c>
      <c r="G5" s="486" t="s">
        <v>581</v>
      </c>
      <c r="H5" s="486" t="s">
        <v>599</v>
      </c>
      <c r="I5" s="486" t="s">
        <v>581</v>
      </c>
      <c r="J5" s="486" t="s">
        <v>602</v>
      </c>
      <c r="K5" s="486" t="s">
        <v>581</v>
      </c>
      <c r="L5" s="486" t="s">
        <v>606</v>
      </c>
      <c r="M5" s="486" t="s">
        <v>581</v>
      </c>
      <c r="N5" s="486" t="s">
        <v>615</v>
      </c>
      <c r="O5" s="486" t="s">
        <v>581</v>
      </c>
    </row>
    <row r="6" spans="1:15" s="490" customFormat="1" ht="12" customHeight="1" thickBot="1">
      <c r="A6" s="487">
        <v>1</v>
      </c>
      <c r="B6" s="488">
        <v>2</v>
      </c>
      <c r="C6" s="489">
        <v>3</v>
      </c>
      <c r="D6" s="489">
        <v>4</v>
      </c>
      <c r="E6" s="489">
        <v>4</v>
      </c>
      <c r="F6" s="489">
        <v>5</v>
      </c>
      <c r="G6" s="489">
        <v>4</v>
      </c>
      <c r="H6" s="489">
        <v>5</v>
      </c>
      <c r="I6" s="489">
        <v>4</v>
      </c>
      <c r="J6" s="489">
        <v>5</v>
      </c>
      <c r="K6" s="489">
        <v>4</v>
      </c>
      <c r="L6" s="489">
        <v>5</v>
      </c>
      <c r="M6" s="489">
        <v>4</v>
      </c>
      <c r="N6" s="489">
        <v>5</v>
      </c>
      <c r="O6" s="489">
        <v>6</v>
      </c>
    </row>
    <row r="7" spans="1:15" s="494" customFormat="1" ht="12" customHeight="1" thickBot="1">
      <c r="A7" s="491" t="s">
        <v>20</v>
      </c>
      <c r="B7" s="492" t="s">
        <v>261</v>
      </c>
      <c r="C7" s="493">
        <f aca="true" t="shared" si="0" ref="C7:O7">+C8+C9+C10+C11+C12+C13</f>
        <v>129283891</v>
      </c>
      <c r="D7" s="493">
        <f t="shared" si="0"/>
        <v>0</v>
      </c>
      <c r="E7" s="493">
        <f t="shared" si="0"/>
        <v>129283891</v>
      </c>
      <c r="F7" s="493">
        <f t="shared" si="0"/>
        <v>10147793</v>
      </c>
      <c r="G7" s="493">
        <f t="shared" si="0"/>
        <v>139431684</v>
      </c>
      <c r="H7" s="493">
        <f t="shared" si="0"/>
        <v>3202208</v>
      </c>
      <c r="I7" s="493">
        <f t="shared" si="0"/>
        <v>142633892</v>
      </c>
      <c r="J7" s="493">
        <f t="shared" si="0"/>
        <v>0</v>
      </c>
      <c r="K7" s="493">
        <f t="shared" si="0"/>
        <v>142633892</v>
      </c>
      <c r="L7" s="493">
        <f t="shared" si="0"/>
        <v>-672993</v>
      </c>
      <c r="M7" s="493">
        <f t="shared" si="0"/>
        <v>141960899</v>
      </c>
      <c r="N7" s="493">
        <f t="shared" si="0"/>
        <v>254503</v>
      </c>
      <c r="O7" s="493">
        <f t="shared" si="0"/>
        <v>142215402</v>
      </c>
    </row>
    <row r="8" spans="1:15" s="494" customFormat="1" ht="12" customHeight="1">
      <c r="A8" s="495" t="s">
        <v>107</v>
      </c>
      <c r="B8" s="496" t="s">
        <v>262</v>
      </c>
      <c r="C8" s="497">
        <v>48805752</v>
      </c>
      <c r="D8" s="497"/>
      <c r="E8" s="497">
        <f>C8+D8</f>
        <v>48805752</v>
      </c>
      <c r="F8" s="497">
        <v>1813000</v>
      </c>
      <c r="G8" s="497">
        <f>E8+F8</f>
        <v>50618752</v>
      </c>
      <c r="H8" s="497"/>
      <c r="I8" s="497">
        <f>G8+H8</f>
        <v>50618752</v>
      </c>
      <c r="J8" s="497"/>
      <c r="K8" s="497">
        <f>I8+J8</f>
        <v>50618752</v>
      </c>
      <c r="L8" s="497">
        <v>361042</v>
      </c>
      <c r="M8" s="497">
        <f>K8+L8</f>
        <v>50979794</v>
      </c>
      <c r="N8" s="497"/>
      <c r="O8" s="497">
        <f aca="true" t="shared" si="1" ref="O8:O13">M8+N8</f>
        <v>50979794</v>
      </c>
    </row>
    <row r="9" spans="1:15" s="494" customFormat="1" ht="12" customHeight="1">
      <c r="A9" s="498" t="s">
        <v>108</v>
      </c>
      <c r="B9" s="499" t="s">
        <v>263</v>
      </c>
      <c r="C9" s="500">
        <v>39125150</v>
      </c>
      <c r="D9" s="500"/>
      <c r="E9" s="497">
        <f>C9+D9</f>
        <v>39125150</v>
      </c>
      <c r="F9" s="500">
        <v>585000</v>
      </c>
      <c r="G9" s="497">
        <f>E9+F9</f>
        <v>39710150</v>
      </c>
      <c r="H9" s="500">
        <v>1619499</v>
      </c>
      <c r="I9" s="497">
        <f>G9+H9</f>
        <v>41329649</v>
      </c>
      <c r="J9" s="500"/>
      <c r="K9" s="497">
        <f>I9+J9</f>
        <v>41329649</v>
      </c>
      <c r="L9" s="500">
        <v>-421300</v>
      </c>
      <c r="M9" s="497">
        <f>K9+L9</f>
        <v>40908349</v>
      </c>
      <c r="N9" s="500"/>
      <c r="O9" s="497">
        <f t="shared" si="1"/>
        <v>40908349</v>
      </c>
    </row>
    <row r="10" spans="1:15" s="494" customFormat="1" ht="12" customHeight="1">
      <c r="A10" s="498" t="s">
        <v>109</v>
      </c>
      <c r="B10" s="499" t="s">
        <v>264</v>
      </c>
      <c r="C10" s="500">
        <v>38652269</v>
      </c>
      <c r="D10" s="500"/>
      <c r="E10" s="497">
        <f>C10+D10</f>
        <v>38652269</v>
      </c>
      <c r="F10" s="500">
        <v>2748193</v>
      </c>
      <c r="G10" s="497">
        <f>E10+F10</f>
        <v>41400462</v>
      </c>
      <c r="H10" s="500">
        <v>1223161</v>
      </c>
      <c r="I10" s="497">
        <f>G10+H10</f>
        <v>42623623</v>
      </c>
      <c r="J10" s="500"/>
      <c r="K10" s="497">
        <f>I10+J10</f>
        <v>42623623</v>
      </c>
      <c r="L10" s="500">
        <v>-1005823</v>
      </c>
      <c r="M10" s="497">
        <f>K10+L10</f>
        <v>41617800</v>
      </c>
      <c r="N10" s="500"/>
      <c r="O10" s="497">
        <f t="shared" si="1"/>
        <v>41617800</v>
      </c>
    </row>
    <row r="11" spans="1:15" s="494" customFormat="1" ht="12" customHeight="1">
      <c r="A11" s="498" t="s">
        <v>110</v>
      </c>
      <c r="B11" s="499" t="s">
        <v>265</v>
      </c>
      <c r="C11" s="500">
        <v>2700720</v>
      </c>
      <c r="D11" s="500"/>
      <c r="E11" s="497">
        <f>C11+D11</f>
        <v>2700720</v>
      </c>
      <c r="F11" s="500">
        <v>92000</v>
      </c>
      <c r="G11" s="497">
        <f>E11+F11</f>
        <v>2792720</v>
      </c>
      <c r="H11" s="500">
        <v>359548</v>
      </c>
      <c r="I11" s="497">
        <f>G11+H11</f>
        <v>3152268</v>
      </c>
      <c r="J11" s="500"/>
      <c r="K11" s="497">
        <f>I11+J11</f>
        <v>3152268</v>
      </c>
      <c r="L11" s="500">
        <v>393088</v>
      </c>
      <c r="M11" s="497">
        <f>K11+L11</f>
        <v>3545356</v>
      </c>
      <c r="N11" s="500"/>
      <c r="O11" s="497">
        <f t="shared" si="1"/>
        <v>3545356</v>
      </c>
    </row>
    <row r="12" spans="1:15" s="494" customFormat="1" ht="12" customHeight="1">
      <c r="A12" s="498" t="s">
        <v>152</v>
      </c>
      <c r="B12" s="499" t="s">
        <v>533</v>
      </c>
      <c r="C12" s="500"/>
      <c r="D12" s="500"/>
      <c r="E12" s="497">
        <f>C12+D12</f>
        <v>0</v>
      </c>
      <c r="F12" s="500">
        <v>4909600</v>
      </c>
      <c r="G12" s="497">
        <f>E12+F12</f>
        <v>4909600</v>
      </c>
      <c r="H12" s="500"/>
      <c r="I12" s="497">
        <f>G12+H12</f>
        <v>4909600</v>
      </c>
      <c r="J12" s="500"/>
      <c r="K12" s="497">
        <f>I12+J12</f>
        <v>4909600</v>
      </c>
      <c r="L12" s="500"/>
      <c r="M12" s="497">
        <f>K12+L12</f>
        <v>4909600</v>
      </c>
      <c r="N12" s="500"/>
      <c r="O12" s="497">
        <f t="shared" si="1"/>
        <v>4909600</v>
      </c>
    </row>
    <row r="13" spans="1:15" s="494" customFormat="1" ht="12" customHeight="1" thickBot="1">
      <c r="A13" s="501" t="s">
        <v>111</v>
      </c>
      <c r="B13" s="502" t="s">
        <v>534</v>
      </c>
      <c r="C13" s="500">
        <v>0</v>
      </c>
      <c r="D13" s="500">
        <v>0</v>
      </c>
      <c r="E13" s="500">
        <v>0</v>
      </c>
      <c r="F13" s="500">
        <v>0</v>
      </c>
      <c r="G13" s="500">
        <v>0</v>
      </c>
      <c r="H13" s="500">
        <v>0</v>
      </c>
      <c r="I13" s="500">
        <v>0</v>
      </c>
      <c r="J13" s="500">
        <v>0</v>
      </c>
      <c r="K13" s="500">
        <v>0</v>
      </c>
      <c r="L13" s="500">
        <v>0</v>
      </c>
      <c r="M13" s="500">
        <v>0</v>
      </c>
      <c r="N13" s="500">
        <v>254503</v>
      </c>
      <c r="O13" s="497">
        <f t="shared" si="1"/>
        <v>254503</v>
      </c>
    </row>
    <row r="14" spans="1:15" s="494" customFormat="1" ht="12" customHeight="1" thickBot="1">
      <c r="A14" s="491" t="s">
        <v>21</v>
      </c>
      <c r="B14" s="503" t="s">
        <v>268</v>
      </c>
      <c r="C14" s="493">
        <f aca="true" t="shared" si="2" ref="C14:O14">+C15+C16+C17+C18+C19</f>
        <v>15820260</v>
      </c>
      <c r="D14" s="493">
        <f t="shared" si="2"/>
        <v>1154708</v>
      </c>
      <c r="E14" s="493">
        <f t="shared" si="2"/>
        <v>16974968</v>
      </c>
      <c r="F14" s="493">
        <f t="shared" si="2"/>
        <v>5055083</v>
      </c>
      <c r="G14" s="493">
        <f t="shared" si="2"/>
        <v>22030051</v>
      </c>
      <c r="H14" s="493">
        <f t="shared" si="2"/>
        <v>4781368</v>
      </c>
      <c r="I14" s="493">
        <f t="shared" si="2"/>
        <v>26811419</v>
      </c>
      <c r="J14" s="493">
        <f t="shared" si="2"/>
        <v>745536</v>
      </c>
      <c r="K14" s="493">
        <f t="shared" si="2"/>
        <v>27556955</v>
      </c>
      <c r="L14" s="493">
        <f t="shared" si="2"/>
        <v>1084547</v>
      </c>
      <c r="M14" s="493">
        <f t="shared" si="2"/>
        <v>28641502</v>
      </c>
      <c r="N14" s="493">
        <f t="shared" si="2"/>
        <v>0</v>
      </c>
      <c r="O14" s="493">
        <f t="shared" si="2"/>
        <v>28641502</v>
      </c>
    </row>
    <row r="15" spans="1:15" s="494" customFormat="1" ht="12" customHeight="1">
      <c r="A15" s="495" t="s">
        <v>113</v>
      </c>
      <c r="B15" s="496" t="s">
        <v>269</v>
      </c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</row>
    <row r="16" spans="1:15" s="494" customFormat="1" ht="12" customHeight="1">
      <c r="A16" s="498" t="s">
        <v>114</v>
      </c>
      <c r="B16" s="499" t="s">
        <v>270</v>
      </c>
      <c r="C16" s="500"/>
      <c r="D16" s="500"/>
      <c r="E16" s="500"/>
      <c r="F16" s="500"/>
      <c r="G16" s="500"/>
      <c r="H16" s="500"/>
      <c r="I16" s="500"/>
      <c r="J16" s="500"/>
      <c r="K16" s="500"/>
      <c r="L16" s="500"/>
      <c r="M16" s="500"/>
      <c r="N16" s="500"/>
      <c r="O16" s="500"/>
    </row>
    <row r="17" spans="1:15" s="494" customFormat="1" ht="12" customHeight="1">
      <c r="A17" s="498" t="s">
        <v>115</v>
      </c>
      <c r="B17" s="499" t="s">
        <v>493</v>
      </c>
      <c r="C17" s="500"/>
      <c r="D17" s="500"/>
      <c r="E17" s="500"/>
      <c r="F17" s="500"/>
      <c r="G17" s="500"/>
      <c r="H17" s="500"/>
      <c r="I17" s="500"/>
      <c r="J17" s="500"/>
      <c r="K17" s="500"/>
      <c r="L17" s="500"/>
      <c r="M17" s="500"/>
      <c r="N17" s="500"/>
      <c r="O17" s="500"/>
    </row>
    <row r="18" spans="1:15" s="494" customFormat="1" ht="12" customHeight="1">
      <c r="A18" s="498" t="s">
        <v>116</v>
      </c>
      <c r="B18" s="499" t="s">
        <v>494</v>
      </c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</row>
    <row r="19" spans="1:15" s="494" customFormat="1" ht="12" customHeight="1">
      <c r="A19" s="498" t="s">
        <v>117</v>
      </c>
      <c r="B19" s="499" t="s">
        <v>271</v>
      </c>
      <c r="C19" s="500">
        <v>15820260</v>
      </c>
      <c r="D19" s="500">
        <v>1154708</v>
      </c>
      <c r="E19" s="500">
        <f>C19+D19</f>
        <v>16974968</v>
      </c>
      <c r="F19" s="500">
        <f>4245083+810000</f>
        <v>5055083</v>
      </c>
      <c r="G19" s="500">
        <f>E19+F19</f>
        <v>22030051</v>
      </c>
      <c r="H19" s="500">
        <f>3438725+1342643</f>
        <v>4781368</v>
      </c>
      <c r="I19" s="500">
        <f>G19+H19</f>
        <v>26811419</v>
      </c>
      <c r="J19" s="500">
        <f>590337+155199</f>
        <v>745536</v>
      </c>
      <c r="K19" s="500">
        <f>I19+J19</f>
        <v>27556955</v>
      </c>
      <c r="L19" s="500">
        <f>964547+120000</f>
        <v>1084547</v>
      </c>
      <c r="M19" s="500">
        <f>K19+L19</f>
        <v>28641502</v>
      </c>
      <c r="N19" s="500"/>
      <c r="O19" s="500">
        <f>M19+N19</f>
        <v>28641502</v>
      </c>
    </row>
    <row r="20" spans="1:15" s="494" customFormat="1" ht="12" customHeight="1" thickBot="1">
      <c r="A20" s="501" t="s">
        <v>126</v>
      </c>
      <c r="B20" s="502" t="s">
        <v>272</v>
      </c>
      <c r="C20" s="504"/>
      <c r="D20" s="504"/>
      <c r="E20" s="504"/>
      <c r="F20" s="504"/>
      <c r="G20" s="504"/>
      <c r="H20" s="504"/>
      <c r="I20" s="504"/>
      <c r="J20" s="504"/>
      <c r="K20" s="504"/>
      <c r="L20" s="504"/>
      <c r="M20" s="504"/>
      <c r="N20" s="504"/>
      <c r="O20" s="504"/>
    </row>
    <row r="21" spans="1:15" s="494" customFormat="1" ht="12" customHeight="1" thickBot="1">
      <c r="A21" s="491" t="s">
        <v>22</v>
      </c>
      <c r="B21" s="492" t="s">
        <v>273</v>
      </c>
      <c r="C21" s="493">
        <f aca="true" t="shared" si="3" ref="C21:O21">+C22+C23+C24+C25+C26</f>
        <v>9800000</v>
      </c>
      <c r="D21" s="493">
        <f t="shared" si="3"/>
        <v>0</v>
      </c>
      <c r="E21" s="493">
        <f t="shared" si="3"/>
        <v>9800000</v>
      </c>
      <c r="F21" s="493">
        <f t="shared" si="3"/>
        <v>2926115</v>
      </c>
      <c r="G21" s="493">
        <f t="shared" si="3"/>
        <v>12726115</v>
      </c>
      <c r="H21" s="493">
        <f t="shared" si="3"/>
        <v>12746471</v>
      </c>
      <c r="I21" s="493">
        <f t="shared" si="3"/>
        <v>25472586</v>
      </c>
      <c r="J21" s="493">
        <f t="shared" si="3"/>
        <v>4999863</v>
      </c>
      <c r="K21" s="493">
        <f t="shared" si="3"/>
        <v>30472449</v>
      </c>
      <c r="L21" s="493">
        <f t="shared" si="3"/>
        <v>40819387</v>
      </c>
      <c r="M21" s="493">
        <f t="shared" si="3"/>
        <v>71291836</v>
      </c>
      <c r="N21" s="493">
        <f t="shared" si="3"/>
        <v>0</v>
      </c>
      <c r="O21" s="493">
        <f t="shared" si="3"/>
        <v>71291836</v>
      </c>
    </row>
    <row r="22" spans="1:15" s="494" customFormat="1" ht="12" customHeight="1">
      <c r="A22" s="495" t="s">
        <v>96</v>
      </c>
      <c r="B22" s="496" t="s">
        <v>274</v>
      </c>
      <c r="C22" s="497">
        <v>0</v>
      </c>
      <c r="D22" s="497">
        <v>0</v>
      </c>
      <c r="E22" s="497">
        <v>0</v>
      </c>
      <c r="F22" s="497">
        <v>0</v>
      </c>
      <c r="G22" s="497">
        <v>0</v>
      </c>
      <c r="H22" s="497">
        <v>0</v>
      </c>
      <c r="I22" s="497">
        <v>0</v>
      </c>
      <c r="J22" s="497">
        <v>0</v>
      </c>
      <c r="K22" s="497">
        <v>0</v>
      </c>
      <c r="L22" s="497">
        <v>0</v>
      </c>
      <c r="M22" s="497">
        <v>0</v>
      </c>
      <c r="N22" s="497">
        <v>0</v>
      </c>
      <c r="O22" s="497">
        <v>0</v>
      </c>
    </row>
    <row r="23" spans="1:15" s="494" customFormat="1" ht="12" customHeight="1">
      <c r="A23" s="498" t="s">
        <v>97</v>
      </c>
      <c r="B23" s="499" t="s">
        <v>275</v>
      </c>
      <c r="C23" s="500"/>
      <c r="D23" s="500"/>
      <c r="E23" s="500"/>
      <c r="F23" s="500"/>
      <c r="G23" s="500"/>
      <c r="H23" s="500"/>
      <c r="I23" s="500"/>
      <c r="J23" s="500"/>
      <c r="K23" s="500"/>
      <c r="L23" s="500"/>
      <c r="M23" s="500"/>
      <c r="N23" s="500"/>
      <c r="O23" s="500"/>
    </row>
    <row r="24" spans="1:15" s="494" customFormat="1" ht="12" customHeight="1">
      <c r="A24" s="498" t="s">
        <v>98</v>
      </c>
      <c r="B24" s="499" t="s">
        <v>495</v>
      </c>
      <c r="C24" s="500"/>
      <c r="D24" s="500"/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00"/>
    </row>
    <row r="25" spans="1:15" s="494" customFormat="1" ht="12" customHeight="1">
      <c r="A25" s="498" t="s">
        <v>99</v>
      </c>
      <c r="B25" s="499" t="s">
        <v>496</v>
      </c>
      <c r="C25" s="500"/>
      <c r="D25" s="500"/>
      <c r="E25" s="500"/>
      <c r="F25" s="500"/>
      <c r="G25" s="500"/>
      <c r="H25" s="500"/>
      <c r="I25" s="500"/>
      <c r="J25" s="500"/>
      <c r="K25" s="500"/>
      <c r="L25" s="500"/>
      <c r="M25" s="500"/>
      <c r="N25" s="500"/>
      <c r="O25" s="500"/>
    </row>
    <row r="26" spans="1:15" s="494" customFormat="1" ht="12" customHeight="1">
      <c r="A26" s="498" t="s">
        <v>175</v>
      </c>
      <c r="B26" s="499" t="s">
        <v>276</v>
      </c>
      <c r="C26" s="500">
        <v>9800000</v>
      </c>
      <c r="D26" s="500"/>
      <c r="E26" s="500">
        <f>C26+D26</f>
        <v>9800000</v>
      </c>
      <c r="F26" s="500">
        <v>2926115</v>
      </c>
      <c r="G26" s="500">
        <f>E26+F26</f>
        <v>12726115</v>
      </c>
      <c r="H26" s="500">
        <v>12746471</v>
      </c>
      <c r="I26" s="500">
        <f>G26+H26</f>
        <v>25472586</v>
      </c>
      <c r="J26" s="500">
        <v>4999863</v>
      </c>
      <c r="K26" s="500">
        <f>I26+J26</f>
        <v>30472449</v>
      </c>
      <c r="L26" s="500">
        <v>40819387</v>
      </c>
      <c r="M26" s="500">
        <f>K26+L26</f>
        <v>71291836</v>
      </c>
      <c r="N26" s="500"/>
      <c r="O26" s="500">
        <f>M26+N26</f>
        <v>71291836</v>
      </c>
    </row>
    <row r="27" spans="1:15" s="494" customFormat="1" ht="12" customHeight="1" thickBot="1">
      <c r="A27" s="501" t="s">
        <v>176</v>
      </c>
      <c r="B27" s="502" t="s">
        <v>277</v>
      </c>
      <c r="C27" s="504"/>
      <c r="D27" s="504"/>
      <c r="E27" s="504"/>
      <c r="F27" s="504"/>
      <c r="G27" s="504"/>
      <c r="H27" s="504"/>
      <c r="I27" s="504"/>
      <c r="J27" s="504"/>
      <c r="K27" s="504"/>
      <c r="L27" s="504"/>
      <c r="M27" s="504"/>
      <c r="N27" s="504"/>
      <c r="O27" s="504"/>
    </row>
    <row r="28" spans="1:15" s="494" customFormat="1" ht="12" customHeight="1" thickBot="1">
      <c r="A28" s="491" t="s">
        <v>177</v>
      </c>
      <c r="B28" s="492" t="s">
        <v>278</v>
      </c>
      <c r="C28" s="505">
        <f aca="true" t="shared" si="4" ref="C28:O28">+C29+C32+C33+C34</f>
        <v>60200000</v>
      </c>
      <c r="D28" s="505">
        <f t="shared" si="4"/>
        <v>0</v>
      </c>
      <c r="E28" s="505">
        <f t="shared" si="4"/>
        <v>60200000</v>
      </c>
      <c r="F28" s="505">
        <f t="shared" si="4"/>
        <v>0</v>
      </c>
      <c r="G28" s="505">
        <f t="shared" si="4"/>
        <v>60200000</v>
      </c>
      <c r="H28" s="505">
        <f t="shared" si="4"/>
        <v>0</v>
      </c>
      <c r="I28" s="505">
        <f t="shared" si="4"/>
        <v>60200000</v>
      </c>
      <c r="J28" s="505">
        <f t="shared" si="4"/>
        <v>11255764</v>
      </c>
      <c r="K28" s="505">
        <f t="shared" si="4"/>
        <v>71455764</v>
      </c>
      <c r="L28" s="505">
        <f t="shared" si="4"/>
        <v>24111367</v>
      </c>
      <c r="M28" s="505">
        <f t="shared" si="4"/>
        <v>95567131</v>
      </c>
      <c r="N28" s="505">
        <f t="shared" si="4"/>
        <v>0</v>
      </c>
      <c r="O28" s="505">
        <f t="shared" si="4"/>
        <v>95567131</v>
      </c>
    </row>
    <row r="29" spans="1:15" s="494" customFormat="1" ht="12" customHeight="1">
      <c r="A29" s="495" t="s">
        <v>279</v>
      </c>
      <c r="B29" s="496" t="s">
        <v>285</v>
      </c>
      <c r="C29" s="506">
        <f aca="true" t="shared" si="5" ref="C29:O29">+C30+C31</f>
        <v>50000000</v>
      </c>
      <c r="D29" s="506">
        <f t="shared" si="5"/>
        <v>0</v>
      </c>
      <c r="E29" s="506">
        <f t="shared" si="5"/>
        <v>50000000</v>
      </c>
      <c r="F29" s="506">
        <f t="shared" si="5"/>
        <v>0</v>
      </c>
      <c r="G29" s="506">
        <f t="shared" si="5"/>
        <v>50000000</v>
      </c>
      <c r="H29" s="506">
        <f t="shared" si="5"/>
        <v>0</v>
      </c>
      <c r="I29" s="506">
        <f t="shared" si="5"/>
        <v>50000000</v>
      </c>
      <c r="J29" s="506">
        <f t="shared" si="5"/>
        <v>11255764</v>
      </c>
      <c r="K29" s="506">
        <f t="shared" si="5"/>
        <v>61255764</v>
      </c>
      <c r="L29" s="506">
        <f t="shared" si="5"/>
        <v>23228887</v>
      </c>
      <c r="M29" s="506">
        <f t="shared" si="5"/>
        <v>84484651</v>
      </c>
      <c r="N29" s="506">
        <f t="shared" si="5"/>
        <v>0</v>
      </c>
      <c r="O29" s="506">
        <f t="shared" si="5"/>
        <v>84484651</v>
      </c>
    </row>
    <row r="30" spans="1:15" s="494" customFormat="1" ht="12" customHeight="1">
      <c r="A30" s="498" t="s">
        <v>280</v>
      </c>
      <c r="B30" s="499" t="s">
        <v>286</v>
      </c>
      <c r="C30" s="500">
        <v>10000000</v>
      </c>
      <c r="D30" s="500"/>
      <c r="E30" s="500">
        <f>C30+D30</f>
        <v>10000000</v>
      </c>
      <c r="F30" s="500"/>
      <c r="G30" s="500">
        <f>E30+F30</f>
        <v>10000000</v>
      </c>
      <c r="H30" s="500"/>
      <c r="I30" s="500">
        <f>G30+H30</f>
        <v>10000000</v>
      </c>
      <c r="J30" s="500"/>
      <c r="K30" s="500">
        <f>I30+J30</f>
        <v>10000000</v>
      </c>
      <c r="L30" s="500">
        <v>445250</v>
      </c>
      <c r="M30" s="500">
        <f>K30+L30</f>
        <v>10445250</v>
      </c>
      <c r="N30" s="500"/>
      <c r="O30" s="500">
        <f>M30+N30</f>
        <v>10445250</v>
      </c>
    </row>
    <row r="31" spans="1:15" s="494" customFormat="1" ht="12" customHeight="1">
      <c r="A31" s="498" t="s">
        <v>281</v>
      </c>
      <c r="B31" s="499" t="s">
        <v>287</v>
      </c>
      <c r="C31" s="500">
        <v>40000000</v>
      </c>
      <c r="D31" s="500"/>
      <c r="E31" s="500">
        <f>C31+D31</f>
        <v>40000000</v>
      </c>
      <c r="F31" s="500"/>
      <c r="G31" s="500">
        <f>E31+F31</f>
        <v>40000000</v>
      </c>
      <c r="H31" s="500"/>
      <c r="I31" s="500">
        <f>G31+H31</f>
        <v>40000000</v>
      </c>
      <c r="J31" s="500">
        <v>11255764</v>
      </c>
      <c r="K31" s="500">
        <f>I31+J31</f>
        <v>51255764</v>
      </c>
      <c r="L31" s="500">
        <v>22783637</v>
      </c>
      <c r="M31" s="500">
        <f>K31+L31</f>
        <v>74039401</v>
      </c>
      <c r="N31" s="500"/>
      <c r="O31" s="500">
        <f>M31+N31</f>
        <v>74039401</v>
      </c>
    </row>
    <row r="32" spans="1:15" s="494" customFormat="1" ht="12" customHeight="1">
      <c r="A32" s="498" t="s">
        <v>282</v>
      </c>
      <c r="B32" s="499" t="s">
        <v>288</v>
      </c>
      <c r="C32" s="500">
        <v>4000000</v>
      </c>
      <c r="D32" s="500"/>
      <c r="E32" s="500">
        <f>C32+D32</f>
        <v>4000000</v>
      </c>
      <c r="F32" s="500"/>
      <c r="G32" s="500">
        <f>E32+F32</f>
        <v>4000000</v>
      </c>
      <c r="H32" s="500"/>
      <c r="I32" s="500">
        <f>G32+H32</f>
        <v>4000000</v>
      </c>
      <c r="J32" s="500"/>
      <c r="K32" s="500">
        <f>I32+J32</f>
        <v>4000000</v>
      </c>
      <c r="L32" s="500">
        <v>1166439</v>
      </c>
      <c r="M32" s="500">
        <f>K32+L32</f>
        <v>5166439</v>
      </c>
      <c r="N32" s="500"/>
      <c r="O32" s="500">
        <f>M32+N32</f>
        <v>5166439</v>
      </c>
    </row>
    <row r="33" spans="1:15" s="494" customFormat="1" ht="12" customHeight="1">
      <c r="A33" s="498" t="s">
        <v>283</v>
      </c>
      <c r="B33" s="499" t="s">
        <v>289</v>
      </c>
      <c r="C33" s="500">
        <v>3000000</v>
      </c>
      <c r="D33" s="500"/>
      <c r="E33" s="500">
        <f>C33+D33</f>
        <v>3000000</v>
      </c>
      <c r="F33" s="500"/>
      <c r="G33" s="500">
        <f>E33+F33</f>
        <v>3000000</v>
      </c>
      <c r="H33" s="500"/>
      <c r="I33" s="500">
        <f>G33+H33</f>
        <v>3000000</v>
      </c>
      <c r="J33" s="500"/>
      <c r="K33" s="500">
        <f>I33+J33</f>
        <v>3000000</v>
      </c>
      <c r="L33" s="500">
        <v>-717900</v>
      </c>
      <c r="M33" s="500">
        <f>K33+L33</f>
        <v>2282100</v>
      </c>
      <c r="N33" s="500"/>
      <c r="O33" s="500">
        <f>M33+N33</f>
        <v>2282100</v>
      </c>
    </row>
    <row r="34" spans="1:15" s="494" customFormat="1" ht="12" customHeight="1" thickBot="1">
      <c r="A34" s="501" t="s">
        <v>284</v>
      </c>
      <c r="B34" s="502" t="s">
        <v>290</v>
      </c>
      <c r="C34" s="504">
        <v>3200000</v>
      </c>
      <c r="D34" s="504"/>
      <c r="E34" s="500">
        <f>C34+D34</f>
        <v>3200000</v>
      </c>
      <c r="F34" s="504"/>
      <c r="G34" s="500">
        <f>E34+F34</f>
        <v>3200000</v>
      </c>
      <c r="H34" s="504"/>
      <c r="I34" s="500">
        <f>G34+H34</f>
        <v>3200000</v>
      </c>
      <c r="J34" s="504"/>
      <c r="K34" s="500">
        <f>I34+J34</f>
        <v>3200000</v>
      </c>
      <c r="L34" s="504">
        <v>433941</v>
      </c>
      <c r="M34" s="500">
        <f>K34+L34</f>
        <v>3633941</v>
      </c>
      <c r="N34" s="504"/>
      <c r="O34" s="500">
        <f>M34+N34</f>
        <v>3633941</v>
      </c>
    </row>
    <row r="35" spans="1:15" s="494" customFormat="1" ht="12" customHeight="1" thickBot="1">
      <c r="A35" s="491" t="s">
        <v>24</v>
      </c>
      <c r="B35" s="492" t="s">
        <v>291</v>
      </c>
      <c r="C35" s="493">
        <f aca="true" t="shared" si="6" ref="C35:O35">SUM(C36:C45)</f>
        <v>31025876</v>
      </c>
      <c r="D35" s="493">
        <f t="shared" si="6"/>
        <v>501000</v>
      </c>
      <c r="E35" s="493">
        <f t="shared" si="6"/>
        <v>31526876</v>
      </c>
      <c r="F35" s="493">
        <f t="shared" si="6"/>
        <v>1287000</v>
      </c>
      <c r="G35" s="493">
        <f t="shared" si="6"/>
        <v>32813876</v>
      </c>
      <c r="H35" s="493">
        <f t="shared" si="6"/>
        <v>594000</v>
      </c>
      <c r="I35" s="493">
        <f t="shared" si="6"/>
        <v>33407876</v>
      </c>
      <c r="J35" s="493">
        <f t="shared" si="6"/>
        <v>0</v>
      </c>
      <c r="K35" s="493">
        <f t="shared" si="6"/>
        <v>33407876</v>
      </c>
      <c r="L35" s="493">
        <f t="shared" si="6"/>
        <v>12056809</v>
      </c>
      <c r="M35" s="493">
        <f t="shared" si="6"/>
        <v>45464685</v>
      </c>
      <c r="N35" s="493">
        <f t="shared" si="6"/>
        <v>-9</v>
      </c>
      <c r="O35" s="493">
        <f t="shared" si="6"/>
        <v>45464676</v>
      </c>
    </row>
    <row r="36" spans="1:15" s="494" customFormat="1" ht="12" customHeight="1">
      <c r="A36" s="495" t="s">
        <v>100</v>
      </c>
      <c r="B36" s="496" t="s">
        <v>294</v>
      </c>
      <c r="C36" s="497"/>
      <c r="D36" s="497"/>
      <c r="E36" s="497"/>
      <c r="F36" s="497"/>
      <c r="G36" s="497"/>
      <c r="H36" s="497"/>
      <c r="I36" s="497"/>
      <c r="J36" s="497"/>
      <c r="K36" s="497"/>
      <c r="L36" s="497"/>
      <c r="M36" s="497"/>
      <c r="N36" s="497"/>
      <c r="O36" s="497"/>
    </row>
    <row r="37" spans="1:15" s="494" customFormat="1" ht="12" customHeight="1">
      <c r="A37" s="498" t="s">
        <v>101</v>
      </c>
      <c r="B37" s="499" t="s">
        <v>295</v>
      </c>
      <c r="C37" s="500">
        <v>7527571</v>
      </c>
      <c r="D37" s="500"/>
      <c r="E37" s="500">
        <f>C37+D37</f>
        <v>7527571</v>
      </c>
      <c r="F37" s="500"/>
      <c r="G37" s="500">
        <f>E37+F37</f>
        <v>7527571</v>
      </c>
      <c r="H37" s="500"/>
      <c r="I37" s="500">
        <f>G37+H37</f>
        <v>7527571</v>
      </c>
      <c r="J37" s="500"/>
      <c r="K37" s="500">
        <f>I37+J37</f>
        <v>7527571</v>
      </c>
      <c r="L37" s="500">
        <f>3714872+4971529</f>
        <v>8686401</v>
      </c>
      <c r="M37" s="500">
        <f>K37+L37</f>
        <v>16213972</v>
      </c>
      <c r="N37" s="500">
        <v>-9</v>
      </c>
      <c r="O37" s="500">
        <f>M37+N37</f>
        <v>16213963</v>
      </c>
    </row>
    <row r="38" spans="1:15" s="494" customFormat="1" ht="12" customHeight="1">
      <c r="A38" s="498" t="s">
        <v>102</v>
      </c>
      <c r="B38" s="499" t="s">
        <v>296</v>
      </c>
      <c r="C38" s="500">
        <v>1100000</v>
      </c>
      <c r="D38" s="500"/>
      <c r="E38" s="500">
        <f aca="true" t="shared" si="7" ref="E38:E44">C38+D38</f>
        <v>1100000</v>
      </c>
      <c r="F38" s="500"/>
      <c r="G38" s="500">
        <f aca="true" t="shared" si="8" ref="G38:G45">E38+F38</f>
        <v>1100000</v>
      </c>
      <c r="H38" s="500"/>
      <c r="I38" s="500">
        <f aca="true" t="shared" si="9" ref="I38:I45">G38+H38</f>
        <v>1100000</v>
      </c>
      <c r="J38" s="500"/>
      <c r="K38" s="500">
        <f aca="true" t="shared" si="10" ref="K38:K45">I38+J38</f>
        <v>1100000</v>
      </c>
      <c r="L38" s="500">
        <v>750178</v>
      </c>
      <c r="M38" s="500">
        <f aca="true" t="shared" si="11" ref="M38:M45">K38+L38</f>
        <v>1850178</v>
      </c>
      <c r="N38" s="500"/>
      <c r="O38" s="500">
        <f aca="true" t="shared" si="12" ref="O38:O45">M38+N38</f>
        <v>1850178</v>
      </c>
    </row>
    <row r="39" spans="1:15" s="494" customFormat="1" ht="12" customHeight="1">
      <c r="A39" s="498" t="s">
        <v>179</v>
      </c>
      <c r="B39" s="499" t="s">
        <v>297</v>
      </c>
      <c r="C39" s="500">
        <v>4775711</v>
      </c>
      <c r="D39" s="500"/>
      <c r="E39" s="500">
        <f t="shared" si="7"/>
        <v>4775711</v>
      </c>
      <c r="F39" s="500"/>
      <c r="G39" s="500">
        <f t="shared" si="8"/>
        <v>4775711</v>
      </c>
      <c r="H39" s="500"/>
      <c r="I39" s="500">
        <f t="shared" si="9"/>
        <v>4775711</v>
      </c>
      <c r="J39" s="500"/>
      <c r="K39" s="500">
        <f t="shared" si="10"/>
        <v>4775711</v>
      </c>
      <c r="L39" s="500">
        <v>-1177212</v>
      </c>
      <c r="M39" s="500">
        <f t="shared" si="11"/>
        <v>3598499</v>
      </c>
      <c r="N39" s="500"/>
      <c r="O39" s="500">
        <f t="shared" si="12"/>
        <v>3598499</v>
      </c>
    </row>
    <row r="40" spans="1:15" s="494" customFormat="1" ht="12" customHeight="1">
      <c r="A40" s="498" t="s">
        <v>180</v>
      </c>
      <c r="B40" s="499" t="s">
        <v>298</v>
      </c>
      <c r="C40" s="500">
        <v>11900000</v>
      </c>
      <c r="D40" s="500"/>
      <c r="E40" s="500">
        <f t="shared" si="7"/>
        <v>11900000</v>
      </c>
      <c r="F40" s="500"/>
      <c r="G40" s="500">
        <f t="shared" si="8"/>
        <v>11900000</v>
      </c>
      <c r="H40" s="500"/>
      <c r="I40" s="500">
        <f t="shared" si="9"/>
        <v>11900000</v>
      </c>
      <c r="J40" s="500"/>
      <c r="K40" s="500">
        <f t="shared" si="10"/>
        <v>11900000</v>
      </c>
      <c r="L40" s="500">
        <f>274306-3854199</f>
        <v>-3579893</v>
      </c>
      <c r="M40" s="500">
        <f t="shared" si="11"/>
        <v>8320107</v>
      </c>
      <c r="N40" s="500"/>
      <c r="O40" s="500">
        <f t="shared" si="12"/>
        <v>8320107</v>
      </c>
    </row>
    <row r="41" spans="1:15" s="494" customFormat="1" ht="12" customHeight="1">
      <c r="A41" s="498" t="s">
        <v>181</v>
      </c>
      <c r="B41" s="499" t="s">
        <v>299</v>
      </c>
      <c r="C41" s="500">
        <f>1909594+3213000</f>
        <v>5122594</v>
      </c>
      <c r="D41" s="500"/>
      <c r="E41" s="500">
        <f t="shared" si="7"/>
        <v>5122594</v>
      </c>
      <c r="F41" s="500"/>
      <c r="G41" s="500">
        <f t="shared" si="8"/>
        <v>5122594</v>
      </c>
      <c r="H41" s="500"/>
      <c r="I41" s="500">
        <f t="shared" si="9"/>
        <v>5122594</v>
      </c>
      <c r="J41" s="500"/>
      <c r="K41" s="500">
        <f t="shared" si="10"/>
        <v>5122594</v>
      </c>
      <c r="L41" s="500">
        <f>565770+288175</f>
        <v>853945</v>
      </c>
      <c r="M41" s="500">
        <f t="shared" si="11"/>
        <v>5976539</v>
      </c>
      <c r="N41" s="500"/>
      <c r="O41" s="500">
        <f t="shared" si="12"/>
        <v>5976539</v>
      </c>
    </row>
    <row r="42" spans="1:15" s="494" customFormat="1" ht="12" customHeight="1">
      <c r="A42" s="498" t="s">
        <v>182</v>
      </c>
      <c r="B42" s="499" t="s">
        <v>300</v>
      </c>
      <c r="C42" s="500">
        <v>0</v>
      </c>
      <c r="D42" s="500">
        <v>378000</v>
      </c>
      <c r="E42" s="500">
        <f t="shared" si="7"/>
        <v>378000</v>
      </c>
      <c r="F42" s="500">
        <v>908000</v>
      </c>
      <c r="G42" s="500">
        <f t="shared" si="8"/>
        <v>1286000</v>
      </c>
      <c r="H42" s="500">
        <v>594000</v>
      </c>
      <c r="I42" s="500">
        <f t="shared" si="9"/>
        <v>1880000</v>
      </c>
      <c r="J42" s="500"/>
      <c r="K42" s="500">
        <f t="shared" si="10"/>
        <v>1880000</v>
      </c>
      <c r="L42" s="500">
        <v>2048000</v>
      </c>
      <c r="M42" s="500">
        <f t="shared" si="11"/>
        <v>3928000</v>
      </c>
      <c r="N42" s="500"/>
      <c r="O42" s="500">
        <f t="shared" si="12"/>
        <v>3928000</v>
      </c>
    </row>
    <row r="43" spans="1:15" s="494" customFormat="1" ht="12" customHeight="1">
      <c r="A43" s="498" t="s">
        <v>183</v>
      </c>
      <c r="B43" s="499" t="s">
        <v>301</v>
      </c>
      <c r="C43" s="500">
        <v>600000</v>
      </c>
      <c r="D43" s="500"/>
      <c r="E43" s="500">
        <f t="shared" si="7"/>
        <v>600000</v>
      </c>
      <c r="F43" s="500"/>
      <c r="G43" s="500">
        <f t="shared" si="8"/>
        <v>600000</v>
      </c>
      <c r="H43" s="500"/>
      <c r="I43" s="500">
        <f t="shared" si="9"/>
        <v>600000</v>
      </c>
      <c r="J43" s="500"/>
      <c r="K43" s="500">
        <f t="shared" si="10"/>
        <v>600000</v>
      </c>
      <c r="L43" s="500"/>
      <c r="M43" s="500">
        <f t="shared" si="11"/>
        <v>600000</v>
      </c>
      <c r="N43" s="500"/>
      <c r="O43" s="500">
        <f t="shared" si="12"/>
        <v>600000</v>
      </c>
    </row>
    <row r="44" spans="1:15" s="494" customFormat="1" ht="12" customHeight="1">
      <c r="A44" s="498" t="s">
        <v>292</v>
      </c>
      <c r="B44" s="499" t="s">
        <v>302</v>
      </c>
      <c r="C44" s="507"/>
      <c r="D44" s="507"/>
      <c r="E44" s="500">
        <f t="shared" si="7"/>
        <v>0</v>
      </c>
      <c r="F44" s="507"/>
      <c r="G44" s="500">
        <f t="shared" si="8"/>
        <v>0</v>
      </c>
      <c r="H44" s="507"/>
      <c r="I44" s="500">
        <f t="shared" si="9"/>
        <v>0</v>
      </c>
      <c r="J44" s="507"/>
      <c r="K44" s="500">
        <f t="shared" si="10"/>
        <v>0</v>
      </c>
      <c r="L44" s="507"/>
      <c r="M44" s="500">
        <f t="shared" si="11"/>
        <v>0</v>
      </c>
      <c r="N44" s="507"/>
      <c r="O44" s="500">
        <f t="shared" si="12"/>
        <v>0</v>
      </c>
    </row>
    <row r="45" spans="1:15" s="494" customFormat="1" ht="12" customHeight="1" thickBot="1">
      <c r="A45" s="501" t="s">
        <v>293</v>
      </c>
      <c r="B45" s="502" t="s">
        <v>303</v>
      </c>
      <c r="C45" s="508">
        <v>0</v>
      </c>
      <c r="D45" s="508">
        <v>123000</v>
      </c>
      <c r="E45" s="508">
        <v>123000</v>
      </c>
      <c r="F45" s="508">
        <v>379000</v>
      </c>
      <c r="G45" s="500">
        <f t="shared" si="8"/>
        <v>502000</v>
      </c>
      <c r="H45" s="508"/>
      <c r="I45" s="500">
        <f t="shared" si="9"/>
        <v>502000</v>
      </c>
      <c r="J45" s="508"/>
      <c r="K45" s="500">
        <f t="shared" si="10"/>
        <v>502000</v>
      </c>
      <c r="L45" s="508">
        <f>3238199+1237191</f>
        <v>4475390</v>
      </c>
      <c r="M45" s="500">
        <f t="shared" si="11"/>
        <v>4977390</v>
      </c>
      <c r="N45" s="508"/>
      <c r="O45" s="500">
        <f t="shared" si="12"/>
        <v>4977390</v>
      </c>
    </row>
    <row r="46" spans="1:15" s="494" customFormat="1" ht="12" customHeight="1" thickBot="1">
      <c r="A46" s="491" t="s">
        <v>25</v>
      </c>
      <c r="B46" s="492" t="s">
        <v>304</v>
      </c>
      <c r="C46" s="493">
        <f aca="true" t="shared" si="13" ref="C46:O46">SUM(C47:C51)</f>
        <v>0</v>
      </c>
      <c r="D46" s="493">
        <f t="shared" si="13"/>
        <v>0</v>
      </c>
      <c r="E46" s="493">
        <f t="shared" si="13"/>
        <v>0</v>
      </c>
      <c r="F46" s="493">
        <f t="shared" si="13"/>
        <v>0</v>
      </c>
      <c r="G46" s="493">
        <f t="shared" si="13"/>
        <v>0</v>
      </c>
      <c r="H46" s="493">
        <f t="shared" si="13"/>
        <v>0</v>
      </c>
      <c r="I46" s="493">
        <f t="shared" si="13"/>
        <v>0</v>
      </c>
      <c r="J46" s="493">
        <f t="shared" si="13"/>
        <v>0</v>
      </c>
      <c r="K46" s="493">
        <f t="shared" si="13"/>
        <v>0</v>
      </c>
      <c r="L46" s="493">
        <f t="shared" si="13"/>
        <v>14000000</v>
      </c>
      <c r="M46" s="493">
        <f t="shared" si="13"/>
        <v>14000000</v>
      </c>
      <c r="N46" s="493">
        <f t="shared" si="13"/>
        <v>0</v>
      </c>
      <c r="O46" s="493">
        <f t="shared" si="13"/>
        <v>14000000</v>
      </c>
    </row>
    <row r="47" spans="1:15" s="494" customFormat="1" ht="12" customHeight="1">
      <c r="A47" s="495" t="s">
        <v>103</v>
      </c>
      <c r="B47" s="496" t="s">
        <v>308</v>
      </c>
      <c r="C47" s="509"/>
      <c r="D47" s="509"/>
      <c r="E47" s="509"/>
      <c r="F47" s="509"/>
      <c r="G47" s="509"/>
      <c r="H47" s="509"/>
      <c r="I47" s="509"/>
      <c r="J47" s="509"/>
      <c r="K47" s="509"/>
      <c r="L47" s="509"/>
      <c r="M47" s="509"/>
      <c r="N47" s="509"/>
      <c r="O47" s="509"/>
    </row>
    <row r="48" spans="1:15" s="494" customFormat="1" ht="12" customHeight="1">
      <c r="A48" s="498" t="s">
        <v>104</v>
      </c>
      <c r="B48" s="499" t="s">
        <v>309</v>
      </c>
      <c r="C48" s="507"/>
      <c r="D48" s="507"/>
      <c r="E48" s="507"/>
      <c r="F48" s="507"/>
      <c r="G48" s="507"/>
      <c r="H48" s="507"/>
      <c r="I48" s="507"/>
      <c r="J48" s="507"/>
      <c r="K48" s="507"/>
      <c r="L48" s="507">
        <v>14000000</v>
      </c>
      <c r="M48" s="507">
        <f>K48+L48</f>
        <v>14000000</v>
      </c>
      <c r="N48" s="507"/>
      <c r="O48" s="507">
        <f>M48+N48</f>
        <v>14000000</v>
      </c>
    </row>
    <row r="49" spans="1:15" s="494" customFormat="1" ht="12" customHeight="1">
      <c r="A49" s="498" t="s">
        <v>305</v>
      </c>
      <c r="B49" s="499" t="s">
        <v>310</v>
      </c>
      <c r="C49" s="507"/>
      <c r="D49" s="507"/>
      <c r="E49" s="507"/>
      <c r="F49" s="507"/>
      <c r="G49" s="507"/>
      <c r="H49" s="507"/>
      <c r="I49" s="507"/>
      <c r="J49" s="507"/>
      <c r="K49" s="507"/>
      <c r="L49" s="507"/>
      <c r="M49" s="507"/>
      <c r="N49" s="507"/>
      <c r="O49" s="507"/>
    </row>
    <row r="50" spans="1:15" s="494" customFormat="1" ht="12" customHeight="1">
      <c r="A50" s="498" t="s">
        <v>306</v>
      </c>
      <c r="B50" s="499" t="s">
        <v>311</v>
      </c>
      <c r="C50" s="507"/>
      <c r="D50" s="507"/>
      <c r="E50" s="507"/>
      <c r="F50" s="507"/>
      <c r="G50" s="507"/>
      <c r="H50" s="507"/>
      <c r="I50" s="507"/>
      <c r="J50" s="507"/>
      <c r="K50" s="507"/>
      <c r="L50" s="507"/>
      <c r="M50" s="507"/>
      <c r="N50" s="507"/>
      <c r="O50" s="507"/>
    </row>
    <row r="51" spans="1:15" s="494" customFormat="1" ht="12" customHeight="1" thickBot="1">
      <c r="A51" s="501" t="s">
        <v>307</v>
      </c>
      <c r="B51" s="502" t="s">
        <v>312</v>
      </c>
      <c r="C51" s="508"/>
      <c r="D51" s="508"/>
      <c r="E51" s="508"/>
      <c r="F51" s="508"/>
      <c r="G51" s="508"/>
      <c r="H51" s="508"/>
      <c r="I51" s="508"/>
      <c r="J51" s="508"/>
      <c r="K51" s="508"/>
      <c r="L51" s="508"/>
      <c r="M51" s="508"/>
      <c r="N51" s="508"/>
      <c r="O51" s="508"/>
    </row>
    <row r="52" spans="1:15" s="494" customFormat="1" ht="12" customHeight="1" thickBot="1">
      <c r="A52" s="491" t="s">
        <v>184</v>
      </c>
      <c r="B52" s="492" t="s">
        <v>313</v>
      </c>
      <c r="C52" s="493">
        <f aca="true" t="shared" si="14" ref="C52:O52">SUM(C53:C55)</f>
        <v>0</v>
      </c>
      <c r="D52" s="493">
        <f t="shared" si="14"/>
        <v>0</v>
      </c>
      <c r="E52" s="493">
        <f t="shared" si="14"/>
        <v>0</v>
      </c>
      <c r="F52" s="493">
        <f t="shared" si="14"/>
        <v>0</v>
      </c>
      <c r="G52" s="493">
        <f t="shared" si="14"/>
        <v>0</v>
      </c>
      <c r="H52" s="493">
        <f t="shared" si="14"/>
        <v>0</v>
      </c>
      <c r="I52" s="493">
        <f t="shared" si="14"/>
        <v>0</v>
      </c>
      <c r="J52" s="493">
        <f t="shared" si="14"/>
        <v>0</v>
      </c>
      <c r="K52" s="493">
        <f t="shared" si="14"/>
        <v>0</v>
      </c>
      <c r="L52" s="493">
        <f t="shared" si="14"/>
        <v>0</v>
      </c>
      <c r="M52" s="493">
        <f t="shared" si="14"/>
        <v>0</v>
      </c>
      <c r="N52" s="493">
        <f t="shared" si="14"/>
        <v>0</v>
      </c>
      <c r="O52" s="493">
        <f t="shared" si="14"/>
        <v>0</v>
      </c>
    </row>
    <row r="53" spans="1:15" s="494" customFormat="1" ht="12" customHeight="1">
      <c r="A53" s="495" t="s">
        <v>105</v>
      </c>
      <c r="B53" s="496" t="s">
        <v>314</v>
      </c>
      <c r="C53" s="497"/>
      <c r="D53" s="497"/>
      <c r="E53" s="497"/>
      <c r="F53" s="497"/>
      <c r="G53" s="497"/>
      <c r="H53" s="497"/>
      <c r="I53" s="497"/>
      <c r="J53" s="497"/>
      <c r="K53" s="497"/>
      <c r="L53" s="497"/>
      <c r="M53" s="497"/>
      <c r="N53" s="497"/>
      <c r="O53" s="497"/>
    </row>
    <row r="54" spans="1:15" s="494" customFormat="1" ht="12" customHeight="1">
      <c r="A54" s="498" t="s">
        <v>106</v>
      </c>
      <c r="B54" s="499" t="s">
        <v>497</v>
      </c>
      <c r="C54" s="500"/>
      <c r="D54" s="500"/>
      <c r="E54" s="500"/>
      <c r="F54" s="500"/>
      <c r="G54" s="500"/>
      <c r="H54" s="500"/>
      <c r="I54" s="500"/>
      <c r="J54" s="500"/>
      <c r="K54" s="500"/>
      <c r="L54" s="500"/>
      <c r="M54" s="500"/>
      <c r="N54" s="500"/>
      <c r="O54" s="500"/>
    </row>
    <row r="55" spans="1:15" s="494" customFormat="1" ht="12" customHeight="1">
      <c r="A55" s="498" t="s">
        <v>318</v>
      </c>
      <c r="B55" s="499" t="s">
        <v>316</v>
      </c>
      <c r="C55" s="500"/>
      <c r="D55" s="500"/>
      <c r="E55" s="500"/>
      <c r="F55" s="500"/>
      <c r="G55" s="500"/>
      <c r="H55" s="500"/>
      <c r="I55" s="500"/>
      <c r="J55" s="500"/>
      <c r="K55" s="500"/>
      <c r="L55" s="500"/>
      <c r="M55" s="500"/>
      <c r="N55" s="500"/>
      <c r="O55" s="500"/>
    </row>
    <row r="56" spans="1:15" s="494" customFormat="1" ht="12" customHeight="1" thickBot="1">
      <c r="A56" s="501" t="s">
        <v>319</v>
      </c>
      <c r="B56" s="502" t="s">
        <v>317</v>
      </c>
      <c r="C56" s="504"/>
      <c r="D56" s="504"/>
      <c r="E56" s="504"/>
      <c r="F56" s="504"/>
      <c r="G56" s="504"/>
      <c r="H56" s="504"/>
      <c r="I56" s="504"/>
      <c r="J56" s="504"/>
      <c r="K56" s="504"/>
      <c r="L56" s="504"/>
      <c r="M56" s="504"/>
      <c r="N56" s="504"/>
      <c r="O56" s="504"/>
    </row>
    <row r="57" spans="1:15" s="494" customFormat="1" ht="12" customHeight="1" thickBot="1">
      <c r="A57" s="491" t="s">
        <v>27</v>
      </c>
      <c r="B57" s="503" t="s">
        <v>320</v>
      </c>
      <c r="C57" s="493">
        <f aca="true" t="shared" si="15" ref="C57:O57">SUM(C58:C60)</f>
        <v>0</v>
      </c>
      <c r="D57" s="493">
        <f t="shared" si="15"/>
        <v>0</v>
      </c>
      <c r="E57" s="493">
        <f t="shared" si="15"/>
        <v>0</v>
      </c>
      <c r="F57" s="493">
        <f t="shared" si="15"/>
        <v>0</v>
      </c>
      <c r="G57" s="493">
        <f t="shared" si="15"/>
        <v>0</v>
      </c>
      <c r="H57" s="493">
        <f t="shared" si="15"/>
        <v>0</v>
      </c>
      <c r="I57" s="493">
        <f t="shared" si="15"/>
        <v>0</v>
      </c>
      <c r="J57" s="493">
        <f t="shared" si="15"/>
        <v>0</v>
      </c>
      <c r="K57" s="493">
        <f t="shared" si="15"/>
        <v>0</v>
      </c>
      <c r="L57" s="493">
        <f t="shared" si="15"/>
        <v>0</v>
      </c>
      <c r="M57" s="493">
        <f t="shared" si="15"/>
        <v>0</v>
      </c>
      <c r="N57" s="493">
        <f t="shared" si="15"/>
        <v>0</v>
      </c>
      <c r="O57" s="493">
        <f t="shared" si="15"/>
        <v>0</v>
      </c>
    </row>
    <row r="58" spans="1:15" s="494" customFormat="1" ht="12" customHeight="1">
      <c r="A58" s="495" t="s">
        <v>185</v>
      </c>
      <c r="B58" s="496" t="s">
        <v>322</v>
      </c>
      <c r="C58" s="507"/>
      <c r="D58" s="507"/>
      <c r="E58" s="507"/>
      <c r="F58" s="507"/>
      <c r="G58" s="507"/>
      <c r="H58" s="507"/>
      <c r="I58" s="507"/>
      <c r="J58" s="507"/>
      <c r="K58" s="507"/>
      <c r="L58" s="507"/>
      <c r="M58" s="507"/>
      <c r="N58" s="507"/>
      <c r="O58" s="507"/>
    </row>
    <row r="59" spans="1:15" s="494" customFormat="1" ht="12" customHeight="1">
      <c r="A59" s="498" t="s">
        <v>186</v>
      </c>
      <c r="B59" s="499" t="s">
        <v>498</v>
      </c>
      <c r="C59" s="507"/>
      <c r="D59" s="507"/>
      <c r="E59" s="507"/>
      <c r="F59" s="507"/>
      <c r="G59" s="507"/>
      <c r="H59" s="507"/>
      <c r="I59" s="507"/>
      <c r="J59" s="507"/>
      <c r="K59" s="507"/>
      <c r="L59" s="507"/>
      <c r="M59" s="507"/>
      <c r="N59" s="507"/>
      <c r="O59" s="507"/>
    </row>
    <row r="60" spans="1:15" s="494" customFormat="1" ht="12" customHeight="1">
      <c r="A60" s="498" t="s">
        <v>235</v>
      </c>
      <c r="B60" s="499" t="s">
        <v>323</v>
      </c>
      <c r="C60" s="507">
        <v>0</v>
      </c>
      <c r="D60" s="507">
        <v>0</v>
      </c>
      <c r="E60" s="507">
        <v>0</v>
      </c>
      <c r="F60" s="507">
        <v>0</v>
      </c>
      <c r="G60" s="507">
        <v>0</v>
      </c>
      <c r="H60" s="507">
        <v>0</v>
      </c>
      <c r="I60" s="507">
        <v>0</v>
      </c>
      <c r="J60" s="507">
        <v>0</v>
      </c>
      <c r="K60" s="507">
        <v>0</v>
      </c>
      <c r="L60" s="507">
        <v>0</v>
      </c>
      <c r="M60" s="507">
        <v>0</v>
      </c>
      <c r="N60" s="507">
        <v>0</v>
      </c>
      <c r="O60" s="507">
        <v>0</v>
      </c>
    </row>
    <row r="61" spans="1:15" s="494" customFormat="1" ht="12" customHeight="1" thickBot="1">
      <c r="A61" s="501" t="s">
        <v>321</v>
      </c>
      <c r="B61" s="502" t="s">
        <v>324</v>
      </c>
      <c r="C61" s="507"/>
      <c r="D61" s="507"/>
      <c r="E61" s="507"/>
      <c r="F61" s="507"/>
      <c r="G61" s="507"/>
      <c r="H61" s="507"/>
      <c r="I61" s="507"/>
      <c r="J61" s="507"/>
      <c r="K61" s="507"/>
      <c r="L61" s="507"/>
      <c r="M61" s="507"/>
      <c r="N61" s="507"/>
      <c r="O61" s="507"/>
    </row>
    <row r="62" spans="1:15" s="494" customFormat="1" ht="12" customHeight="1" thickBot="1">
      <c r="A62" s="491" t="s">
        <v>28</v>
      </c>
      <c r="B62" s="492" t="s">
        <v>325</v>
      </c>
      <c r="C62" s="505">
        <f aca="true" t="shared" si="16" ref="C62:O62">+C7+C14+C21+C28+C35+C46+C52+C57</f>
        <v>246130027</v>
      </c>
      <c r="D62" s="505">
        <f t="shared" si="16"/>
        <v>1655708</v>
      </c>
      <c r="E62" s="505">
        <f t="shared" si="16"/>
        <v>247785735</v>
      </c>
      <c r="F62" s="505">
        <f t="shared" si="16"/>
        <v>19415991</v>
      </c>
      <c r="G62" s="505">
        <f t="shared" si="16"/>
        <v>267201726</v>
      </c>
      <c r="H62" s="505">
        <f t="shared" si="16"/>
        <v>21324047</v>
      </c>
      <c r="I62" s="505">
        <f t="shared" si="16"/>
        <v>288525773</v>
      </c>
      <c r="J62" s="505">
        <f t="shared" si="16"/>
        <v>17001163</v>
      </c>
      <c r="K62" s="505">
        <f t="shared" si="16"/>
        <v>305526936</v>
      </c>
      <c r="L62" s="505">
        <f t="shared" si="16"/>
        <v>91399117</v>
      </c>
      <c r="M62" s="505">
        <f t="shared" si="16"/>
        <v>396926053</v>
      </c>
      <c r="N62" s="505">
        <f t="shared" si="16"/>
        <v>254494</v>
      </c>
      <c r="O62" s="505">
        <f t="shared" si="16"/>
        <v>397180547</v>
      </c>
    </row>
    <row r="63" spans="1:15" s="494" customFormat="1" ht="12" customHeight="1" thickBot="1">
      <c r="A63" s="510" t="s">
        <v>326</v>
      </c>
      <c r="B63" s="503" t="s">
        <v>327</v>
      </c>
      <c r="C63" s="493">
        <f aca="true" t="shared" si="17" ref="C63:O63">SUM(C64:C66)</f>
        <v>0</v>
      </c>
      <c r="D63" s="493">
        <f t="shared" si="17"/>
        <v>0</v>
      </c>
      <c r="E63" s="493">
        <f t="shared" si="17"/>
        <v>0</v>
      </c>
      <c r="F63" s="493">
        <f t="shared" si="17"/>
        <v>0</v>
      </c>
      <c r="G63" s="493">
        <f t="shared" si="17"/>
        <v>0</v>
      </c>
      <c r="H63" s="493">
        <f t="shared" si="17"/>
        <v>0</v>
      </c>
      <c r="I63" s="493">
        <f t="shared" si="17"/>
        <v>0</v>
      </c>
      <c r="J63" s="493">
        <f t="shared" si="17"/>
        <v>0</v>
      </c>
      <c r="K63" s="493">
        <f t="shared" si="17"/>
        <v>0</v>
      </c>
      <c r="L63" s="493">
        <f t="shared" si="17"/>
        <v>0</v>
      </c>
      <c r="M63" s="493">
        <f t="shared" si="17"/>
        <v>0</v>
      </c>
      <c r="N63" s="493">
        <f t="shared" si="17"/>
        <v>0</v>
      </c>
      <c r="O63" s="493">
        <f t="shared" si="17"/>
        <v>0</v>
      </c>
    </row>
    <row r="64" spans="1:15" s="494" customFormat="1" ht="12" customHeight="1">
      <c r="A64" s="495" t="s">
        <v>360</v>
      </c>
      <c r="B64" s="496" t="s">
        <v>328</v>
      </c>
      <c r="C64" s="507"/>
      <c r="D64" s="507"/>
      <c r="E64" s="507"/>
      <c r="F64" s="507"/>
      <c r="G64" s="507"/>
      <c r="H64" s="507"/>
      <c r="I64" s="507"/>
      <c r="J64" s="507"/>
      <c r="K64" s="507"/>
      <c r="L64" s="507"/>
      <c r="M64" s="507"/>
      <c r="N64" s="507"/>
      <c r="O64" s="507"/>
    </row>
    <row r="65" spans="1:15" s="494" customFormat="1" ht="12" customHeight="1">
      <c r="A65" s="498" t="s">
        <v>369</v>
      </c>
      <c r="B65" s="499" t="s">
        <v>329</v>
      </c>
      <c r="C65" s="507"/>
      <c r="D65" s="507"/>
      <c r="E65" s="507"/>
      <c r="F65" s="507"/>
      <c r="G65" s="507"/>
      <c r="H65" s="507"/>
      <c r="I65" s="507"/>
      <c r="J65" s="507"/>
      <c r="K65" s="507"/>
      <c r="L65" s="507"/>
      <c r="M65" s="507"/>
      <c r="N65" s="507"/>
      <c r="O65" s="507"/>
    </row>
    <row r="66" spans="1:15" s="494" customFormat="1" ht="12" customHeight="1" thickBot="1">
      <c r="A66" s="501" t="s">
        <v>370</v>
      </c>
      <c r="B66" s="511" t="s">
        <v>330</v>
      </c>
      <c r="C66" s="507"/>
      <c r="D66" s="507"/>
      <c r="E66" s="507"/>
      <c r="F66" s="507"/>
      <c r="G66" s="507"/>
      <c r="H66" s="507"/>
      <c r="I66" s="507"/>
      <c r="J66" s="507"/>
      <c r="K66" s="507"/>
      <c r="L66" s="507"/>
      <c r="M66" s="507"/>
      <c r="N66" s="507"/>
      <c r="O66" s="507"/>
    </row>
    <row r="67" spans="1:15" s="494" customFormat="1" ht="12" customHeight="1" thickBot="1">
      <c r="A67" s="510" t="s">
        <v>331</v>
      </c>
      <c r="B67" s="503" t="s">
        <v>332</v>
      </c>
      <c r="C67" s="493">
        <f aca="true" t="shared" si="18" ref="C67:O67">SUM(C68:C71)</f>
        <v>0</v>
      </c>
      <c r="D67" s="493">
        <f t="shared" si="18"/>
        <v>0</v>
      </c>
      <c r="E67" s="493">
        <f t="shared" si="18"/>
        <v>0</v>
      </c>
      <c r="F67" s="493">
        <f t="shared" si="18"/>
        <v>0</v>
      </c>
      <c r="G67" s="493">
        <f t="shared" si="18"/>
        <v>0</v>
      </c>
      <c r="H67" s="493">
        <f t="shared" si="18"/>
        <v>0</v>
      </c>
      <c r="I67" s="493">
        <f t="shared" si="18"/>
        <v>0</v>
      </c>
      <c r="J67" s="493">
        <f t="shared" si="18"/>
        <v>0</v>
      </c>
      <c r="K67" s="493">
        <f t="shared" si="18"/>
        <v>0</v>
      </c>
      <c r="L67" s="493">
        <f t="shared" si="18"/>
        <v>0</v>
      </c>
      <c r="M67" s="493">
        <f t="shared" si="18"/>
        <v>0</v>
      </c>
      <c r="N67" s="493">
        <f t="shared" si="18"/>
        <v>0</v>
      </c>
      <c r="O67" s="493">
        <f t="shared" si="18"/>
        <v>0</v>
      </c>
    </row>
    <row r="68" spans="1:15" s="494" customFormat="1" ht="12" customHeight="1">
      <c r="A68" s="495" t="s">
        <v>153</v>
      </c>
      <c r="B68" s="496" t="s">
        <v>333</v>
      </c>
      <c r="C68" s="507"/>
      <c r="D68" s="507"/>
      <c r="E68" s="507"/>
      <c r="F68" s="507"/>
      <c r="G68" s="507"/>
      <c r="H68" s="507"/>
      <c r="I68" s="507"/>
      <c r="J68" s="507"/>
      <c r="K68" s="507"/>
      <c r="L68" s="507"/>
      <c r="M68" s="507"/>
      <c r="N68" s="507"/>
      <c r="O68" s="507"/>
    </row>
    <row r="69" spans="1:15" s="494" customFormat="1" ht="12" customHeight="1">
      <c r="A69" s="498" t="s">
        <v>154</v>
      </c>
      <c r="B69" s="499" t="s">
        <v>334</v>
      </c>
      <c r="C69" s="507"/>
      <c r="D69" s="507"/>
      <c r="E69" s="507"/>
      <c r="F69" s="507"/>
      <c r="G69" s="507"/>
      <c r="H69" s="507"/>
      <c r="I69" s="507"/>
      <c r="J69" s="507"/>
      <c r="K69" s="507"/>
      <c r="L69" s="507"/>
      <c r="M69" s="507"/>
      <c r="N69" s="507"/>
      <c r="O69" s="507"/>
    </row>
    <row r="70" spans="1:15" s="494" customFormat="1" ht="12" customHeight="1">
      <c r="A70" s="498" t="s">
        <v>361</v>
      </c>
      <c r="B70" s="499" t="s">
        <v>335</v>
      </c>
      <c r="C70" s="507"/>
      <c r="D70" s="507"/>
      <c r="E70" s="507"/>
      <c r="F70" s="507"/>
      <c r="G70" s="507"/>
      <c r="H70" s="507"/>
      <c r="I70" s="507"/>
      <c r="J70" s="507"/>
      <c r="K70" s="507"/>
      <c r="L70" s="507"/>
      <c r="M70" s="507"/>
      <c r="N70" s="507"/>
      <c r="O70" s="507"/>
    </row>
    <row r="71" spans="1:15" s="494" customFormat="1" ht="12" customHeight="1" thickBot="1">
      <c r="A71" s="501" t="s">
        <v>362</v>
      </c>
      <c r="B71" s="502" t="s">
        <v>336</v>
      </c>
      <c r="C71" s="507"/>
      <c r="D71" s="507"/>
      <c r="E71" s="507"/>
      <c r="F71" s="507"/>
      <c r="G71" s="507"/>
      <c r="H71" s="507"/>
      <c r="I71" s="507"/>
      <c r="J71" s="507"/>
      <c r="K71" s="507"/>
      <c r="L71" s="507"/>
      <c r="M71" s="507"/>
      <c r="N71" s="507"/>
      <c r="O71" s="507"/>
    </row>
    <row r="72" spans="1:15" s="494" customFormat="1" ht="12" customHeight="1" thickBot="1">
      <c r="A72" s="510" t="s">
        <v>337</v>
      </c>
      <c r="B72" s="503" t="s">
        <v>338</v>
      </c>
      <c r="C72" s="493">
        <f aca="true" t="shared" si="19" ref="C72:O72">SUM(C73:C74)</f>
        <v>156678969</v>
      </c>
      <c r="D72" s="493">
        <f t="shared" si="19"/>
        <v>-1381723</v>
      </c>
      <c r="E72" s="493">
        <f t="shared" si="19"/>
        <v>155297246</v>
      </c>
      <c r="F72" s="493">
        <f t="shared" si="19"/>
        <v>0</v>
      </c>
      <c r="G72" s="493">
        <f t="shared" si="19"/>
        <v>155297246</v>
      </c>
      <c r="H72" s="493">
        <f t="shared" si="19"/>
        <v>0</v>
      </c>
      <c r="I72" s="493">
        <f t="shared" si="19"/>
        <v>155297246</v>
      </c>
      <c r="J72" s="493">
        <f t="shared" si="19"/>
        <v>0</v>
      </c>
      <c r="K72" s="493">
        <f t="shared" si="19"/>
        <v>155297246</v>
      </c>
      <c r="L72" s="493">
        <f t="shared" si="19"/>
        <v>0</v>
      </c>
      <c r="M72" s="493">
        <f t="shared" si="19"/>
        <v>155297246</v>
      </c>
      <c r="N72" s="493">
        <f t="shared" si="19"/>
        <v>0</v>
      </c>
      <c r="O72" s="493">
        <f t="shared" si="19"/>
        <v>155297246</v>
      </c>
    </row>
    <row r="73" spans="1:15" s="494" customFormat="1" ht="12" customHeight="1">
      <c r="A73" s="495" t="s">
        <v>363</v>
      </c>
      <c r="B73" s="496" t="s">
        <v>339</v>
      </c>
      <c r="C73" s="507">
        <f>155465622+1033680+179667</f>
        <v>156678969</v>
      </c>
      <c r="D73" s="507">
        <v>-1381723</v>
      </c>
      <c r="E73" s="507">
        <f>C73+D73</f>
        <v>155297246</v>
      </c>
      <c r="F73" s="507"/>
      <c r="G73" s="507">
        <f>E73+F73</f>
        <v>155297246</v>
      </c>
      <c r="H73" s="507"/>
      <c r="I73" s="507">
        <f>G73+H73</f>
        <v>155297246</v>
      </c>
      <c r="J73" s="507"/>
      <c r="K73" s="507">
        <f>I73+J73</f>
        <v>155297246</v>
      </c>
      <c r="L73" s="507"/>
      <c r="M73" s="507">
        <f>K73+L73</f>
        <v>155297246</v>
      </c>
      <c r="N73" s="507"/>
      <c r="O73" s="507">
        <f>M73+N73</f>
        <v>155297246</v>
      </c>
    </row>
    <row r="74" spans="1:15" s="494" customFormat="1" ht="12" customHeight="1" thickBot="1">
      <c r="A74" s="501" t="s">
        <v>364</v>
      </c>
      <c r="B74" s="502" t="s">
        <v>340</v>
      </c>
      <c r="C74" s="507"/>
      <c r="D74" s="507"/>
      <c r="E74" s="507"/>
      <c r="F74" s="507"/>
      <c r="G74" s="507"/>
      <c r="H74" s="507"/>
      <c r="I74" s="507"/>
      <c r="J74" s="507"/>
      <c r="K74" s="507"/>
      <c r="L74" s="507"/>
      <c r="M74" s="507"/>
      <c r="N74" s="507"/>
      <c r="O74" s="507"/>
    </row>
    <row r="75" spans="1:15" s="494" customFormat="1" ht="12" customHeight="1" thickBot="1">
      <c r="A75" s="510" t="s">
        <v>341</v>
      </c>
      <c r="B75" s="503" t="s">
        <v>342</v>
      </c>
      <c r="C75" s="493">
        <f aca="true" t="shared" si="20" ref="C75:O75">SUM(C76:C78)</f>
        <v>0</v>
      </c>
      <c r="D75" s="493">
        <f t="shared" si="20"/>
        <v>0</v>
      </c>
      <c r="E75" s="493">
        <f t="shared" si="20"/>
        <v>0</v>
      </c>
      <c r="F75" s="493">
        <f t="shared" si="20"/>
        <v>0</v>
      </c>
      <c r="G75" s="493">
        <f t="shared" si="20"/>
        <v>0</v>
      </c>
      <c r="H75" s="493">
        <f t="shared" si="20"/>
        <v>0</v>
      </c>
      <c r="I75" s="493">
        <f t="shared" si="20"/>
        <v>0</v>
      </c>
      <c r="J75" s="493">
        <f t="shared" si="20"/>
        <v>0</v>
      </c>
      <c r="K75" s="493">
        <f t="shared" si="20"/>
        <v>0</v>
      </c>
      <c r="L75" s="493">
        <f t="shared" si="20"/>
        <v>0</v>
      </c>
      <c r="M75" s="493">
        <f t="shared" si="20"/>
        <v>0</v>
      </c>
      <c r="N75" s="493">
        <f t="shared" si="20"/>
        <v>0</v>
      </c>
      <c r="O75" s="493">
        <f t="shared" si="20"/>
        <v>0</v>
      </c>
    </row>
    <row r="76" spans="1:15" s="494" customFormat="1" ht="12" customHeight="1">
      <c r="A76" s="495" t="s">
        <v>365</v>
      </c>
      <c r="B76" s="496" t="s">
        <v>343</v>
      </c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507"/>
      <c r="O76" s="507"/>
    </row>
    <row r="77" spans="1:15" s="494" customFormat="1" ht="12" customHeight="1">
      <c r="A77" s="498" t="s">
        <v>366</v>
      </c>
      <c r="B77" s="499" t="s">
        <v>344</v>
      </c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507"/>
      <c r="O77" s="507"/>
    </row>
    <row r="78" spans="1:15" s="494" customFormat="1" ht="12" customHeight="1" thickBot="1">
      <c r="A78" s="501" t="s">
        <v>367</v>
      </c>
      <c r="B78" s="502" t="s">
        <v>345</v>
      </c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N78" s="507"/>
      <c r="O78" s="507"/>
    </row>
    <row r="79" spans="1:15" s="494" customFormat="1" ht="12" customHeight="1" thickBot="1">
      <c r="A79" s="510" t="s">
        <v>346</v>
      </c>
      <c r="B79" s="503" t="s">
        <v>368</v>
      </c>
      <c r="C79" s="493">
        <f aca="true" t="shared" si="21" ref="C79:O79">SUM(C80:C83)</f>
        <v>0</v>
      </c>
      <c r="D79" s="493">
        <f t="shared" si="21"/>
        <v>0</v>
      </c>
      <c r="E79" s="493">
        <f t="shared" si="21"/>
        <v>0</v>
      </c>
      <c r="F79" s="493">
        <f t="shared" si="21"/>
        <v>0</v>
      </c>
      <c r="G79" s="493">
        <f t="shared" si="21"/>
        <v>0</v>
      </c>
      <c r="H79" s="493">
        <f t="shared" si="21"/>
        <v>0</v>
      </c>
      <c r="I79" s="493">
        <f t="shared" si="21"/>
        <v>0</v>
      </c>
      <c r="J79" s="493">
        <f t="shared" si="21"/>
        <v>0</v>
      </c>
      <c r="K79" s="493">
        <f t="shared" si="21"/>
        <v>0</v>
      </c>
      <c r="L79" s="493">
        <f t="shared" si="21"/>
        <v>0</v>
      </c>
      <c r="M79" s="493">
        <f t="shared" si="21"/>
        <v>0</v>
      </c>
      <c r="N79" s="493">
        <f t="shared" si="21"/>
        <v>0</v>
      </c>
      <c r="O79" s="493">
        <f t="shared" si="21"/>
        <v>0</v>
      </c>
    </row>
    <row r="80" spans="1:15" s="494" customFormat="1" ht="12" customHeight="1">
      <c r="A80" s="512" t="s">
        <v>347</v>
      </c>
      <c r="B80" s="496" t="s">
        <v>348</v>
      </c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7"/>
      <c r="O80" s="507"/>
    </row>
    <row r="81" spans="1:15" s="494" customFormat="1" ht="12" customHeight="1">
      <c r="A81" s="513" t="s">
        <v>349</v>
      </c>
      <c r="B81" s="499" t="s">
        <v>350</v>
      </c>
      <c r="C81" s="507"/>
      <c r="D81" s="507"/>
      <c r="E81" s="507"/>
      <c r="F81" s="507"/>
      <c r="G81" s="507"/>
      <c r="H81" s="507"/>
      <c r="I81" s="507"/>
      <c r="J81" s="507"/>
      <c r="K81" s="507"/>
      <c r="L81" s="507"/>
      <c r="M81" s="507"/>
      <c r="N81" s="507"/>
      <c r="O81" s="507"/>
    </row>
    <row r="82" spans="1:15" s="494" customFormat="1" ht="12" customHeight="1">
      <c r="A82" s="513" t="s">
        <v>351</v>
      </c>
      <c r="B82" s="499" t="s">
        <v>352</v>
      </c>
      <c r="C82" s="507"/>
      <c r="D82" s="507"/>
      <c r="E82" s="507"/>
      <c r="F82" s="507"/>
      <c r="G82" s="507"/>
      <c r="H82" s="507"/>
      <c r="I82" s="507"/>
      <c r="J82" s="507"/>
      <c r="K82" s="507"/>
      <c r="L82" s="507"/>
      <c r="M82" s="507"/>
      <c r="N82" s="507"/>
      <c r="O82" s="507"/>
    </row>
    <row r="83" spans="1:15" s="494" customFormat="1" ht="12" customHeight="1" thickBot="1">
      <c r="A83" s="514" t="s">
        <v>353</v>
      </c>
      <c r="B83" s="502" t="s">
        <v>354</v>
      </c>
      <c r="C83" s="507"/>
      <c r="D83" s="507"/>
      <c r="E83" s="507"/>
      <c r="F83" s="507"/>
      <c r="G83" s="507"/>
      <c r="H83" s="507"/>
      <c r="I83" s="507"/>
      <c r="J83" s="507"/>
      <c r="K83" s="507"/>
      <c r="L83" s="507"/>
      <c r="M83" s="507"/>
      <c r="N83" s="507"/>
      <c r="O83" s="507"/>
    </row>
    <row r="84" spans="1:15" s="494" customFormat="1" ht="13.5" customHeight="1" thickBot="1">
      <c r="A84" s="510" t="s">
        <v>355</v>
      </c>
      <c r="B84" s="503" t="s">
        <v>356</v>
      </c>
      <c r="C84" s="515"/>
      <c r="D84" s="515"/>
      <c r="E84" s="515"/>
      <c r="F84" s="515"/>
      <c r="G84" s="515"/>
      <c r="H84" s="515"/>
      <c r="I84" s="515"/>
      <c r="J84" s="515"/>
      <c r="K84" s="515"/>
      <c r="L84" s="515"/>
      <c r="M84" s="515"/>
      <c r="N84" s="515"/>
      <c r="O84" s="515"/>
    </row>
    <row r="85" spans="1:15" s="494" customFormat="1" ht="15.75" customHeight="1" thickBot="1">
      <c r="A85" s="510" t="s">
        <v>357</v>
      </c>
      <c r="B85" s="516" t="s">
        <v>358</v>
      </c>
      <c r="C85" s="505">
        <f aca="true" t="shared" si="22" ref="C85:O85">+C63+C67+C72+C75+C79+C84</f>
        <v>156678969</v>
      </c>
      <c r="D85" s="505">
        <f t="shared" si="22"/>
        <v>-1381723</v>
      </c>
      <c r="E85" s="505">
        <f t="shared" si="22"/>
        <v>155297246</v>
      </c>
      <c r="F85" s="505">
        <f t="shared" si="22"/>
        <v>0</v>
      </c>
      <c r="G85" s="505">
        <f t="shared" si="22"/>
        <v>155297246</v>
      </c>
      <c r="H85" s="505">
        <f t="shared" si="22"/>
        <v>0</v>
      </c>
      <c r="I85" s="505">
        <f t="shared" si="22"/>
        <v>155297246</v>
      </c>
      <c r="J85" s="505">
        <f t="shared" si="22"/>
        <v>0</v>
      </c>
      <c r="K85" s="505">
        <f t="shared" si="22"/>
        <v>155297246</v>
      </c>
      <c r="L85" s="505">
        <f t="shared" si="22"/>
        <v>0</v>
      </c>
      <c r="M85" s="505">
        <f t="shared" si="22"/>
        <v>155297246</v>
      </c>
      <c r="N85" s="505">
        <f t="shared" si="22"/>
        <v>0</v>
      </c>
      <c r="O85" s="505">
        <f t="shared" si="22"/>
        <v>155297246</v>
      </c>
    </row>
    <row r="86" spans="1:15" s="494" customFormat="1" ht="16.5" customHeight="1" thickBot="1">
      <c r="A86" s="517" t="s">
        <v>371</v>
      </c>
      <c r="B86" s="518" t="s">
        <v>359</v>
      </c>
      <c r="C86" s="505">
        <f aca="true" t="shared" si="23" ref="C86:O86">+C62+C85</f>
        <v>402808996</v>
      </c>
      <c r="D86" s="505">
        <f t="shared" si="23"/>
        <v>273985</v>
      </c>
      <c r="E86" s="505">
        <f t="shared" si="23"/>
        <v>403082981</v>
      </c>
      <c r="F86" s="505">
        <f t="shared" si="23"/>
        <v>19415991</v>
      </c>
      <c r="G86" s="505">
        <f t="shared" si="23"/>
        <v>422498972</v>
      </c>
      <c r="H86" s="505">
        <f t="shared" si="23"/>
        <v>21324047</v>
      </c>
      <c r="I86" s="505">
        <f t="shared" si="23"/>
        <v>443823019</v>
      </c>
      <c r="J86" s="505">
        <f t="shared" si="23"/>
        <v>17001163</v>
      </c>
      <c r="K86" s="505">
        <f t="shared" si="23"/>
        <v>460824182</v>
      </c>
      <c r="L86" s="505">
        <f t="shared" si="23"/>
        <v>91399117</v>
      </c>
      <c r="M86" s="505">
        <f t="shared" si="23"/>
        <v>552223299</v>
      </c>
      <c r="N86" s="505">
        <f t="shared" si="23"/>
        <v>254494</v>
      </c>
      <c r="O86" s="505">
        <f t="shared" si="23"/>
        <v>552477793</v>
      </c>
    </row>
    <row r="87" spans="1:15" s="494" customFormat="1" ht="83.25" customHeight="1">
      <c r="A87" s="519"/>
      <c r="B87" s="520"/>
      <c r="C87" s="521"/>
      <c r="D87" s="521"/>
      <c r="E87" s="521"/>
      <c r="F87" s="521"/>
      <c r="G87" s="521"/>
      <c r="H87" s="521"/>
      <c r="I87" s="521"/>
      <c r="J87" s="521"/>
      <c r="K87" s="521"/>
      <c r="L87" s="521"/>
      <c r="M87" s="521"/>
      <c r="N87" s="521"/>
      <c r="O87" s="521"/>
    </row>
    <row r="88" spans="1:15" ht="16.5" customHeight="1">
      <c r="A88" s="728" t="s">
        <v>48</v>
      </c>
      <c r="B88" s="728"/>
      <c r="C88" s="728"/>
      <c r="D88" s="729"/>
      <c r="E88" s="729"/>
      <c r="F88" s="729"/>
      <c r="G88" s="729"/>
      <c r="H88" s="729"/>
      <c r="I88" s="729"/>
      <c r="J88" s="729"/>
      <c r="K88" s="729"/>
      <c r="L88" s="729"/>
      <c r="M88" s="729"/>
      <c r="N88"/>
      <c r="O88"/>
    </row>
    <row r="89" spans="1:15" ht="16.5" customHeight="1" thickBot="1">
      <c r="A89" s="731" t="s">
        <v>157</v>
      </c>
      <c r="B89" s="731"/>
      <c r="C89" s="522"/>
      <c r="D89" s="522"/>
      <c r="E89" s="522"/>
      <c r="F89" s="522"/>
      <c r="G89" s="522"/>
      <c r="H89" s="522"/>
      <c r="I89" s="522"/>
      <c r="J89" s="522"/>
      <c r="K89" s="522"/>
      <c r="L89" s="522"/>
      <c r="M89" s="522"/>
      <c r="N89" s="522"/>
      <c r="O89" s="522" t="s">
        <v>535</v>
      </c>
    </row>
    <row r="90" spans="1:15" ht="37.5" customHeight="1" thickBot="1">
      <c r="A90" s="484" t="s">
        <v>76</v>
      </c>
      <c r="B90" s="485" t="s">
        <v>49</v>
      </c>
      <c r="C90" s="486" t="s">
        <v>586</v>
      </c>
      <c r="D90" s="486" t="s">
        <v>591</v>
      </c>
      <c r="E90" s="486" t="s">
        <v>581</v>
      </c>
      <c r="F90" s="486" t="s">
        <v>595</v>
      </c>
      <c r="G90" s="486" t="s">
        <v>581</v>
      </c>
      <c r="H90" s="486" t="s">
        <v>599</v>
      </c>
      <c r="I90" s="486" t="s">
        <v>581</v>
      </c>
      <c r="J90" s="486" t="s">
        <v>602</v>
      </c>
      <c r="K90" s="486" t="s">
        <v>581</v>
      </c>
      <c r="L90" s="486" t="s">
        <v>606</v>
      </c>
      <c r="M90" s="486" t="s">
        <v>581</v>
      </c>
      <c r="N90" s="486" t="s">
        <v>615</v>
      </c>
      <c r="O90" s="486" t="s">
        <v>581</v>
      </c>
    </row>
    <row r="91" spans="1:15" s="490" customFormat="1" ht="12" customHeight="1" thickBot="1">
      <c r="A91" s="523">
        <v>1</v>
      </c>
      <c r="B91" s="524">
        <v>2</v>
      </c>
      <c r="C91" s="525">
        <v>3</v>
      </c>
      <c r="D91" s="525">
        <v>4</v>
      </c>
      <c r="E91" s="525">
        <v>4</v>
      </c>
      <c r="F91" s="525">
        <v>5</v>
      </c>
      <c r="G91" s="525">
        <v>4</v>
      </c>
      <c r="H91" s="525">
        <v>5</v>
      </c>
      <c r="I91" s="525">
        <v>4</v>
      </c>
      <c r="J91" s="525">
        <v>5</v>
      </c>
      <c r="K91" s="525">
        <v>4</v>
      </c>
      <c r="L91" s="525">
        <v>5</v>
      </c>
      <c r="M91" s="525">
        <v>4</v>
      </c>
      <c r="N91" s="525">
        <v>5</v>
      </c>
      <c r="O91" s="525">
        <v>6</v>
      </c>
    </row>
    <row r="92" spans="1:15" ht="12" customHeight="1" thickBot="1">
      <c r="A92" s="526" t="s">
        <v>20</v>
      </c>
      <c r="B92" s="527" t="s">
        <v>374</v>
      </c>
      <c r="C92" s="528">
        <f aca="true" t="shared" si="24" ref="C92:O92">SUM(C93:C97)</f>
        <v>302579587</v>
      </c>
      <c r="D92" s="528">
        <f t="shared" si="24"/>
        <v>2392233</v>
      </c>
      <c r="E92" s="528">
        <f t="shared" si="24"/>
        <v>304971820</v>
      </c>
      <c r="F92" s="528">
        <f t="shared" si="24"/>
        <v>16549876</v>
      </c>
      <c r="G92" s="528">
        <f t="shared" si="24"/>
        <v>321521696</v>
      </c>
      <c r="H92" s="528">
        <f t="shared" si="24"/>
        <v>8577576</v>
      </c>
      <c r="I92" s="528">
        <f t="shared" si="24"/>
        <v>330099272</v>
      </c>
      <c r="J92" s="528">
        <f t="shared" si="24"/>
        <v>974738</v>
      </c>
      <c r="K92" s="528">
        <f t="shared" si="24"/>
        <v>331074010</v>
      </c>
      <c r="L92" s="528">
        <f t="shared" si="24"/>
        <v>5102250</v>
      </c>
      <c r="M92" s="528">
        <f t="shared" si="24"/>
        <v>336176260</v>
      </c>
      <c r="N92" s="528">
        <f t="shared" si="24"/>
        <v>-129211</v>
      </c>
      <c r="O92" s="528">
        <f t="shared" si="24"/>
        <v>336047049</v>
      </c>
    </row>
    <row r="93" spans="1:15" ht="12" customHeight="1">
      <c r="A93" s="529" t="s">
        <v>107</v>
      </c>
      <c r="B93" s="530" t="s">
        <v>50</v>
      </c>
      <c r="C93" s="531">
        <f>43467732+44980308+31378352</f>
        <v>119826392</v>
      </c>
      <c r="D93" s="531">
        <v>835200</v>
      </c>
      <c r="E93" s="532">
        <f>C93+D93</f>
        <v>120661592</v>
      </c>
      <c r="F93" s="531">
        <f>11401476+810000</f>
        <v>12211476</v>
      </c>
      <c r="G93" s="532">
        <f>E93+F93</f>
        <v>132873068</v>
      </c>
      <c r="H93" s="531">
        <f>2769548+1104000+1366000</f>
        <v>5239548</v>
      </c>
      <c r="I93" s="532">
        <f>G93+H93</f>
        <v>138112616</v>
      </c>
      <c r="J93" s="531">
        <f>590337+155199</f>
        <v>745536</v>
      </c>
      <c r="K93" s="532">
        <f>I93+J93</f>
        <v>138858152</v>
      </c>
      <c r="L93" s="531">
        <f>1594540-182560-421300</f>
        <v>990680</v>
      </c>
      <c r="M93" s="532">
        <f>K93+L93</f>
        <v>139848832</v>
      </c>
      <c r="N93" s="531"/>
      <c r="O93" s="532">
        <f>M93+N93</f>
        <v>139848832</v>
      </c>
    </row>
    <row r="94" spans="1:15" ht="12" customHeight="1">
      <c r="A94" s="498" t="s">
        <v>108</v>
      </c>
      <c r="B94" s="533" t="s">
        <v>187</v>
      </c>
      <c r="C94" s="500">
        <f>9861093+9349824+6259779</f>
        <v>25470696</v>
      </c>
      <c r="D94" s="500">
        <v>170978</v>
      </c>
      <c r="E94" s="534">
        <f>C94+D94</f>
        <v>25641674</v>
      </c>
      <c r="F94" s="500">
        <v>2223900</v>
      </c>
      <c r="G94" s="534">
        <f>E94+F94</f>
        <v>27865574</v>
      </c>
      <c r="H94" s="500">
        <f>396225+45326+253499</f>
        <v>695050</v>
      </c>
      <c r="I94" s="534">
        <f>G94+H94</f>
        <v>28560624</v>
      </c>
      <c r="J94" s="500"/>
      <c r="K94" s="534">
        <f>I94+J94</f>
        <v>28560624</v>
      </c>
      <c r="L94" s="500">
        <f>201635-71000</f>
        <v>130635</v>
      </c>
      <c r="M94" s="534">
        <f>K94+L94</f>
        <v>28691259</v>
      </c>
      <c r="N94" s="500"/>
      <c r="O94" s="534">
        <f>M94+N94</f>
        <v>28691259</v>
      </c>
    </row>
    <row r="95" spans="1:15" ht="12" customHeight="1">
      <c r="A95" s="498" t="s">
        <v>109</v>
      </c>
      <c r="B95" s="533" t="s">
        <v>143</v>
      </c>
      <c r="C95" s="504">
        <f>92347859+43032500+5697440</f>
        <v>141077799</v>
      </c>
      <c r="D95" s="504">
        <v>619866</v>
      </c>
      <c r="E95" s="534">
        <f>C95+D95</f>
        <v>141697665</v>
      </c>
      <c r="F95" s="504">
        <v>1687000</v>
      </c>
      <c r="G95" s="534">
        <f>E95+F95</f>
        <v>143384665</v>
      </c>
      <c r="H95" s="504">
        <f>1000000+2010478</f>
        <v>3010478</v>
      </c>
      <c r="I95" s="534">
        <f>G95+H95</f>
        <v>146395143</v>
      </c>
      <c r="J95" s="504">
        <v>100000</v>
      </c>
      <c r="K95" s="534">
        <f>I95+J95</f>
        <v>146495143</v>
      </c>
      <c r="L95" s="504">
        <f>3860935+120000</f>
        <v>3980935</v>
      </c>
      <c r="M95" s="534">
        <f>K95+L95</f>
        <v>150476078</v>
      </c>
      <c r="N95" s="504">
        <v>-9</v>
      </c>
      <c r="O95" s="534">
        <f>M95+N95</f>
        <v>150476069</v>
      </c>
    </row>
    <row r="96" spans="1:15" ht="12" customHeight="1">
      <c r="A96" s="498" t="s">
        <v>110</v>
      </c>
      <c r="B96" s="535" t="s">
        <v>188</v>
      </c>
      <c r="C96" s="504">
        <v>7954700</v>
      </c>
      <c r="D96" s="504"/>
      <c r="E96" s="534">
        <f>C96+D96</f>
        <v>7954700</v>
      </c>
      <c r="F96" s="504">
        <v>367500</v>
      </c>
      <c r="G96" s="534">
        <f>E96+F96</f>
        <v>8322200</v>
      </c>
      <c r="H96" s="504">
        <v>-367500</v>
      </c>
      <c r="I96" s="534">
        <f>G96+H96</f>
        <v>7954700</v>
      </c>
      <c r="J96" s="504"/>
      <c r="K96" s="534">
        <f>I96+J96</f>
        <v>7954700</v>
      </c>
      <c r="L96" s="504"/>
      <c r="M96" s="534">
        <f>K96+L96</f>
        <v>7954700</v>
      </c>
      <c r="N96" s="504"/>
      <c r="O96" s="534">
        <f>M96+N96</f>
        <v>7954700</v>
      </c>
    </row>
    <row r="97" spans="1:15" ht="12" customHeight="1">
      <c r="A97" s="498" t="s">
        <v>121</v>
      </c>
      <c r="B97" s="536" t="s">
        <v>189</v>
      </c>
      <c r="C97" s="504">
        <f aca="true" t="shared" si="25" ref="C97:O97">SUM(C98:C107)</f>
        <v>8250000</v>
      </c>
      <c r="D97" s="504">
        <f t="shared" si="25"/>
        <v>766189</v>
      </c>
      <c r="E97" s="504">
        <f t="shared" si="25"/>
        <v>9016189</v>
      </c>
      <c r="F97" s="504">
        <f t="shared" si="25"/>
        <v>60000</v>
      </c>
      <c r="G97" s="504">
        <f t="shared" si="25"/>
        <v>9076189</v>
      </c>
      <c r="H97" s="504">
        <f t="shared" si="25"/>
        <v>0</v>
      </c>
      <c r="I97" s="504">
        <f t="shared" si="25"/>
        <v>9076189</v>
      </c>
      <c r="J97" s="504">
        <f t="shared" si="25"/>
        <v>129202</v>
      </c>
      <c r="K97" s="504">
        <f t="shared" si="25"/>
        <v>9205391</v>
      </c>
      <c r="L97" s="504">
        <f t="shared" si="25"/>
        <v>0</v>
      </c>
      <c r="M97" s="504">
        <f t="shared" si="25"/>
        <v>9205391</v>
      </c>
      <c r="N97" s="504">
        <f t="shared" si="25"/>
        <v>-129202</v>
      </c>
      <c r="O97" s="504">
        <f t="shared" si="25"/>
        <v>9076189</v>
      </c>
    </row>
    <row r="98" spans="1:15" ht="12" customHeight="1">
      <c r="A98" s="498" t="s">
        <v>111</v>
      </c>
      <c r="B98" s="533" t="s">
        <v>375</v>
      </c>
      <c r="C98" s="504"/>
      <c r="D98" s="504">
        <v>766189</v>
      </c>
      <c r="E98" s="504">
        <v>766189</v>
      </c>
      <c r="F98" s="504"/>
      <c r="G98" s="504">
        <v>766189</v>
      </c>
      <c r="H98" s="504"/>
      <c r="I98" s="504">
        <v>766189</v>
      </c>
      <c r="J98" s="504">
        <v>129202</v>
      </c>
      <c r="K98" s="504">
        <f>I98+J98</f>
        <v>895391</v>
      </c>
      <c r="L98" s="504"/>
      <c r="M98" s="504">
        <f>K98+L98</f>
        <v>895391</v>
      </c>
      <c r="N98" s="504">
        <v>-129202</v>
      </c>
      <c r="O98" s="504">
        <f>M98+N98</f>
        <v>766189</v>
      </c>
    </row>
    <row r="99" spans="1:15" ht="12" customHeight="1">
      <c r="A99" s="498" t="s">
        <v>112</v>
      </c>
      <c r="B99" s="537" t="s">
        <v>376</v>
      </c>
      <c r="C99" s="504"/>
      <c r="D99" s="504"/>
      <c r="E99" s="504"/>
      <c r="F99" s="504"/>
      <c r="G99" s="504"/>
      <c r="H99" s="504"/>
      <c r="I99" s="504"/>
      <c r="J99" s="504"/>
      <c r="K99" s="504"/>
      <c r="L99" s="504"/>
      <c r="M99" s="504"/>
      <c r="N99" s="504"/>
      <c r="O99" s="504"/>
    </row>
    <row r="100" spans="1:15" ht="12" customHeight="1">
      <c r="A100" s="498" t="s">
        <v>122</v>
      </c>
      <c r="B100" s="538" t="s">
        <v>377</v>
      </c>
      <c r="C100" s="504"/>
      <c r="D100" s="504"/>
      <c r="E100" s="504"/>
      <c r="F100" s="504"/>
      <c r="G100" s="504"/>
      <c r="H100" s="504"/>
      <c r="I100" s="504"/>
      <c r="J100" s="504"/>
      <c r="K100" s="504"/>
      <c r="L100" s="504"/>
      <c r="M100" s="504"/>
      <c r="N100" s="504"/>
      <c r="O100" s="504"/>
    </row>
    <row r="101" spans="1:15" ht="12" customHeight="1">
      <c r="A101" s="498" t="s">
        <v>123</v>
      </c>
      <c r="B101" s="538" t="s">
        <v>378</v>
      </c>
      <c r="C101" s="504"/>
      <c r="D101" s="504"/>
      <c r="E101" s="504"/>
      <c r="F101" s="504"/>
      <c r="G101" s="504"/>
      <c r="H101" s="504"/>
      <c r="I101" s="504"/>
      <c r="J101" s="504"/>
      <c r="K101" s="504"/>
      <c r="L101" s="504"/>
      <c r="M101" s="504"/>
      <c r="N101" s="504"/>
      <c r="O101" s="504"/>
    </row>
    <row r="102" spans="1:15" ht="12" customHeight="1">
      <c r="A102" s="498" t="s">
        <v>124</v>
      </c>
      <c r="B102" s="537" t="s">
        <v>379</v>
      </c>
      <c r="C102" s="504"/>
      <c r="D102" s="504"/>
      <c r="E102" s="504"/>
      <c r="F102" s="504"/>
      <c r="G102" s="504"/>
      <c r="H102" s="504"/>
      <c r="I102" s="504"/>
      <c r="J102" s="504"/>
      <c r="K102" s="504"/>
      <c r="L102" s="504"/>
      <c r="M102" s="504"/>
      <c r="N102" s="504"/>
      <c r="O102" s="504"/>
    </row>
    <row r="103" spans="1:15" ht="12" customHeight="1">
      <c r="A103" s="498" t="s">
        <v>125</v>
      </c>
      <c r="B103" s="537" t="s">
        <v>380</v>
      </c>
      <c r="C103" s="504"/>
      <c r="D103" s="504"/>
      <c r="E103" s="504"/>
      <c r="F103" s="504"/>
      <c r="G103" s="504"/>
      <c r="H103" s="504"/>
      <c r="I103" s="504"/>
      <c r="J103" s="504"/>
      <c r="K103" s="504"/>
      <c r="L103" s="504"/>
      <c r="M103" s="504"/>
      <c r="N103" s="504"/>
      <c r="O103" s="504"/>
    </row>
    <row r="104" spans="1:15" ht="12" customHeight="1">
      <c r="A104" s="498" t="s">
        <v>127</v>
      </c>
      <c r="B104" s="538" t="s">
        <v>381</v>
      </c>
      <c r="C104" s="504"/>
      <c r="D104" s="504"/>
      <c r="E104" s="504"/>
      <c r="F104" s="504"/>
      <c r="G104" s="504"/>
      <c r="H104" s="504"/>
      <c r="I104" s="504"/>
      <c r="J104" s="504"/>
      <c r="K104" s="504"/>
      <c r="L104" s="504"/>
      <c r="M104" s="504"/>
      <c r="N104" s="504"/>
      <c r="O104" s="504"/>
    </row>
    <row r="105" spans="1:15" ht="12" customHeight="1">
      <c r="A105" s="539" t="s">
        <v>190</v>
      </c>
      <c r="B105" s="540" t="s">
        <v>382</v>
      </c>
      <c r="C105" s="504"/>
      <c r="D105" s="504"/>
      <c r="E105" s="504"/>
      <c r="F105" s="504"/>
      <c r="G105" s="504"/>
      <c r="H105" s="504"/>
      <c r="I105" s="504"/>
      <c r="J105" s="504"/>
      <c r="K105" s="504"/>
      <c r="L105" s="504"/>
      <c r="M105" s="504"/>
      <c r="N105" s="504"/>
      <c r="O105" s="504"/>
    </row>
    <row r="106" spans="1:15" ht="12" customHeight="1">
      <c r="A106" s="498" t="s">
        <v>372</v>
      </c>
      <c r="B106" s="540" t="s">
        <v>383</v>
      </c>
      <c r="C106" s="504"/>
      <c r="D106" s="504"/>
      <c r="E106" s="504"/>
      <c r="F106" s="504"/>
      <c r="G106" s="504"/>
      <c r="H106" s="504"/>
      <c r="I106" s="504"/>
      <c r="J106" s="504"/>
      <c r="K106" s="504"/>
      <c r="L106" s="504"/>
      <c r="M106" s="504"/>
      <c r="N106" s="504"/>
      <c r="O106" s="504"/>
    </row>
    <row r="107" spans="1:15" ht="12" customHeight="1" thickBot="1">
      <c r="A107" s="541" t="s">
        <v>373</v>
      </c>
      <c r="B107" s="542" t="s">
        <v>384</v>
      </c>
      <c r="C107" s="543">
        <v>8250000</v>
      </c>
      <c r="D107" s="543"/>
      <c r="E107" s="543">
        <f>C107+D107</f>
        <v>8250000</v>
      </c>
      <c r="F107" s="543">
        <v>60000</v>
      </c>
      <c r="G107" s="543">
        <f>E107+F107</f>
        <v>8310000</v>
      </c>
      <c r="H107" s="543"/>
      <c r="I107" s="543">
        <f>G107+H107</f>
        <v>8310000</v>
      </c>
      <c r="J107" s="543"/>
      <c r="K107" s="543">
        <f>I107+J107</f>
        <v>8310000</v>
      </c>
      <c r="L107" s="543"/>
      <c r="M107" s="543">
        <f>K107+L107</f>
        <v>8310000</v>
      </c>
      <c r="N107" s="543"/>
      <c r="O107" s="543">
        <f>M107+N107</f>
        <v>8310000</v>
      </c>
    </row>
    <row r="108" spans="1:15" ht="12" customHeight="1" thickBot="1">
      <c r="A108" s="491" t="s">
        <v>21</v>
      </c>
      <c r="B108" s="544" t="s">
        <v>385</v>
      </c>
      <c r="C108" s="493">
        <f aca="true" t="shared" si="26" ref="C108:O108">+C109+C111+C113</f>
        <v>58173656</v>
      </c>
      <c r="D108" s="493">
        <f t="shared" si="26"/>
        <v>0</v>
      </c>
      <c r="E108" s="493">
        <f t="shared" si="26"/>
        <v>58173656</v>
      </c>
      <c r="F108" s="493">
        <f t="shared" si="26"/>
        <v>2926115</v>
      </c>
      <c r="G108" s="493">
        <f t="shared" si="26"/>
        <v>61099771</v>
      </c>
      <c r="H108" s="493">
        <f t="shared" si="26"/>
        <v>43037197</v>
      </c>
      <c r="I108" s="493">
        <f t="shared" si="26"/>
        <v>104136968</v>
      </c>
      <c r="J108" s="493">
        <f t="shared" si="26"/>
        <v>16834113</v>
      </c>
      <c r="K108" s="493">
        <f t="shared" si="26"/>
        <v>120971081</v>
      </c>
      <c r="L108" s="493">
        <f t="shared" si="26"/>
        <v>7635621</v>
      </c>
      <c r="M108" s="493">
        <f t="shared" si="26"/>
        <v>128606702</v>
      </c>
      <c r="N108" s="493">
        <f t="shared" si="26"/>
        <v>0</v>
      </c>
      <c r="O108" s="493">
        <f t="shared" si="26"/>
        <v>128606702</v>
      </c>
    </row>
    <row r="109" spans="1:15" ht="12" customHeight="1">
      <c r="A109" s="495" t="s">
        <v>113</v>
      </c>
      <c r="B109" s="533" t="s">
        <v>234</v>
      </c>
      <c r="C109" s="497">
        <f>24092687+600000+405000</f>
        <v>25097687</v>
      </c>
      <c r="D109" s="497"/>
      <c r="E109" s="497">
        <f>C109+D109</f>
        <v>25097687</v>
      </c>
      <c r="F109" s="497">
        <v>2926115</v>
      </c>
      <c r="G109" s="497">
        <f>E109+F109</f>
        <v>28023802</v>
      </c>
      <c r="H109" s="497">
        <v>-18000000</v>
      </c>
      <c r="I109" s="497">
        <f>G109+H109</f>
        <v>10023802</v>
      </c>
      <c r="J109" s="497">
        <f>500000-100000</f>
        <v>400000</v>
      </c>
      <c r="K109" s="497">
        <f>I109+J109</f>
        <v>10423802</v>
      </c>
      <c r="L109" s="497">
        <v>4999863</v>
      </c>
      <c r="M109" s="497">
        <f>K109+L109</f>
        <v>15423665</v>
      </c>
      <c r="N109" s="497"/>
      <c r="O109" s="497">
        <f>M109+N109</f>
        <v>15423665</v>
      </c>
    </row>
    <row r="110" spans="1:15" ht="12" customHeight="1">
      <c r="A110" s="495" t="s">
        <v>114</v>
      </c>
      <c r="B110" s="545" t="s">
        <v>389</v>
      </c>
      <c r="C110" s="497"/>
      <c r="D110" s="497"/>
      <c r="E110" s="497">
        <f aca="true" t="shared" si="27" ref="E110:E121">C110+D110</f>
        <v>0</v>
      </c>
      <c r="F110" s="497"/>
      <c r="G110" s="497">
        <f>E110+F110</f>
        <v>0</v>
      </c>
      <c r="H110" s="497"/>
      <c r="I110" s="497">
        <f>G110+H110</f>
        <v>0</v>
      </c>
      <c r="J110" s="497"/>
      <c r="K110" s="497">
        <f>I110+J110</f>
        <v>0</v>
      </c>
      <c r="L110" s="497"/>
      <c r="M110" s="497">
        <f>K110+L110</f>
        <v>0</v>
      </c>
      <c r="N110" s="497"/>
      <c r="O110" s="497">
        <f>M110+N110</f>
        <v>0</v>
      </c>
    </row>
    <row r="111" spans="1:15" ht="12" customHeight="1">
      <c r="A111" s="495" t="s">
        <v>115</v>
      </c>
      <c r="B111" s="545" t="s">
        <v>191</v>
      </c>
      <c r="C111" s="500">
        <v>30175969</v>
      </c>
      <c r="D111" s="500"/>
      <c r="E111" s="497">
        <f t="shared" si="27"/>
        <v>30175969</v>
      </c>
      <c r="F111" s="500"/>
      <c r="G111" s="497">
        <f>E111+F111</f>
        <v>30175969</v>
      </c>
      <c r="H111" s="500">
        <v>61037197</v>
      </c>
      <c r="I111" s="497">
        <f>G111+H111</f>
        <v>91213166</v>
      </c>
      <c r="J111" s="500">
        <v>16934113</v>
      </c>
      <c r="K111" s="497">
        <f>I111+J111</f>
        <v>108147279</v>
      </c>
      <c r="L111" s="500">
        <v>2635758</v>
      </c>
      <c r="M111" s="497">
        <f>K111+L111</f>
        <v>110783037</v>
      </c>
      <c r="N111" s="500"/>
      <c r="O111" s="497">
        <f>M111+N111</f>
        <v>110783037</v>
      </c>
    </row>
    <row r="112" spans="1:15" ht="12" customHeight="1">
      <c r="A112" s="495" t="s">
        <v>116</v>
      </c>
      <c r="B112" s="545" t="s">
        <v>390</v>
      </c>
      <c r="C112" s="546"/>
      <c r="D112" s="546"/>
      <c r="E112" s="497">
        <f t="shared" si="27"/>
        <v>0</v>
      </c>
      <c r="F112" s="546"/>
      <c r="G112" s="497">
        <f>E112+F112</f>
        <v>0</v>
      </c>
      <c r="H112" s="546"/>
      <c r="I112" s="497">
        <f>G112+H112</f>
        <v>0</v>
      </c>
      <c r="J112" s="546"/>
      <c r="K112" s="497">
        <f>I112+J112</f>
        <v>0</v>
      </c>
      <c r="L112" s="546"/>
      <c r="M112" s="497">
        <f>K112+L112</f>
        <v>0</v>
      </c>
      <c r="N112" s="546"/>
      <c r="O112" s="497">
        <f>M112+N112</f>
        <v>0</v>
      </c>
    </row>
    <row r="113" spans="1:15" ht="12" customHeight="1">
      <c r="A113" s="495" t="s">
        <v>117</v>
      </c>
      <c r="B113" s="547" t="s">
        <v>236</v>
      </c>
      <c r="C113" s="546">
        <v>2900000</v>
      </c>
      <c r="D113" s="546">
        <f>D121</f>
        <v>0</v>
      </c>
      <c r="E113" s="497">
        <f>C113+D113</f>
        <v>2900000</v>
      </c>
      <c r="F113" s="546">
        <f>F121</f>
        <v>0</v>
      </c>
      <c r="G113" s="497">
        <f>E113+F113</f>
        <v>2900000</v>
      </c>
      <c r="H113" s="546">
        <f>H121</f>
        <v>0</v>
      </c>
      <c r="I113" s="497">
        <f>G113+H113</f>
        <v>2900000</v>
      </c>
      <c r="J113" s="546">
        <f>J121</f>
        <v>-500000</v>
      </c>
      <c r="K113" s="497">
        <f>I113+J113</f>
        <v>2400000</v>
      </c>
      <c r="L113" s="546">
        <f>L121</f>
        <v>0</v>
      </c>
      <c r="M113" s="497">
        <f>K113+L113</f>
        <v>2400000</v>
      </c>
      <c r="N113" s="546">
        <f>N121</f>
        <v>0</v>
      </c>
      <c r="O113" s="497">
        <f>M113+N113</f>
        <v>2400000</v>
      </c>
    </row>
    <row r="114" spans="1:15" ht="12" customHeight="1">
      <c r="A114" s="495" t="s">
        <v>126</v>
      </c>
      <c r="B114" s="548" t="s">
        <v>499</v>
      </c>
      <c r="C114" s="546"/>
      <c r="D114" s="546"/>
      <c r="E114" s="497">
        <f t="shared" si="27"/>
        <v>0</v>
      </c>
      <c r="F114" s="546"/>
      <c r="G114" s="497">
        <f aca="true" t="shared" si="28" ref="G114:G121">E114+F114</f>
        <v>0</v>
      </c>
      <c r="H114" s="546"/>
      <c r="I114" s="497">
        <f aca="true" t="shared" si="29" ref="I114:I121">G114+H114</f>
        <v>0</v>
      </c>
      <c r="J114" s="546"/>
      <c r="K114" s="497">
        <f aca="true" t="shared" si="30" ref="K114:K121">I114+J114</f>
        <v>0</v>
      </c>
      <c r="L114" s="546"/>
      <c r="M114" s="497">
        <f aca="true" t="shared" si="31" ref="M114:M121">K114+L114</f>
        <v>0</v>
      </c>
      <c r="N114" s="546"/>
      <c r="O114" s="497">
        <f aca="true" t="shared" si="32" ref="O114:O121">M114+N114</f>
        <v>0</v>
      </c>
    </row>
    <row r="115" spans="1:15" ht="12" customHeight="1">
      <c r="A115" s="495" t="s">
        <v>128</v>
      </c>
      <c r="B115" s="549" t="s">
        <v>395</v>
      </c>
      <c r="C115" s="546"/>
      <c r="D115" s="546"/>
      <c r="E115" s="497">
        <f t="shared" si="27"/>
        <v>0</v>
      </c>
      <c r="F115" s="546"/>
      <c r="G115" s="497">
        <f t="shared" si="28"/>
        <v>0</v>
      </c>
      <c r="H115" s="546"/>
      <c r="I115" s="497">
        <f t="shared" si="29"/>
        <v>0</v>
      </c>
      <c r="J115" s="546"/>
      <c r="K115" s="497">
        <f t="shared" si="30"/>
        <v>0</v>
      </c>
      <c r="L115" s="546"/>
      <c r="M115" s="497">
        <f t="shared" si="31"/>
        <v>0</v>
      </c>
      <c r="N115" s="546"/>
      <c r="O115" s="497">
        <f t="shared" si="32"/>
        <v>0</v>
      </c>
    </row>
    <row r="116" spans="1:15" ht="15.75">
      <c r="A116" s="495" t="s">
        <v>192</v>
      </c>
      <c r="B116" s="538" t="s">
        <v>378</v>
      </c>
      <c r="C116" s="546"/>
      <c r="D116" s="546"/>
      <c r="E116" s="497">
        <f t="shared" si="27"/>
        <v>0</v>
      </c>
      <c r="F116" s="546"/>
      <c r="G116" s="497">
        <f t="shared" si="28"/>
        <v>0</v>
      </c>
      <c r="H116" s="546"/>
      <c r="I116" s="497">
        <f t="shared" si="29"/>
        <v>0</v>
      </c>
      <c r="J116" s="546"/>
      <c r="K116" s="497">
        <f t="shared" si="30"/>
        <v>0</v>
      </c>
      <c r="L116" s="546"/>
      <c r="M116" s="497">
        <f t="shared" si="31"/>
        <v>0</v>
      </c>
      <c r="N116" s="546"/>
      <c r="O116" s="497">
        <f t="shared" si="32"/>
        <v>0</v>
      </c>
    </row>
    <row r="117" spans="1:15" ht="12" customHeight="1">
      <c r="A117" s="495" t="s">
        <v>193</v>
      </c>
      <c r="B117" s="538" t="s">
        <v>394</v>
      </c>
      <c r="C117" s="546"/>
      <c r="D117" s="546"/>
      <c r="E117" s="497">
        <f t="shared" si="27"/>
        <v>0</v>
      </c>
      <c r="F117" s="546"/>
      <c r="G117" s="497">
        <f t="shared" si="28"/>
        <v>0</v>
      </c>
      <c r="H117" s="546"/>
      <c r="I117" s="497">
        <f t="shared" si="29"/>
        <v>0</v>
      </c>
      <c r="J117" s="546"/>
      <c r="K117" s="497">
        <f t="shared" si="30"/>
        <v>0</v>
      </c>
      <c r="L117" s="546"/>
      <c r="M117" s="497">
        <f t="shared" si="31"/>
        <v>0</v>
      </c>
      <c r="N117" s="546"/>
      <c r="O117" s="497">
        <f t="shared" si="32"/>
        <v>0</v>
      </c>
    </row>
    <row r="118" spans="1:15" ht="12" customHeight="1">
      <c r="A118" s="495" t="s">
        <v>194</v>
      </c>
      <c r="B118" s="538" t="s">
        <v>393</v>
      </c>
      <c r="C118" s="546"/>
      <c r="D118" s="546"/>
      <c r="E118" s="497">
        <f t="shared" si="27"/>
        <v>0</v>
      </c>
      <c r="F118" s="546"/>
      <c r="G118" s="497">
        <f t="shared" si="28"/>
        <v>0</v>
      </c>
      <c r="H118" s="546"/>
      <c r="I118" s="497">
        <f t="shared" si="29"/>
        <v>0</v>
      </c>
      <c r="J118" s="546"/>
      <c r="K118" s="497">
        <f t="shared" si="30"/>
        <v>0</v>
      </c>
      <c r="L118" s="546"/>
      <c r="M118" s="497">
        <f t="shared" si="31"/>
        <v>0</v>
      </c>
      <c r="N118" s="546"/>
      <c r="O118" s="497">
        <f t="shared" si="32"/>
        <v>0</v>
      </c>
    </row>
    <row r="119" spans="1:15" ht="12" customHeight="1">
      <c r="A119" s="495" t="s">
        <v>386</v>
      </c>
      <c r="B119" s="538" t="s">
        <v>381</v>
      </c>
      <c r="C119" s="546"/>
      <c r="D119" s="546"/>
      <c r="E119" s="497">
        <f t="shared" si="27"/>
        <v>0</v>
      </c>
      <c r="F119" s="546"/>
      <c r="G119" s="497">
        <f t="shared" si="28"/>
        <v>0</v>
      </c>
      <c r="H119" s="546"/>
      <c r="I119" s="497">
        <f t="shared" si="29"/>
        <v>0</v>
      </c>
      <c r="J119" s="546"/>
      <c r="K119" s="497">
        <f t="shared" si="30"/>
        <v>0</v>
      </c>
      <c r="L119" s="546"/>
      <c r="M119" s="497">
        <f t="shared" si="31"/>
        <v>0</v>
      </c>
      <c r="N119" s="546"/>
      <c r="O119" s="497">
        <f t="shared" si="32"/>
        <v>0</v>
      </c>
    </row>
    <row r="120" spans="1:15" ht="12" customHeight="1">
      <c r="A120" s="495" t="s">
        <v>387</v>
      </c>
      <c r="B120" s="538" t="s">
        <v>392</v>
      </c>
      <c r="C120" s="546"/>
      <c r="D120" s="546"/>
      <c r="E120" s="497">
        <f t="shared" si="27"/>
        <v>0</v>
      </c>
      <c r="F120" s="546"/>
      <c r="G120" s="497">
        <f t="shared" si="28"/>
        <v>0</v>
      </c>
      <c r="H120" s="546"/>
      <c r="I120" s="497">
        <f t="shared" si="29"/>
        <v>0</v>
      </c>
      <c r="J120" s="546"/>
      <c r="K120" s="497">
        <f t="shared" si="30"/>
        <v>0</v>
      </c>
      <c r="L120" s="546"/>
      <c r="M120" s="497">
        <f t="shared" si="31"/>
        <v>0</v>
      </c>
      <c r="N120" s="546"/>
      <c r="O120" s="497">
        <f t="shared" si="32"/>
        <v>0</v>
      </c>
    </row>
    <row r="121" spans="1:15" ht="16.5" thickBot="1">
      <c r="A121" s="539" t="s">
        <v>388</v>
      </c>
      <c r="B121" s="538" t="s">
        <v>391</v>
      </c>
      <c r="C121" s="550">
        <v>2900000</v>
      </c>
      <c r="D121" s="550"/>
      <c r="E121" s="497">
        <f t="shared" si="27"/>
        <v>2900000</v>
      </c>
      <c r="F121" s="550"/>
      <c r="G121" s="497">
        <f t="shared" si="28"/>
        <v>2900000</v>
      </c>
      <c r="H121" s="550"/>
      <c r="I121" s="497">
        <f t="shared" si="29"/>
        <v>2900000</v>
      </c>
      <c r="J121" s="550">
        <v>-500000</v>
      </c>
      <c r="K121" s="497">
        <f t="shared" si="30"/>
        <v>2400000</v>
      </c>
      <c r="L121" s="550"/>
      <c r="M121" s="497">
        <f t="shared" si="31"/>
        <v>2400000</v>
      </c>
      <c r="N121" s="550"/>
      <c r="O121" s="497">
        <f t="shared" si="32"/>
        <v>2400000</v>
      </c>
    </row>
    <row r="122" spans="1:15" ht="12" customHeight="1" thickBot="1">
      <c r="A122" s="491" t="s">
        <v>22</v>
      </c>
      <c r="B122" s="551" t="s">
        <v>396</v>
      </c>
      <c r="C122" s="493">
        <f aca="true" t="shared" si="33" ref="C122:O122">+C123+C124</f>
        <v>37406066</v>
      </c>
      <c r="D122" s="493">
        <f t="shared" si="33"/>
        <v>-2118248</v>
      </c>
      <c r="E122" s="493">
        <f t="shared" si="33"/>
        <v>35287818</v>
      </c>
      <c r="F122" s="493">
        <f t="shared" si="33"/>
        <v>-60000</v>
      </c>
      <c r="G122" s="493">
        <f t="shared" si="33"/>
        <v>35227818</v>
      </c>
      <c r="H122" s="493">
        <f t="shared" si="33"/>
        <v>-30290726</v>
      </c>
      <c r="I122" s="493">
        <f t="shared" si="33"/>
        <v>4937092</v>
      </c>
      <c r="J122" s="493">
        <f t="shared" si="33"/>
        <v>-807688</v>
      </c>
      <c r="K122" s="493">
        <f t="shared" si="33"/>
        <v>4129404</v>
      </c>
      <c r="L122" s="493">
        <f t="shared" si="33"/>
        <v>78661246</v>
      </c>
      <c r="M122" s="493">
        <f t="shared" si="33"/>
        <v>82790650</v>
      </c>
      <c r="N122" s="493">
        <f t="shared" si="33"/>
        <v>383705</v>
      </c>
      <c r="O122" s="493">
        <f t="shared" si="33"/>
        <v>83174355</v>
      </c>
    </row>
    <row r="123" spans="1:15" ht="12" customHeight="1">
      <c r="A123" s="495" t="s">
        <v>96</v>
      </c>
      <c r="B123" s="552" t="s">
        <v>63</v>
      </c>
      <c r="C123" s="497">
        <v>37406066</v>
      </c>
      <c r="D123" s="497">
        <v>-2118248</v>
      </c>
      <c r="E123" s="497">
        <f>C123+D123</f>
        <v>35287818</v>
      </c>
      <c r="F123" s="497">
        <v>-60000</v>
      </c>
      <c r="G123" s="497">
        <f>E123+F123</f>
        <v>35227818</v>
      </c>
      <c r="H123" s="497">
        <v>-30290726</v>
      </c>
      <c r="I123" s="497">
        <f>G123+H123</f>
        <v>4937092</v>
      </c>
      <c r="J123" s="497">
        <v>-807688</v>
      </c>
      <c r="K123" s="497">
        <f>I123+J123</f>
        <v>4129404</v>
      </c>
      <c r="L123" s="497">
        <v>78661246</v>
      </c>
      <c r="M123" s="497">
        <f>K123+L123</f>
        <v>82790650</v>
      </c>
      <c r="N123" s="497">
        <v>383705</v>
      </c>
      <c r="O123" s="497">
        <f>M123+N123</f>
        <v>83174355</v>
      </c>
    </row>
    <row r="124" spans="1:15" ht="12" customHeight="1" thickBot="1">
      <c r="A124" s="501" t="s">
        <v>97</v>
      </c>
      <c r="B124" s="545" t="s">
        <v>64</v>
      </c>
      <c r="C124" s="504"/>
      <c r="D124" s="504"/>
      <c r="E124" s="504"/>
      <c r="F124" s="504"/>
      <c r="G124" s="504"/>
      <c r="H124" s="504"/>
      <c r="I124" s="504"/>
      <c r="J124" s="504"/>
      <c r="K124" s="504"/>
      <c r="L124" s="504"/>
      <c r="M124" s="504"/>
      <c r="N124" s="504"/>
      <c r="O124" s="504"/>
    </row>
    <row r="125" spans="1:15" ht="12" customHeight="1" thickBot="1">
      <c r="A125" s="491" t="s">
        <v>23</v>
      </c>
      <c r="B125" s="551" t="s">
        <v>397</v>
      </c>
      <c r="C125" s="493">
        <f aca="true" t="shared" si="34" ref="C125:O125">+C92+C108+C122</f>
        <v>398159309</v>
      </c>
      <c r="D125" s="493">
        <f t="shared" si="34"/>
        <v>273985</v>
      </c>
      <c r="E125" s="493">
        <f t="shared" si="34"/>
        <v>398433294</v>
      </c>
      <c r="F125" s="493">
        <f t="shared" si="34"/>
        <v>19415991</v>
      </c>
      <c r="G125" s="493">
        <f t="shared" si="34"/>
        <v>417849285</v>
      </c>
      <c r="H125" s="493">
        <f t="shared" si="34"/>
        <v>21324047</v>
      </c>
      <c r="I125" s="493">
        <f t="shared" si="34"/>
        <v>439173332</v>
      </c>
      <c r="J125" s="493">
        <f t="shared" si="34"/>
        <v>17001163</v>
      </c>
      <c r="K125" s="493">
        <f t="shared" si="34"/>
        <v>456174495</v>
      </c>
      <c r="L125" s="493">
        <f t="shared" si="34"/>
        <v>91399117</v>
      </c>
      <c r="M125" s="493">
        <f t="shared" si="34"/>
        <v>547573612</v>
      </c>
      <c r="N125" s="493">
        <f t="shared" si="34"/>
        <v>254494</v>
      </c>
      <c r="O125" s="493">
        <f t="shared" si="34"/>
        <v>547828106</v>
      </c>
    </row>
    <row r="126" spans="1:15" ht="12" customHeight="1" thickBot="1">
      <c r="A126" s="491" t="s">
        <v>24</v>
      </c>
      <c r="B126" s="551" t="s">
        <v>398</v>
      </c>
      <c r="C126" s="493">
        <f aca="true" t="shared" si="35" ref="C126:O126">+C127+C128+C129</f>
        <v>0</v>
      </c>
      <c r="D126" s="493">
        <f t="shared" si="35"/>
        <v>0</v>
      </c>
      <c r="E126" s="493">
        <f t="shared" si="35"/>
        <v>0</v>
      </c>
      <c r="F126" s="493">
        <f t="shared" si="35"/>
        <v>0</v>
      </c>
      <c r="G126" s="493">
        <f t="shared" si="35"/>
        <v>0</v>
      </c>
      <c r="H126" s="493">
        <f t="shared" si="35"/>
        <v>0</v>
      </c>
      <c r="I126" s="493">
        <f t="shared" si="35"/>
        <v>0</v>
      </c>
      <c r="J126" s="493">
        <f t="shared" si="35"/>
        <v>0</v>
      </c>
      <c r="K126" s="493">
        <f t="shared" si="35"/>
        <v>0</v>
      </c>
      <c r="L126" s="493">
        <f t="shared" si="35"/>
        <v>0</v>
      </c>
      <c r="M126" s="493">
        <f t="shared" si="35"/>
        <v>0</v>
      </c>
      <c r="N126" s="493">
        <f t="shared" si="35"/>
        <v>0</v>
      </c>
      <c r="O126" s="493">
        <f t="shared" si="35"/>
        <v>0</v>
      </c>
    </row>
    <row r="127" spans="1:15" ht="12" customHeight="1">
      <c r="A127" s="495" t="s">
        <v>100</v>
      </c>
      <c r="B127" s="552" t="s">
        <v>399</v>
      </c>
      <c r="C127" s="546"/>
      <c r="D127" s="546"/>
      <c r="E127" s="546"/>
      <c r="F127" s="546"/>
      <c r="G127" s="546"/>
      <c r="H127" s="546"/>
      <c r="I127" s="546"/>
      <c r="J127" s="546"/>
      <c r="K127" s="546"/>
      <c r="L127" s="546"/>
      <c r="M127" s="546"/>
      <c r="N127" s="546"/>
      <c r="O127" s="546"/>
    </row>
    <row r="128" spans="1:15" ht="12" customHeight="1">
      <c r="A128" s="495" t="s">
        <v>101</v>
      </c>
      <c r="B128" s="552" t="s">
        <v>400</v>
      </c>
      <c r="C128" s="546"/>
      <c r="D128" s="546"/>
      <c r="E128" s="546"/>
      <c r="F128" s="546"/>
      <c r="G128" s="546"/>
      <c r="H128" s="546"/>
      <c r="I128" s="546"/>
      <c r="J128" s="546"/>
      <c r="K128" s="546"/>
      <c r="L128" s="546"/>
      <c r="M128" s="546"/>
      <c r="N128" s="546"/>
      <c r="O128" s="546"/>
    </row>
    <row r="129" spans="1:15" ht="12" customHeight="1" thickBot="1">
      <c r="A129" s="539" t="s">
        <v>102</v>
      </c>
      <c r="B129" s="553" t="s">
        <v>401</v>
      </c>
      <c r="C129" s="546"/>
      <c r="D129" s="546"/>
      <c r="E129" s="546"/>
      <c r="F129" s="546"/>
      <c r="G129" s="546"/>
      <c r="H129" s="546"/>
      <c r="I129" s="546"/>
      <c r="J129" s="546"/>
      <c r="K129" s="546"/>
      <c r="L129" s="546"/>
      <c r="M129" s="546"/>
      <c r="N129" s="546"/>
      <c r="O129" s="546"/>
    </row>
    <row r="130" spans="1:15" ht="12" customHeight="1" thickBot="1">
      <c r="A130" s="491" t="s">
        <v>25</v>
      </c>
      <c r="B130" s="551" t="s">
        <v>458</v>
      </c>
      <c r="C130" s="493">
        <f aca="true" t="shared" si="36" ref="C130:O130">+C131+C132+C133+C134</f>
        <v>0</v>
      </c>
      <c r="D130" s="493">
        <f t="shared" si="36"/>
        <v>0</v>
      </c>
      <c r="E130" s="493">
        <f t="shared" si="36"/>
        <v>0</v>
      </c>
      <c r="F130" s="493">
        <f t="shared" si="36"/>
        <v>0</v>
      </c>
      <c r="G130" s="493">
        <f t="shared" si="36"/>
        <v>0</v>
      </c>
      <c r="H130" s="493">
        <f t="shared" si="36"/>
        <v>0</v>
      </c>
      <c r="I130" s="493">
        <f t="shared" si="36"/>
        <v>0</v>
      </c>
      <c r="J130" s="493">
        <f t="shared" si="36"/>
        <v>0</v>
      </c>
      <c r="K130" s="493">
        <f t="shared" si="36"/>
        <v>0</v>
      </c>
      <c r="L130" s="493">
        <f t="shared" si="36"/>
        <v>0</v>
      </c>
      <c r="M130" s="493">
        <f t="shared" si="36"/>
        <v>0</v>
      </c>
      <c r="N130" s="493">
        <f t="shared" si="36"/>
        <v>0</v>
      </c>
      <c r="O130" s="493">
        <f t="shared" si="36"/>
        <v>0</v>
      </c>
    </row>
    <row r="131" spans="1:15" ht="12" customHeight="1">
      <c r="A131" s="495" t="s">
        <v>103</v>
      </c>
      <c r="B131" s="552" t="s">
        <v>402</v>
      </c>
      <c r="C131" s="546"/>
      <c r="D131" s="546"/>
      <c r="E131" s="546"/>
      <c r="F131" s="546"/>
      <c r="G131" s="546"/>
      <c r="H131" s="546"/>
      <c r="I131" s="546"/>
      <c r="J131" s="546"/>
      <c r="K131" s="546"/>
      <c r="L131" s="546"/>
      <c r="M131" s="546"/>
      <c r="N131" s="546"/>
      <c r="O131" s="546"/>
    </row>
    <row r="132" spans="1:15" ht="12" customHeight="1">
      <c r="A132" s="495" t="s">
        <v>104</v>
      </c>
      <c r="B132" s="552" t="s">
        <v>403</v>
      </c>
      <c r="C132" s="546"/>
      <c r="D132" s="546"/>
      <c r="E132" s="546"/>
      <c r="F132" s="546"/>
      <c r="G132" s="546"/>
      <c r="H132" s="546"/>
      <c r="I132" s="546"/>
      <c r="J132" s="546"/>
      <c r="K132" s="546"/>
      <c r="L132" s="546"/>
      <c r="M132" s="546"/>
      <c r="N132" s="546"/>
      <c r="O132" s="546"/>
    </row>
    <row r="133" spans="1:15" ht="12" customHeight="1">
      <c r="A133" s="495" t="s">
        <v>305</v>
      </c>
      <c r="B133" s="552" t="s">
        <v>404</v>
      </c>
      <c r="C133" s="546"/>
      <c r="D133" s="546"/>
      <c r="E133" s="546"/>
      <c r="F133" s="546"/>
      <c r="G133" s="546"/>
      <c r="H133" s="546"/>
      <c r="I133" s="546"/>
      <c r="J133" s="546"/>
      <c r="K133" s="546"/>
      <c r="L133" s="546"/>
      <c r="M133" s="546"/>
      <c r="N133" s="546"/>
      <c r="O133" s="546"/>
    </row>
    <row r="134" spans="1:15" ht="12" customHeight="1" thickBot="1">
      <c r="A134" s="539" t="s">
        <v>306</v>
      </c>
      <c r="B134" s="553" t="s">
        <v>405</v>
      </c>
      <c r="C134" s="546"/>
      <c r="D134" s="546"/>
      <c r="E134" s="546"/>
      <c r="F134" s="546"/>
      <c r="G134" s="546"/>
      <c r="H134" s="546"/>
      <c r="I134" s="546"/>
      <c r="J134" s="546"/>
      <c r="K134" s="546"/>
      <c r="L134" s="546"/>
      <c r="M134" s="546"/>
      <c r="N134" s="546"/>
      <c r="O134" s="546"/>
    </row>
    <row r="135" spans="1:15" ht="12" customHeight="1" thickBot="1">
      <c r="A135" s="491" t="s">
        <v>26</v>
      </c>
      <c r="B135" s="551" t="s">
        <v>406</v>
      </c>
      <c r="C135" s="505">
        <f aca="true" t="shared" si="37" ref="C135:O135">+C136+C137+C138+C139</f>
        <v>4649687</v>
      </c>
      <c r="D135" s="505">
        <f t="shared" si="37"/>
        <v>0</v>
      </c>
      <c r="E135" s="505">
        <f t="shared" si="37"/>
        <v>4649687</v>
      </c>
      <c r="F135" s="505">
        <f t="shared" si="37"/>
        <v>0</v>
      </c>
      <c r="G135" s="505">
        <f t="shared" si="37"/>
        <v>4649687</v>
      </c>
      <c r="H135" s="505">
        <f t="shared" si="37"/>
        <v>0</v>
      </c>
      <c r="I135" s="505">
        <f t="shared" si="37"/>
        <v>4649687</v>
      </c>
      <c r="J135" s="505">
        <f t="shared" si="37"/>
        <v>0</v>
      </c>
      <c r="K135" s="505">
        <f t="shared" si="37"/>
        <v>4649687</v>
      </c>
      <c r="L135" s="505">
        <f t="shared" si="37"/>
        <v>0</v>
      </c>
      <c r="M135" s="505">
        <f t="shared" si="37"/>
        <v>4649687</v>
      </c>
      <c r="N135" s="505">
        <f t="shared" si="37"/>
        <v>0</v>
      </c>
      <c r="O135" s="505">
        <f t="shared" si="37"/>
        <v>4649687</v>
      </c>
    </row>
    <row r="136" spans="1:15" ht="12" customHeight="1">
      <c r="A136" s="495" t="s">
        <v>105</v>
      </c>
      <c r="B136" s="552" t="s">
        <v>407</v>
      </c>
      <c r="C136" s="546"/>
      <c r="D136" s="546"/>
      <c r="E136" s="546"/>
      <c r="F136" s="546"/>
      <c r="G136" s="546"/>
      <c r="H136" s="546"/>
      <c r="I136" s="546"/>
      <c r="J136" s="546"/>
      <c r="K136" s="546"/>
      <c r="L136" s="546"/>
      <c r="M136" s="546"/>
      <c r="N136" s="546"/>
      <c r="O136" s="546"/>
    </row>
    <row r="137" spans="1:15" ht="12" customHeight="1">
      <c r="A137" s="495" t="s">
        <v>106</v>
      </c>
      <c r="B137" s="552" t="s">
        <v>417</v>
      </c>
      <c r="C137" s="546">
        <v>4649687</v>
      </c>
      <c r="D137" s="546"/>
      <c r="E137" s="546">
        <f>C137+D137</f>
        <v>4649687</v>
      </c>
      <c r="F137" s="546"/>
      <c r="G137" s="546">
        <f>E137+F137</f>
        <v>4649687</v>
      </c>
      <c r="H137" s="546"/>
      <c r="I137" s="546">
        <f>G137+H137</f>
        <v>4649687</v>
      </c>
      <c r="J137" s="546"/>
      <c r="K137" s="546">
        <f>I137+J137</f>
        <v>4649687</v>
      </c>
      <c r="L137" s="546"/>
      <c r="M137" s="546">
        <f>K137+L137</f>
        <v>4649687</v>
      </c>
      <c r="N137" s="546"/>
      <c r="O137" s="546">
        <f>M137+N137</f>
        <v>4649687</v>
      </c>
    </row>
    <row r="138" spans="1:15" ht="12" customHeight="1">
      <c r="A138" s="495" t="s">
        <v>318</v>
      </c>
      <c r="B138" s="552" t="s">
        <v>408</v>
      </c>
      <c r="C138" s="546"/>
      <c r="D138" s="546"/>
      <c r="E138" s="546"/>
      <c r="F138" s="546"/>
      <c r="G138" s="546"/>
      <c r="H138" s="546"/>
      <c r="I138" s="546"/>
      <c r="J138" s="546"/>
      <c r="K138" s="546"/>
      <c r="L138" s="546"/>
      <c r="M138" s="546"/>
      <c r="N138" s="546"/>
      <c r="O138" s="546"/>
    </row>
    <row r="139" spans="1:15" ht="12" customHeight="1" thickBot="1">
      <c r="A139" s="539" t="s">
        <v>319</v>
      </c>
      <c r="B139" s="553" t="s">
        <v>409</v>
      </c>
      <c r="C139" s="546"/>
      <c r="D139" s="546"/>
      <c r="E139" s="546"/>
      <c r="F139" s="546"/>
      <c r="G139" s="546"/>
      <c r="H139" s="546"/>
      <c r="I139" s="546"/>
      <c r="J139" s="546"/>
      <c r="K139" s="546"/>
      <c r="L139" s="546"/>
      <c r="M139" s="546"/>
      <c r="N139" s="546"/>
      <c r="O139" s="546"/>
    </row>
    <row r="140" spans="1:15" ht="12" customHeight="1" thickBot="1">
      <c r="A140" s="491" t="s">
        <v>27</v>
      </c>
      <c r="B140" s="551" t="s">
        <v>410</v>
      </c>
      <c r="C140" s="554">
        <f aca="true" t="shared" si="38" ref="C140:O140">+C141+C142+C143+C144</f>
        <v>0</v>
      </c>
      <c r="D140" s="554">
        <f t="shared" si="38"/>
        <v>0</v>
      </c>
      <c r="E140" s="554">
        <f t="shared" si="38"/>
        <v>0</v>
      </c>
      <c r="F140" s="554">
        <f t="shared" si="38"/>
        <v>0</v>
      </c>
      <c r="G140" s="554">
        <f t="shared" si="38"/>
        <v>0</v>
      </c>
      <c r="H140" s="554">
        <f t="shared" si="38"/>
        <v>0</v>
      </c>
      <c r="I140" s="554">
        <f t="shared" si="38"/>
        <v>0</v>
      </c>
      <c r="J140" s="554">
        <f t="shared" si="38"/>
        <v>0</v>
      </c>
      <c r="K140" s="554">
        <f t="shared" si="38"/>
        <v>0</v>
      </c>
      <c r="L140" s="554">
        <f t="shared" si="38"/>
        <v>0</v>
      </c>
      <c r="M140" s="554">
        <f t="shared" si="38"/>
        <v>0</v>
      </c>
      <c r="N140" s="554">
        <f t="shared" si="38"/>
        <v>0</v>
      </c>
      <c r="O140" s="554">
        <f t="shared" si="38"/>
        <v>0</v>
      </c>
    </row>
    <row r="141" spans="1:15" ht="12" customHeight="1">
      <c r="A141" s="495" t="s">
        <v>185</v>
      </c>
      <c r="B141" s="552" t="s">
        <v>411</v>
      </c>
      <c r="C141" s="546"/>
      <c r="D141" s="546"/>
      <c r="E141" s="546"/>
      <c r="F141" s="546"/>
      <c r="G141" s="546"/>
      <c r="H141" s="546"/>
      <c r="I141" s="546"/>
      <c r="J141" s="546"/>
      <c r="K141" s="546"/>
      <c r="L141" s="546"/>
      <c r="M141" s="546"/>
      <c r="N141" s="546"/>
      <c r="O141" s="546"/>
    </row>
    <row r="142" spans="1:15" ht="12" customHeight="1">
      <c r="A142" s="495" t="s">
        <v>186</v>
      </c>
      <c r="B142" s="552" t="s">
        <v>412</v>
      </c>
      <c r="C142" s="546"/>
      <c r="D142" s="546"/>
      <c r="E142" s="546"/>
      <c r="F142" s="546"/>
      <c r="G142" s="546"/>
      <c r="H142" s="546"/>
      <c r="I142" s="546"/>
      <c r="J142" s="546"/>
      <c r="K142" s="546"/>
      <c r="L142" s="546"/>
      <c r="M142" s="546"/>
      <c r="N142" s="546"/>
      <c r="O142" s="546"/>
    </row>
    <row r="143" spans="1:15" ht="12" customHeight="1">
      <c r="A143" s="495" t="s">
        <v>235</v>
      </c>
      <c r="B143" s="552" t="s">
        <v>413</v>
      </c>
      <c r="C143" s="546"/>
      <c r="D143" s="546"/>
      <c r="E143" s="546"/>
      <c r="F143" s="546"/>
      <c r="G143" s="546"/>
      <c r="H143" s="546"/>
      <c r="I143" s="546"/>
      <c r="J143" s="546"/>
      <c r="K143" s="546"/>
      <c r="L143" s="546"/>
      <c r="M143" s="546"/>
      <c r="N143" s="546"/>
      <c r="O143" s="546"/>
    </row>
    <row r="144" spans="1:15" ht="12" customHeight="1" thickBot="1">
      <c r="A144" s="495" t="s">
        <v>321</v>
      </c>
      <c r="B144" s="552" t="s">
        <v>414</v>
      </c>
      <c r="C144" s="546"/>
      <c r="D144" s="546"/>
      <c r="E144" s="546"/>
      <c r="F144" s="546"/>
      <c r="G144" s="546"/>
      <c r="H144" s="546"/>
      <c r="I144" s="546"/>
      <c r="J144" s="546"/>
      <c r="K144" s="546"/>
      <c r="L144" s="546"/>
      <c r="M144" s="546"/>
      <c r="N144" s="546"/>
      <c r="O144" s="546"/>
    </row>
    <row r="145" spans="1:19" ht="15" customHeight="1" thickBot="1">
      <c r="A145" s="491" t="s">
        <v>28</v>
      </c>
      <c r="B145" s="551" t="s">
        <v>415</v>
      </c>
      <c r="C145" s="555">
        <f aca="true" t="shared" si="39" ref="C145:O145">+C126+C130+C135+C140</f>
        <v>4649687</v>
      </c>
      <c r="D145" s="555">
        <f t="shared" si="39"/>
        <v>0</v>
      </c>
      <c r="E145" s="555">
        <f t="shared" si="39"/>
        <v>4649687</v>
      </c>
      <c r="F145" s="555">
        <f t="shared" si="39"/>
        <v>0</v>
      </c>
      <c r="G145" s="555">
        <f t="shared" si="39"/>
        <v>4649687</v>
      </c>
      <c r="H145" s="555">
        <f t="shared" si="39"/>
        <v>0</v>
      </c>
      <c r="I145" s="555">
        <f t="shared" si="39"/>
        <v>4649687</v>
      </c>
      <c r="J145" s="555">
        <f t="shared" si="39"/>
        <v>0</v>
      </c>
      <c r="K145" s="555">
        <f t="shared" si="39"/>
        <v>4649687</v>
      </c>
      <c r="L145" s="555">
        <f t="shared" si="39"/>
        <v>0</v>
      </c>
      <c r="M145" s="555">
        <f t="shared" si="39"/>
        <v>4649687</v>
      </c>
      <c r="N145" s="555">
        <f t="shared" si="39"/>
        <v>0</v>
      </c>
      <c r="O145" s="555">
        <f t="shared" si="39"/>
        <v>4649687</v>
      </c>
      <c r="P145" s="556"/>
      <c r="Q145" s="557"/>
      <c r="R145" s="557"/>
      <c r="S145" s="557"/>
    </row>
    <row r="146" spans="1:15" s="494" customFormat="1" ht="12.75" customHeight="1" thickBot="1">
      <c r="A146" s="558" t="s">
        <v>29</v>
      </c>
      <c r="B146" s="559" t="s">
        <v>416</v>
      </c>
      <c r="C146" s="555">
        <f aca="true" t="shared" si="40" ref="C146:O146">+C125+C145</f>
        <v>402808996</v>
      </c>
      <c r="D146" s="555">
        <f t="shared" si="40"/>
        <v>273985</v>
      </c>
      <c r="E146" s="555">
        <f t="shared" si="40"/>
        <v>403082981</v>
      </c>
      <c r="F146" s="555">
        <f t="shared" si="40"/>
        <v>19415991</v>
      </c>
      <c r="G146" s="555">
        <f t="shared" si="40"/>
        <v>422498972</v>
      </c>
      <c r="H146" s="555">
        <f t="shared" si="40"/>
        <v>21324047</v>
      </c>
      <c r="I146" s="555">
        <f t="shared" si="40"/>
        <v>443823019</v>
      </c>
      <c r="J146" s="555">
        <f t="shared" si="40"/>
        <v>17001163</v>
      </c>
      <c r="K146" s="555">
        <f t="shared" si="40"/>
        <v>460824182</v>
      </c>
      <c r="L146" s="555">
        <f t="shared" si="40"/>
        <v>91399117</v>
      </c>
      <c r="M146" s="555">
        <f t="shared" si="40"/>
        <v>552223299</v>
      </c>
      <c r="N146" s="555">
        <f t="shared" si="40"/>
        <v>254494</v>
      </c>
      <c r="O146" s="555">
        <f t="shared" si="40"/>
        <v>552477793</v>
      </c>
    </row>
    <row r="147" ht="7.5" customHeight="1"/>
    <row r="148" spans="1:15" ht="15.75">
      <c r="A148" s="732" t="s">
        <v>418</v>
      </c>
      <c r="B148" s="732"/>
      <c r="C148" s="73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</row>
    <row r="149" spans="1:15" ht="15" customHeight="1" thickBot="1">
      <c r="A149" s="730" t="s">
        <v>158</v>
      </c>
      <c r="B149" s="730"/>
      <c r="C149" s="483"/>
      <c r="D149" s="483"/>
      <c r="E149" s="483"/>
      <c r="F149" s="483"/>
      <c r="G149" s="483"/>
      <c r="H149" s="483"/>
      <c r="I149" s="483"/>
      <c r="J149" s="483"/>
      <c r="K149" s="483"/>
      <c r="L149" s="483"/>
      <c r="M149" s="483"/>
      <c r="N149" s="483"/>
      <c r="O149" s="483" t="s">
        <v>535</v>
      </c>
    </row>
    <row r="150" spans="1:15" ht="19.5" customHeight="1" thickBot="1">
      <c r="A150" s="491">
        <v>1</v>
      </c>
      <c r="B150" s="544" t="s">
        <v>419</v>
      </c>
      <c r="C150" s="493">
        <f aca="true" t="shared" si="41" ref="C150:O150">+C62-C125</f>
        <v>-152029282</v>
      </c>
      <c r="D150" s="493">
        <f t="shared" si="41"/>
        <v>1381723</v>
      </c>
      <c r="E150" s="493">
        <f t="shared" si="41"/>
        <v>-150647559</v>
      </c>
      <c r="F150" s="493">
        <f t="shared" si="41"/>
        <v>0</v>
      </c>
      <c r="G150" s="493">
        <f t="shared" si="41"/>
        <v>-150647559</v>
      </c>
      <c r="H150" s="493">
        <f t="shared" si="41"/>
        <v>0</v>
      </c>
      <c r="I150" s="493">
        <f t="shared" si="41"/>
        <v>-150647559</v>
      </c>
      <c r="J150" s="493">
        <f t="shared" si="41"/>
        <v>0</v>
      </c>
      <c r="K150" s="493">
        <f t="shared" si="41"/>
        <v>-150647559</v>
      </c>
      <c r="L150" s="493">
        <f t="shared" si="41"/>
        <v>0</v>
      </c>
      <c r="M150" s="493">
        <f t="shared" si="41"/>
        <v>-150647559</v>
      </c>
      <c r="N150" s="493">
        <f t="shared" si="41"/>
        <v>0</v>
      </c>
      <c r="O150" s="493">
        <f t="shared" si="41"/>
        <v>-150647559</v>
      </c>
    </row>
    <row r="151" spans="1:15" ht="27.75" customHeight="1" thickBot="1">
      <c r="A151" s="491" t="s">
        <v>21</v>
      </c>
      <c r="B151" s="544" t="s">
        <v>420</v>
      </c>
      <c r="C151" s="493">
        <f aca="true" t="shared" si="42" ref="C151:O151">+C85-C145</f>
        <v>152029282</v>
      </c>
      <c r="D151" s="493">
        <f t="shared" si="42"/>
        <v>-1381723</v>
      </c>
      <c r="E151" s="493">
        <f t="shared" si="42"/>
        <v>150647559</v>
      </c>
      <c r="F151" s="493">
        <f t="shared" si="42"/>
        <v>0</v>
      </c>
      <c r="G151" s="493">
        <f t="shared" si="42"/>
        <v>150647559</v>
      </c>
      <c r="H151" s="493">
        <f t="shared" si="42"/>
        <v>0</v>
      </c>
      <c r="I151" s="493">
        <f t="shared" si="42"/>
        <v>150647559</v>
      </c>
      <c r="J151" s="493">
        <f t="shared" si="42"/>
        <v>0</v>
      </c>
      <c r="K151" s="493">
        <f t="shared" si="42"/>
        <v>150647559</v>
      </c>
      <c r="L151" s="493">
        <f t="shared" si="42"/>
        <v>0</v>
      </c>
      <c r="M151" s="493">
        <f t="shared" si="42"/>
        <v>150647559</v>
      </c>
      <c r="N151" s="493">
        <f t="shared" si="42"/>
        <v>0</v>
      </c>
      <c r="O151" s="493">
        <f t="shared" si="42"/>
        <v>150647559</v>
      </c>
    </row>
  </sheetData>
  <sheetProtection/>
  <mergeCells count="7">
    <mergeCell ref="A149:B149"/>
    <mergeCell ref="M1:O1"/>
    <mergeCell ref="A3:M3"/>
    <mergeCell ref="A4:B4"/>
    <mergeCell ref="A88:M88"/>
    <mergeCell ref="A89:B89"/>
    <mergeCell ref="A148:C14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Tengelic Község Önkormányzat
2019. ÉVI KÖLTSÉGVETÉSÉNEK ÖSSZEVONT MÉRLEGE&amp;10
</oddHeader>
  </headerFooter>
  <rowBreaks count="1" manualBreakCount="1">
    <brk id="87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115" sqref="G115"/>
    </sheetView>
  </sheetViews>
  <sheetFormatPr defaultColWidth="9.00390625" defaultRowHeight="12.75"/>
  <cols>
    <col min="1" max="1" width="13.875" style="240" customWidth="1"/>
    <col min="2" max="2" width="79.125" style="241" customWidth="1"/>
    <col min="3" max="3" width="25.00390625" style="241" customWidth="1"/>
    <col min="4" max="16384" width="9.375" style="241" customWidth="1"/>
  </cols>
  <sheetData>
    <row r="1" spans="1:3" s="220" customFormat="1" ht="21" customHeight="1" thickBot="1">
      <c r="A1" s="219"/>
      <c r="B1" s="221"/>
      <c r="C1" s="404" t="s">
        <v>571</v>
      </c>
    </row>
    <row r="2" spans="1:3" s="405" customFormat="1" ht="31.5" customHeight="1">
      <c r="A2" s="356" t="s">
        <v>208</v>
      </c>
      <c r="B2" s="306" t="s">
        <v>507</v>
      </c>
      <c r="C2" s="321" t="s">
        <v>65</v>
      </c>
    </row>
    <row r="3" spans="1:3" s="405" customFormat="1" ht="24.75" thickBot="1">
      <c r="A3" s="397" t="s">
        <v>207</v>
      </c>
      <c r="B3" s="307" t="s">
        <v>487</v>
      </c>
      <c r="C3" s="322" t="s">
        <v>55</v>
      </c>
    </row>
    <row r="4" spans="1:3" s="406" customFormat="1" ht="15.75" customHeight="1" thickBot="1">
      <c r="A4" s="223"/>
      <c r="B4" s="223"/>
      <c r="C4" s="224" t="s">
        <v>535</v>
      </c>
    </row>
    <row r="5" spans="1:3" ht="13.5" thickBot="1">
      <c r="A5" s="357" t="s">
        <v>209</v>
      </c>
      <c r="B5" s="225" t="s">
        <v>57</v>
      </c>
      <c r="C5" s="226" t="s">
        <v>58</v>
      </c>
    </row>
    <row r="6" spans="1:3" s="407" customFormat="1" ht="12.75" customHeight="1" thickBot="1">
      <c r="A6" s="198">
        <v>1</v>
      </c>
      <c r="B6" s="199">
        <v>2</v>
      </c>
      <c r="C6" s="200">
        <v>3</v>
      </c>
    </row>
    <row r="7" spans="1:3" s="407" customFormat="1" ht="15.75" customHeight="1" thickBot="1">
      <c r="A7" s="227"/>
      <c r="B7" s="228" t="s">
        <v>59</v>
      </c>
      <c r="C7" s="229"/>
    </row>
    <row r="8" spans="1:3" s="323" customFormat="1" ht="12" customHeight="1" thickBot="1">
      <c r="A8" s="198" t="s">
        <v>20</v>
      </c>
      <c r="B8" s="230" t="s">
        <v>465</v>
      </c>
      <c r="C8" s="299">
        <f>SUM(C9:C18)</f>
        <v>15113000</v>
      </c>
    </row>
    <row r="9" spans="1:3" s="323" customFormat="1" ht="12" customHeight="1">
      <c r="A9" s="398" t="s">
        <v>107</v>
      </c>
      <c r="B9" s="10" t="s">
        <v>294</v>
      </c>
      <c r="C9" s="312"/>
    </row>
    <row r="10" spans="1:3" s="323" customFormat="1" ht="12" customHeight="1">
      <c r="A10" s="399" t="s">
        <v>108</v>
      </c>
      <c r="B10" s="8" t="s">
        <v>295</v>
      </c>
      <c r="C10" s="297"/>
    </row>
    <row r="11" spans="1:3" s="323" customFormat="1" ht="12" customHeight="1">
      <c r="A11" s="399" t="s">
        <v>109</v>
      </c>
      <c r="B11" s="8" t="s">
        <v>296</v>
      </c>
      <c r="C11" s="297"/>
    </row>
    <row r="12" spans="1:3" s="323" customFormat="1" ht="12" customHeight="1">
      <c r="A12" s="399" t="s">
        <v>110</v>
      </c>
      <c r="B12" s="8" t="s">
        <v>297</v>
      </c>
      <c r="C12" s="297"/>
    </row>
    <row r="13" spans="1:3" s="323" customFormat="1" ht="12" customHeight="1">
      <c r="A13" s="399" t="s">
        <v>152</v>
      </c>
      <c r="B13" s="8" t="s">
        <v>298</v>
      </c>
      <c r="C13" s="297">
        <v>11900000</v>
      </c>
    </row>
    <row r="14" spans="1:3" s="323" customFormat="1" ht="12" customHeight="1">
      <c r="A14" s="399" t="s">
        <v>111</v>
      </c>
      <c r="B14" s="8" t="s">
        <v>466</v>
      </c>
      <c r="C14" s="297">
        <v>3213000</v>
      </c>
    </row>
    <row r="15" spans="1:3" s="323" customFormat="1" ht="12" customHeight="1">
      <c r="A15" s="399" t="s">
        <v>112</v>
      </c>
      <c r="B15" s="7" t="s">
        <v>467</v>
      </c>
      <c r="C15" s="297"/>
    </row>
    <row r="16" spans="1:3" s="323" customFormat="1" ht="12" customHeight="1">
      <c r="A16" s="399" t="s">
        <v>122</v>
      </c>
      <c r="B16" s="8" t="s">
        <v>301</v>
      </c>
      <c r="C16" s="313"/>
    </row>
    <row r="17" spans="1:3" s="408" customFormat="1" ht="12" customHeight="1">
      <c r="A17" s="399" t="s">
        <v>123</v>
      </c>
      <c r="B17" s="8" t="s">
        <v>302</v>
      </c>
      <c r="C17" s="297"/>
    </row>
    <row r="18" spans="1:3" s="408" customFormat="1" ht="12" customHeight="1" thickBot="1">
      <c r="A18" s="399" t="s">
        <v>124</v>
      </c>
      <c r="B18" s="7" t="s">
        <v>303</v>
      </c>
      <c r="C18" s="298"/>
    </row>
    <row r="19" spans="1:3" s="323" customFormat="1" ht="12" customHeight="1" thickBot="1">
      <c r="A19" s="198" t="s">
        <v>21</v>
      </c>
      <c r="B19" s="230" t="s">
        <v>468</v>
      </c>
      <c r="C19" s="299">
        <f>SUM(C20:C22)</f>
        <v>0</v>
      </c>
    </row>
    <row r="20" spans="1:3" s="408" customFormat="1" ht="12" customHeight="1">
      <c r="A20" s="399" t="s">
        <v>113</v>
      </c>
      <c r="B20" s="9" t="s">
        <v>269</v>
      </c>
      <c r="C20" s="297"/>
    </row>
    <row r="21" spans="1:3" s="408" customFormat="1" ht="12" customHeight="1">
      <c r="A21" s="399" t="s">
        <v>114</v>
      </c>
      <c r="B21" s="8" t="s">
        <v>469</v>
      </c>
      <c r="C21" s="297"/>
    </row>
    <row r="22" spans="1:3" s="408" customFormat="1" ht="12" customHeight="1">
      <c r="A22" s="399" t="s">
        <v>115</v>
      </c>
      <c r="B22" s="8" t="s">
        <v>470</v>
      </c>
      <c r="C22" s="297"/>
    </row>
    <row r="23" spans="1:3" s="408" customFormat="1" ht="12" customHeight="1" thickBot="1">
      <c r="A23" s="399" t="s">
        <v>116</v>
      </c>
      <c r="B23" s="8" t="s">
        <v>2</v>
      </c>
      <c r="C23" s="297"/>
    </row>
    <row r="24" spans="1:3" s="408" customFormat="1" ht="12" customHeight="1" thickBot="1">
      <c r="A24" s="203" t="s">
        <v>22</v>
      </c>
      <c r="B24" s="119" t="s">
        <v>178</v>
      </c>
      <c r="C24" s="301"/>
    </row>
    <row r="25" spans="1:3" s="408" customFormat="1" ht="12" customHeight="1" thickBot="1">
      <c r="A25" s="203" t="s">
        <v>23</v>
      </c>
      <c r="B25" s="119" t="s">
        <v>471</v>
      </c>
      <c r="C25" s="299">
        <f>+C26+C27</f>
        <v>0</v>
      </c>
    </row>
    <row r="26" spans="1:3" s="408" customFormat="1" ht="12" customHeight="1">
      <c r="A26" s="400" t="s">
        <v>279</v>
      </c>
      <c r="B26" s="401" t="s">
        <v>469</v>
      </c>
      <c r="C26" s="83"/>
    </row>
    <row r="27" spans="1:3" s="408" customFormat="1" ht="12" customHeight="1">
      <c r="A27" s="400" t="s">
        <v>282</v>
      </c>
      <c r="B27" s="402" t="s">
        <v>472</v>
      </c>
      <c r="C27" s="300"/>
    </row>
    <row r="28" spans="1:3" s="408" customFormat="1" ht="12" customHeight="1" thickBot="1">
      <c r="A28" s="399" t="s">
        <v>283</v>
      </c>
      <c r="B28" s="403" t="s">
        <v>473</v>
      </c>
      <c r="C28" s="85"/>
    </row>
    <row r="29" spans="1:3" s="408" customFormat="1" ht="12" customHeight="1" thickBot="1">
      <c r="A29" s="203" t="s">
        <v>24</v>
      </c>
      <c r="B29" s="119" t="s">
        <v>474</v>
      </c>
      <c r="C29" s="299">
        <f>+C30+C31+C32</f>
        <v>0</v>
      </c>
    </row>
    <row r="30" spans="1:3" s="408" customFormat="1" ht="12" customHeight="1">
      <c r="A30" s="400" t="s">
        <v>100</v>
      </c>
      <c r="B30" s="401" t="s">
        <v>308</v>
      </c>
      <c r="C30" s="83"/>
    </row>
    <row r="31" spans="1:3" s="408" customFormat="1" ht="12" customHeight="1">
      <c r="A31" s="400" t="s">
        <v>101</v>
      </c>
      <c r="B31" s="402" t="s">
        <v>309</v>
      </c>
      <c r="C31" s="300"/>
    </row>
    <row r="32" spans="1:3" s="408" customFormat="1" ht="12" customHeight="1" thickBot="1">
      <c r="A32" s="399" t="s">
        <v>102</v>
      </c>
      <c r="B32" s="132" t="s">
        <v>310</v>
      </c>
      <c r="C32" s="85"/>
    </row>
    <row r="33" spans="1:3" s="323" customFormat="1" ht="12" customHeight="1" thickBot="1">
      <c r="A33" s="203" t="s">
        <v>25</v>
      </c>
      <c r="B33" s="119" t="s">
        <v>423</v>
      </c>
      <c r="C33" s="301"/>
    </row>
    <row r="34" spans="1:3" s="323" customFormat="1" ht="12" customHeight="1" thickBot="1">
      <c r="A34" s="203" t="s">
        <v>26</v>
      </c>
      <c r="B34" s="119" t="s">
        <v>475</v>
      </c>
      <c r="C34" s="314"/>
    </row>
    <row r="35" spans="1:3" s="323" customFormat="1" ht="12" customHeight="1" thickBot="1">
      <c r="A35" s="198" t="s">
        <v>27</v>
      </c>
      <c r="B35" s="119" t="s">
        <v>476</v>
      </c>
      <c r="C35" s="315">
        <f>+C8+C19+C24+C25+C29+C33+C34</f>
        <v>15113000</v>
      </c>
    </row>
    <row r="36" spans="1:3" s="323" customFormat="1" ht="12" customHeight="1" thickBot="1">
      <c r="A36" s="231" t="s">
        <v>28</v>
      </c>
      <c r="B36" s="119" t="s">
        <v>477</v>
      </c>
      <c r="C36" s="315">
        <f>+C37+C38+C39</f>
        <v>82849632</v>
      </c>
    </row>
    <row r="37" spans="1:3" s="323" customFormat="1" ht="12" customHeight="1">
      <c r="A37" s="400" t="s">
        <v>478</v>
      </c>
      <c r="B37" s="401" t="s">
        <v>243</v>
      </c>
      <c r="C37" s="83">
        <v>1033680</v>
      </c>
    </row>
    <row r="38" spans="1:3" s="323" customFormat="1" ht="12" customHeight="1">
      <c r="A38" s="400" t="s">
        <v>479</v>
      </c>
      <c r="B38" s="402" t="s">
        <v>3</v>
      </c>
      <c r="C38" s="300"/>
    </row>
    <row r="39" spans="1:3" s="408" customFormat="1" ht="12" customHeight="1" thickBot="1">
      <c r="A39" s="399" t="s">
        <v>480</v>
      </c>
      <c r="B39" s="132" t="s">
        <v>481</v>
      </c>
      <c r="C39" s="85">
        <v>81815952</v>
      </c>
    </row>
    <row r="40" spans="1:3" s="408" customFormat="1" ht="15" customHeight="1" thickBot="1">
      <c r="A40" s="231" t="s">
        <v>29</v>
      </c>
      <c r="B40" s="232" t="s">
        <v>482</v>
      </c>
      <c r="C40" s="318">
        <f>+C35+C36</f>
        <v>97962632</v>
      </c>
    </row>
    <row r="41" spans="1:3" s="408" customFormat="1" ht="15" customHeight="1">
      <c r="A41" s="233"/>
      <c r="B41" s="234"/>
      <c r="C41" s="316"/>
    </row>
    <row r="42" spans="1:3" ht="13.5" thickBot="1">
      <c r="A42" s="235"/>
      <c r="B42" s="236"/>
      <c r="C42" s="317"/>
    </row>
    <row r="43" spans="1:3" s="407" customFormat="1" ht="16.5" customHeight="1" thickBot="1">
      <c r="A43" s="237"/>
      <c r="B43" s="238" t="s">
        <v>61</v>
      </c>
      <c r="C43" s="318"/>
    </row>
    <row r="44" spans="1:3" s="409" customFormat="1" ht="12" customHeight="1" thickBot="1">
      <c r="A44" s="203" t="s">
        <v>20</v>
      </c>
      <c r="B44" s="119" t="s">
        <v>483</v>
      </c>
      <c r="C44" s="299">
        <f>SUM(C45:C49)</f>
        <v>97362632</v>
      </c>
    </row>
    <row r="45" spans="1:3" ht="12" customHeight="1">
      <c r="A45" s="399" t="s">
        <v>107</v>
      </c>
      <c r="B45" s="9" t="s">
        <v>50</v>
      </c>
      <c r="C45" s="83">
        <v>44980308</v>
      </c>
    </row>
    <row r="46" spans="1:3" ht="12" customHeight="1">
      <c r="A46" s="399" t="s">
        <v>108</v>
      </c>
      <c r="B46" s="8" t="s">
        <v>187</v>
      </c>
      <c r="C46" s="84">
        <v>9349824</v>
      </c>
    </row>
    <row r="47" spans="1:3" ht="12" customHeight="1">
      <c r="A47" s="399" t="s">
        <v>109</v>
      </c>
      <c r="B47" s="8" t="s">
        <v>143</v>
      </c>
      <c r="C47" s="84">
        <v>43032500</v>
      </c>
    </row>
    <row r="48" spans="1:3" ht="12" customHeight="1">
      <c r="A48" s="399" t="s">
        <v>110</v>
      </c>
      <c r="B48" s="8" t="s">
        <v>188</v>
      </c>
      <c r="C48" s="84"/>
    </row>
    <row r="49" spans="1:3" ht="12" customHeight="1" thickBot="1">
      <c r="A49" s="399" t="s">
        <v>152</v>
      </c>
      <c r="B49" s="8" t="s">
        <v>189</v>
      </c>
      <c r="C49" s="84"/>
    </row>
    <row r="50" spans="1:3" ht="12" customHeight="1" thickBot="1">
      <c r="A50" s="203" t="s">
        <v>21</v>
      </c>
      <c r="B50" s="119" t="s">
        <v>484</v>
      </c>
      <c r="C50" s="299">
        <f>SUM(C51:C53)</f>
        <v>600000</v>
      </c>
    </row>
    <row r="51" spans="1:3" s="409" customFormat="1" ht="12" customHeight="1">
      <c r="A51" s="399" t="s">
        <v>113</v>
      </c>
      <c r="B51" s="9" t="s">
        <v>234</v>
      </c>
      <c r="C51" s="83">
        <v>600000</v>
      </c>
    </row>
    <row r="52" spans="1:3" ht="12" customHeight="1">
      <c r="A52" s="399" t="s">
        <v>114</v>
      </c>
      <c r="B52" s="8" t="s">
        <v>191</v>
      </c>
      <c r="C52" s="84"/>
    </row>
    <row r="53" spans="1:3" ht="12" customHeight="1">
      <c r="A53" s="399" t="s">
        <v>115</v>
      </c>
      <c r="B53" s="8" t="s">
        <v>62</v>
      </c>
      <c r="C53" s="84"/>
    </row>
    <row r="54" spans="1:3" ht="12" customHeight="1" thickBot="1">
      <c r="A54" s="399" t="s">
        <v>116</v>
      </c>
      <c r="B54" s="8" t="s">
        <v>4</v>
      </c>
      <c r="C54" s="84"/>
    </row>
    <row r="55" spans="1:3" ht="15" customHeight="1" thickBot="1">
      <c r="A55" s="203" t="s">
        <v>22</v>
      </c>
      <c r="B55" s="239" t="s">
        <v>485</v>
      </c>
      <c r="C55" s="319">
        <f>+C44+C50</f>
        <v>97962632</v>
      </c>
    </row>
    <row r="56" ht="13.5" thickBot="1">
      <c r="C56" s="320"/>
    </row>
    <row r="57" spans="1:3" ht="15" customHeight="1" thickBot="1">
      <c r="A57" s="242" t="s">
        <v>210</v>
      </c>
      <c r="B57" s="243"/>
      <c r="C57" s="118">
        <v>15</v>
      </c>
    </row>
    <row r="58" spans="1:3" ht="14.25" customHeight="1" thickBot="1">
      <c r="A58" s="242" t="s">
        <v>211</v>
      </c>
      <c r="B58" s="243"/>
      <c r="C58" s="118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115" sqref="G115"/>
    </sheetView>
  </sheetViews>
  <sheetFormatPr defaultColWidth="9.00390625" defaultRowHeight="12.75"/>
  <cols>
    <col min="1" max="1" width="13.875" style="240" customWidth="1"/>
    <col min="2" max="2" width="79.125" style="241" customWidth="1"/>
    <col min="3" max="3" width="25.00390625" style="241" customWidth="1"/>
    <col min="4" max="16384" width="9.375" style="241" customWidth="1"/>
  </cols>
  <sheetData>
    <row r="1" spans="1:3" s="220" customFormat="1" ht="21" customHeight="1" thickBot="1">
      <c r="A1" s="219"/>
      <c r="B1" s="221"/>
      <c r="C1" s="404" t="s">
        <v>572</v>
      </c>
    </row>
    <row r="2" spans="1:3" s="405" customFormat="1" ht="32.25" customHeight="1">
      <c r="A2" s="356" t="s">
        <v>208</v>
      </c>
      <c r="B2" s="306" t="s">
        <v>507</v>
      </c>
      <c r="C2" s="321" t="s">
        <v>65</v>
      </c>
    </row>
    <row r="3" spans="1:3" s="405" customFormat="1" ht="24.75" thickBot="1">
      <c r="A3" s="397" t="s">
        <v>207</v>
      </c>
      <c r="B3" s="307" t="s">
        <v>488</v>
      </c>
      <c r="C3" s="322" t="s">
        <v>66</v>
      </c>
    </row>
    <row r="4" spans="1:3" s="406" customFormat="1" ht="15.75" customHeight="1" thickBot="1">
      <c r="A4" s="223"/>
      <c r="B4" s="223"/>
      <c r="C4" s="224" t="s">
        <v>535</v>
      </c>
    </row>
    <row r="5" spans="1:3" ht="13.5" thickBot="1">
      <c r="A5" s="357" t="s">
        <v>209</v>
      </c>
      <c r="B5" s="225" t="s">
        <v>57</v>
      </c>
      <c r="C5" s="226" t="s">
        <v>58</v>
      </c>
    </row>
    <row r="6" spans="1:3" s="407" customFormat="1" ht="12.75" customHeight="1" thickBot="1">
      <c r="A6" s="198">
        <v>1</v>
      </c>
      <c r="B6" s="199">
        <v>2</v>
      </c>
      <c r="C6" s="200">
        <v>3</v>
      </c>
    </row>
    <row r="7" spans="1:3" s="407" customFormat="1" ht="15.75" customHeight="1" thickBot="1">
      <c r="A7" s="227"/>
      <c r="B7" s="228" t="s">
        <v>59</v>
      </c>
      <c r="C7" s="229"/>
    </row>
    <row r="8" spans="1:3" s="323" customFormat="1" ht="12" customHeight="1" thickBot="1">
      <c r="A8" s="198" t="s">
        <v>20</v>
      </c>
      <c r="B8" s="230" t="s">
        <v>465</v>
      </c>
      <c r="C8" s="299">
        <f>SUM(C9:C18)</f>
        <v>0</v>
      </c>
    </row>
    <row r="9" spans="1:3" s="323" customFormat="1" ht="12" customHeight="1">
      <c r="A9" s="398" t="s">
        <v>107</v>
      </c>
      <c r="B9" s="10" t="s">
        <v>294</v>
      </c>
      <c r="C9" s="312"/>
    </row>
    <row r="10" spans="1:3" s="323" customFormat="1" ht="12" customHeight="1">
      <c r="A10" s="399" t="s">
        <v>108</v>
      </c>
      <c r="B10" s="8" t="s">
        <v>295</v>
      </c>
      <c r="C10" s="297"/>
    </row>
    <row r="11" spans="1:3" s="323" customFormat="1" ht="12" customHeight="1">
      <c r="A11" s="399" t="s">
        <v>109</v>
      </c>
      <c r="B11" s="8" t="s">
        <v>296</v>
      </c>
      <c r="C11" s="297"/>
    </row>
    <row r="12" spans="1:3" s="323" customFormat="1" ht="12" customHeight="1">
      <c r="A12" s="399" t="s">
        <v>110</v>
      </c>
      <c r="B12" s="8" t="s">
        <v>297</v>
      </c>
      <c r="C12" s="297"/>
    </row>
    <row r="13" spans="1:3" s="323" customFormat="1" ht="12" customHeight="1">
      <c r="A13" s="399" t="s">
        <v>152</v>
      </c>
      <c r="B13" s="8" t="s">
        <v>298</v>
      </c>
      <c r="C13" s="297"/>
    </row>
    <row r="14" spans="1:3" s="323" customFormat="1" ht="12" customHeight="1">
      <c r="A14" s="399" t="s">
        <v>111</v>
      </c>
      <c r="B14" s="8" t="s">
        <v>466</v>
      </c>
      <c r="C14" s="297"/>
    </row>
    <row r="15" spans="1:3" s="323" customFormat="1" ht="12" customHeight="1">
      <c r="A15" s="399" t="s">
        <v>112</v>
      </c>
      <c r="B15" s="7" t="s">
        <v>467</v>
      </c>
      <c r="C15" s="297"/>
    </row>
    <row r="16" spans="1:3" s="323" customFormat="1" ht="12" customHeight="1">
      <c r="A16" s="399" t="s">
        <v>122</v>
      </c>
      <c r="B16" s="8" t="s">
        <v>301</v>
      </c>
      <c r="C16" s="313"/>
    </row>
    <row r="17" spans="1:3" s="408" customFormat="1" ht="12" customHeight="1">
      <c r="A17" s="399" t="s">
        <v>123</v>
      </c>
      <c r="B17" s="8" t="s">
        <v>302</v>
      </c>
      <c r="C17" s="297"/>
    </row>
    <row r="18" spans="1:3" s="408" customFormat="1" ht="12" customHeight="1" thickBot="1">
      <c r="A18" s="399" t="s">
        <v>124</v>
      </c>
      <c r="B18" s="7" t="s">
        <v>303</v>
      </c>
      <c r="C18" s="298"/>
    </row>
    <row r="19" spans="1:3" s="323" customFormat="1" ht="12" customHeight="1" thickBot="1">
      <c r="A19" s="198" t="s">
        <v>21</v>
      </c>
      <c r="B19" s="230" t="s">
        <v>468</v>
      </c>
      <c r="C19" s="299">
        <f>SUM(C20:C22)</f>
        <v>0</v>
      </c>
    </row>
    <row r="20" spans="1:3" s="408" customFormat="1" ht="12" customHeight="1">
      <c r="A20" s="399" t="s">
        <v>113</v>
      </c>
      <c r="B20" s="9" t="s">
        <v>269</v>
      </c>
      <c r="C20" s="297"/>
    </row>
    <row r="21" spans="1:3" s="408" customFormat="1" ht="12" customHeight="1">
      <c r="A21" s="399" t="s">
        <v>114</v>
      </c>
      <c r="B21" s="8" t="s">
        <v>469</v>
      </c>
      <c r="C21" s="297"/>
    </row>
    <row r="22" spans="1:3" s="408" customFormat="1" ht="12" customHeight="1">
      <c r="A22" s="399" t="s">
        <v>115</v>
      </c>
      <c r="B22" s="8" t="s">
        <v>470</v>
      </c>
      <c r="C22" s="297"/>
    </row>
    <row r="23" spans="1:3" s="408" customFormat="1" ht="12" customHeight="1" thickBot="1">
      <c r="A23" s="399" t="s">
        <v>116</v>
      </c>
      <c r="B23" s="8" t="s">
        <v>2</v>
      </c>
      <c r="C23" s="297"/>
    </row>
    <row r="24" spans="1:3" s="408" customFormat="1" ht="12" customHeight="1" thickBot="1">
      <c r="A24" s="203" t="s">
        <v>22</v>
      </c>
      <c r="B24" s="119" t="s">
        <v>178</v>
      </c>
      <c r="C24" s="301"/>
    </row>
    <row r="25" spans="1:3" s="408" customFormat="1" ht="12" customHeight="1" thickBot="1">
      <c r="A25" s="203" t="s">
        <v>23</v>
      </c>
      <c r="B25" s="119" t="s">
        <v>471</v>
      </c>
      <c r="C25" s="299">
        <f>+C26+C27</f>
        <v>0</v>
      </c>
    </row>
    <row r="26" spans="1:3" s="408" customFormat="1" ht="12" customHeight="1">
      <c r="A26" s="400" t="s">
        <v>279</v>
      </c>
      <c r="B26" s="401" t="s">
        <v>469</v>
      </c>
      <c r="C26" s="83"/>
    </row>
    <row r="27" spans="1:3" s="408" customFormat="1" ht="12" customHeight="1">
      <c r="A27" s="400" t="s">
        <v>282</v>
      </c>
      <c r="B27" s="402" t="s">
        <v>472</v>
      </c>
      <c r="C27" s="300"/>
    </row>
    <row r="28" spans="1:3" s="408" customFormat="1" ht="12" customHeight="1" thickBot="1">
      <c r="A28" s="399" t="s">
        <v>283</v>
      </c>
      <c r="B28" s="403" t="s">
        <v>473</v>
      </c>
      <c r="C28" s="85"/>
    </row>
    <row r="29" spans="1:3" s="408" customFormat="1" ht="12" customHeight="1" thickBot="1">
      <c r="A29" s="203" t="s">
        <v>24</v>
      </c>
      <c r="B29" s="119" t="s">
        <v>474</v>
      </c>
      <c r="C29" s="299">
        <f>+C30+C31+C32</f>
        <v>0</v>
      </c>
    </row>
    <row r="30" spans="1:3" s="408" customFormat="1" ht="12" customHeight="1">
      <c r="A30" s="400" t="s">
        <v>100</v>
      </c>
      <c r="B30" s="401" t="s">
        <v>308</v>
      </c>
      <c r="C30" s="83"/>
    </row>
    <row r="31" spans="1:3" s="408" customFormat="1" ht="12" customHeight="1">
      <c r="A31" s="400" t="s">
        <v>101</v>
      </c>
      <c r="B31" s="402" t="s">
        <v>309</v>
      </c>
      <c r="C31" s="300"/>
    </row>
    <row r="32" spans="1:3" s="408" customFormat="1" ht="12" customHeight="1" thickBot="1">
      <c r="A32" s="399" t="s">
        <v>102</v>
      </c>
      <c r="B32" s="132" t="s">
        <v>310</v>
      </c>
      <c r="C32" s="85"/>
    </row>
    <row r="33" spans="1:3" s="323" customFormat="1" ht="12" customHeight="1" thickBot="1">
      <c r="A33" s="203" t="s">
        <v>25</v>
      </c>
      <c r="B33" s="119" t="s">
        <v>423</v>
      </c>
      <c r="C33" s="301"/>
    </row>
    <row r="34" spans="1:3" s="323" customFormat="1" ht="12" customHeight="1" thickBot="1">
      <c r="A34" s="203" t="s">
        <v>26</v>
      </c>
      <c r="B34" s="119" t="s">
        <v>475</v>
      </c>
      <c r="C34" s="314"/>
    </row>
    <row r="35" spans="1:3" s="323" customFormat="1" ht="12" customHeight="1" thickBot="1">
      <c r="A35" s="198" t="s">
        <v>27</v>
      </c>
      <c r="B35" s="119" t="s">
        <v>476</v>
      </c>
      <c r="C35" s="315">
        <f>+C8+C19+C24+C25+C29+C33+C34</f>
        <v>0</v>
      </c>
    </row>
    <row r="36" spans="1:3" s="323" customFormat="1" ht="12" customHeight="1" thickBot="1">
      <c r="A36" s="231" t="s">
        <v>28</v>
      </c>
      <c r="B36" s="119" t="s">
        <v>477</v>
      </c>
      <c r="C36" s="315">
        <f>+C37+C38+C39</f>
        <v>0</v>
      </c>
    </row>
    <row r="37" spans="1:3" s="323" customFormat="1" ht="12" customHeight="1">
      <c r="A37" s="400" t="s">
        <v>478</v>
      </c>
      <c r="B37" s="401" t="s">
        <v>243</v>
      </c>
      <c r="C37" s="83"/>
    </row>
    <row r="38" spans="1:3" s="323" customFormat="1" ht="12" customHeight="1">
      <c r="A38" s="400" t="s">
        <v>479</v>
      </c>
      <c r="B38" s="402" t="s">
        <v>3</v>
      </c>
      <c r="C38" s="300"/>
    </row>
    <row r="39" spans="1:3" s="408" customFormat="1" ht="12" customHeight="1" thickBot="1">
      <c r="A39" s="399" t="s">
        <v>480</v>
      </c>
      <c r="B39" s="132" t="s">
        <v>481</v>
      </c>
      <c r="C39" s="85"/>
    </row>
    <row r="40" spans="1:3" s="408" customFormat="1" ht="15" customHeight="1" thickBot="1">
      <c r="A40" s="231" t="s">
        <v>29</v>
      </c>
      <c r="B40" s="232" t="s">
        <v>482</v>
      </c>
      <c r="C40" s="318">
        <f>+C35+C36</f>
        <v>0</v>
      </c>
    </row>
    <row r="41" spans="1:3" s="408" customFormat="1" ht="15" customHeight="1">
      <c r="A41" s="233"/>
      <c r="B41" s="234"/>
      <c r="C41" s="316"/>
    </row>
    <row r="42" spans="1:3" ht="13.5" thickBot="1">
      <c r="A42" s="235"/>
      <c r="B42" s="236"/>
      <c r="C42" s="317"/>
    </row>
    <row r="43" spans="1:3" s="407" customFormat="1" ht="16.5" customHeight="1" thickBot="1">
      <c r="A43" s="237"/>
      <c r="B43" s="238" t="s">
        <v>61</v>
      </c>
      <c r="C43" s="318"/>
    </row>
    <row r="44" spans="1:3" s="409" customFormat="1" ht="12" customHeight="1" thickBot="1">
      <c r="A44" s="203" t="s">
        <v>20</v>
      </c>
      <c r="B44" s="119" t="s">
        <v>483</v>
      </c>
      <c r="C44" s="299">
        <f>SUM(C45:C49)</f>
        <v>0</v>
      </c>
    </row>
    <row r="45" spans="1:3" ht="12" customHeight="1">
      <c r="A45" s="399" t="s">
        <v>107</v>
      </c>
      <c r="B45" s="9" t="s">
        <v>50</v>
      </c>
      <c r="C45" s="83"/>
    </row>
    <row r="46" spans="1:3" ht="12" customHeight="1">
      <c r="A46" s="399" t="s">
        <v>108</v>
      </c>
      <c r="B46" s="8" t="s">
        <v>187</v>
      </c>
      <c r="C46" s="84"/>
    </row>
    <row r="47" spans="1:3" ht="12" customHeight="1">
      <c r="A47" s="399" t="s">
        <v>109</v>
      </c>
      <c r="B47" s="8" t="s">
        <v>143</v>
      </c>
      <c r="C47" s="84"/>
    </row>
    <row r="48" spans="1:3" ht="12" customHeight="1">
      <c r="A48" s="399" t="s">
        <v>110</v>
      </c>
      <c r="B48" s="8" t="s">
        <v>188</v>
      </c>
      <c r="C48" s="84"/>
    </row>
    <row r="49" spans="1:3" ht="12" customHeight="1" thickBot="1">
      <c r="A49" s="399" t="s">
        <v>152</v>
      </c>
      <c r="B49" s="8" t="s">
        <v>189</v>
      </c>
      <c r="C49" s="84"/>
    </row>
    <row r="50" spans="1:3" ht="12" customHeight="1" thickBot="1">
      <c r="A50" s="203" t="s">
        <v>21</v>
      </c>
      <c r="B50" s="119" t="s">
        <v>484</v>
      </c>
      <c r="C50" s="299">
        <f>SUM(C51:C53)</f>
        <v>0</v>
      </c>
    </row>
    <row r="51" spans="1:3" s="409" customFormat="1" ht="12" customHeight="1">
      <c r="A51" s="399" t="s">
        <v>113</v>
      </c>
      <c r="B51" s="9" t="s">
        <v>234</v>
      </c>
      <c r="C51" s="83"/>
    </row>
    <row r="52" spans="1:3" ht="12" customHeight="1">
      <c r="A52" s="399" t="s">
        <v>114</v>
      </c>
      <c r="B52" s="8" t="s">
        <v>191</v>
      </c>
      <c r="C52" s="84"/>
    </row>
    <row r="53" spans="1:3" ht="12" customHeight="1">
      <c r="A53" s="399" t="s">
        <v>115</v>
      </c>
      <c r="B53" s="8" t="s">
        <v>62</v>
      </c>
      <c r="C53" s="84"/>
    </row>
    <row r="54" spans="1:3" ht="12" customHeight="1" thickBot="1">
      <c r="A54" s="399" t="s">
        <v>116</v>
      </c>
      <c r="B54" s="8" t="s">
        <v>4</v>
      </c>
      <c r="C54" s="84"/>
    </row>
    <row r="55" spans="1:3" ht="15" customHeight="1" thickBot="1">
      <c r="A55" s="203" t="s">
        <v>22</v>
      </c>
      <c r="B55" s="239" t="s">
        <v>485</v>
      </c>
      <c r="C55" s="319">
        <f>+C44+C50</f>
        <v>0</v>
      </c>
    </row>
    <row r="56" ht="13.5" thickBot="1">
      <c r="C56" s="320"/>
    </row>
    <row r="57" spans="1:3" ht="15" customHeight="1" thickBot="1">
      <c r="A57" s="242" t="s">
        <v>210</v>
      </c>
      <c r="B57" s="243"/>
      <c r="C57" s="118"/>
    </row>
    <row r="58" spans="1:3" ht="14.25" customHeight="1" thickBot="1">
      <c r="A58" s="242" t="s">
        <v>211</v>
      </c>
      <c r="B58" s="243"/>
      <c r="C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115" sqref="G115"/>
    </sheetView>
  </sheetViews>
  <sheetFormatPr defaultColWidth="9.00390625" defaultRowHeight="12.75"/>
  <cols>
    <col min="1" max="1" width="13.875" style="240" customWidth="1"/>
    <col min="2" max="2" width="79.125" style="241" customWidth="1"/>
    <col min="3" max="3" width="25.00390625" style="241" customWidth="1"/>
    <col min="4" max="16384" width="9.375" style="241" customWidth="1"/>
  </cols>
  <sheetData>
    <row r="1" spans="1:3" s="220" customFormat="1" ht="21" customHeight="1" thickBot="1">
      <c r="A1" s="219"/>
      <c r="B1" s="221"/>
      <c r="C1" s="404" t="s">
        <v>573</v>
      </c>
    </row>
    <row r="2" spans="1:3" s="405" customFormat="1" ht="32.25" customHeight="1">
      <c r="A2" s="356" t="s">
        <v>208</v>
      </c>
      <c r="B2" s="306" t="s">
        <v>507</v>
      </c>
      <c r="C2" s="321" t="s">
        <v>65</v>
      </c>
    </row>
    <row r="3" spans="1:3" s="405" customFormat="1" ht="24.75" thickBot="1">
      <c r="A3" s="397" t="s">
        <v>207</v>
      </c>
      <c r="B3" s="307" t="s">
        <v>489</v>
      </c>
      <c r="C3" s="322" t="s">
        <v>502</v>
      </c>
    </row>
    <row r="4" spans="1:3" s="406" customFormat="1" ht="15.75" customHeight="1" thickBot="1">
      <c r="A4" s="223"/>
      <c r="B4" s="223"/>
      <c r="C4" s="224" t="s">
        <v>535</v>
      </c>
    </row>
    <row r="5" spans="1:3" ht="13.5" thickBot="1">
      <c r="A5" s="357" t="s">
        <v>209</v>
      </c>
      <c r="B5" s="225" t="s">
        <v>57</v>
      </c>
      <c r="C5" s="226" t="s">
        <v>58</v>
      </c>
    </row>
    <row r="6" spans="1:3" s="407" customFormat="1" ht="12.75" customHeight="1" thickBot="1">
      <c r="A6" s="198">
        <v>1</v>
      </c>
      <c r="B6" s="199">
        <v>2</v>
      </c>
      <c r="C6" s="200">
        <v>3</v>
      </c>
    </row>
    <row r="7" spans="1:3" s="407" customFormat="1" ht="15.75" customHeight="1" thickBot="1">
      <c r="A7" s="227"/>
      <c r="B7" s="228" t="s">
        <v>59</v>
      </c>
      <c r="C7" s="229"/>
    </row>
    <row r="8" spans="1:3" s="323" customFormat="1" ht="12" customHeight="1" thickBot="1">
      <c r="A8" s="198" t="s">
        <v>20</v>
      </c>
      <c r="B8" s="230" t="s">
        <v>465</v>
      </c>
      <c r="C8" s="299">
        <f>SUM(C9:C18)</f>
        <v>0</v>
      </c>
    </row>
    <row r="9" spans="1:3" s="323" customFormat="1" ht="12" customHeight="1">
      <c r="A9" s="398" t="s">
        <v>107</v>
      </c>
      <c r="B9" s="10" t="s">
        <v>294</v>
      </c>
      <c r="C9" s="312"/>
    </row>
    <row r="10" spans="1:3" s="323" customFormat="1" ht="12" customHeight="1">
      <c r="A10" s="399" t="s">
        <v>108</v>
      </c>
      <c r="B10" s="8" t="s">
        <v>295</v>
      </c>
      <c r="C10" s="297"/>
    </row>
    <row r="11" spans="1:3" s="323" customFormat="1" ht="12" customHeight="1">
      <c r="A11" s="399" t="s">
        <v>109</v>
      </c>
      <c r="B11" s="8" t="s">
        <v>296</v>
      </c>
      <c r="C11" s="297"/>
    </row>
    <row r="12" spans="1:3" s="323" customFormat="1" ht="12" customHeight="1">
      <c r="A12" s="399" t="s">
        <v>110</v>
      </c>
      <c r="B12" s="8" t="s">
        <v>297</v>
      </c>
      <c r="C12" s="297"/>
    </row>
    <row r="13" spans="1:3" s="323" customFormat="1" ht="12" customHeight="1">
      <c r="A13" s="399" t="s">
        <v>152</v>
      </c>
      <c r="B13" s="8" t="s">
        <v>298</v>
      </c>
      <c r="C13" s="297"/>
    </row>
    <row r="14" spans="1:3" s="323" customFormat="1" ht="12" customHeight="1">
      <c r="A14" s="399" t="s">
        <v>111</v>
      </c>
      <c r="B14" s="8" t="s">
        <v>466</v>
      </c>
      <c r="C14" s="297"/>
    </row>
    <row r="15" spans="1:3" s="323" customFormat="1" ht="12" customHeight="1">
      <c r="A15" s="399" t="s">
        <v>112</v>
      </c>
      <c r="B15" s="7" t="s">
        <v>467</v>
      </c>
      <c r="C15" s="297"/>
    </row>
    <row r="16" spans="1:3" s="323" customFormat="1" ht="12" customHeight="1">
      <c r="A16" s="399" t="s">
        <v>122</v>
      </c>
      <c r="B16" s="8" t="s">
        <v>301</v>
      </c>
      <c r="C16" s="313"/>
    </row>
    <row r="17" spans="1:3" s="408" customFormat="1" ht="12" customHeight="1">
      <c r="A17" s="399" t="s">
        <v>123</v>
      </c>
      <c r="B17" s="8" t="s">
        <v>302</v>
      </c>
      <c r="C17" s="297"/>
    </row>
    <row r="18" spans="1:3" s="408" customFormat="1" ht="12" customHeight="1" thickBot="1">
      <c r="A18" s="399" t="s">
        <v>124</v>
      </c>
      <c r="B18" s="7" t="s">
        <v>303</v>
      </c>
      <c r="C18" s="298"/>
    </row>
    <row r="19" spans="1:3" s="323" customFormat="1" ht="12" customHeight="1" thickBot="1">
      <c r="A19" s="198" t="s">
        <v>21</v>
      </c>
      <c r="B19" s="230" t="s">
        <v>468</v>
      </c>
      <c r="C19" s="299">
        <f>SUM(C20:C22)</f>
        <v>0</v>
      </c>
    </row>
    <row r="20" spans="1:3" s="408" customFormat="1" ht="12" customHeight="1">
      <c r="A20" s="399" t="s">
        <v>113</v>
      </c>
      <c r="B20" s="9" t="s">
        <v>269</v>
      </c>
      <c r="C20" s="297"/>
    </row>
    <row r="21" spans="1:3" s="408" customFormat="1" ht="12" customHeight="1">
      <c r="A21" s="399" t="s">
        <v>114</v>
      </c>
      <c r="B21" s="8" t="s">
        <v>469</v>
      </c>
      <c r="C21" s="297"/>
    </row>
    <row r="22" spans="1:3" s="408" customFormat="1" ht="12" customHeight="1">
      <c r="A22" s="399" t="s">
        <v>115</v>
      </c>
      <c r="B22" s="8" t="s">
        <v>470</v>
      </c>
      <c r="C22" s="297"/>
    </row>
    <row r="23" spans="1:3" s="408" customFormat="1" ht="12" customHeight="1" thickBot="1">
      <c r="A23" s="399" t="s">
        <v>116</v>
      </c>
      <c r="B23" s="8" t="s">
        <v>2</v>
      </c>
      <c r="C23" s="297"/>
    </row>
    <row r="24" spans="1:3" s="408" customFormat="1" ht="12" customHeight="1" thickBot="1">
      <c r="A24" s="203" t="s">
        <v>22</v>
      </c>
      <c r="B24" s="119" t="s">
        <v>178</v>
      </c>
      <c r="C24" s="301"/>
    </row>
    <row r="25" spans="1:3" s="408" customFormat="1" ht="12" customHeight="1" thickBot="1">
      <c r="A25" s="203" t="s">
        <v>23</v>
      </c>
      <c r="B25" s="119" t="s">
        <v>471</v>
      </c>
      <c r="C25" s="299">
        <f>+C26+C27</f>
        <v>0</v>
      </c>
    </row>
    <row r="26" spans="1:3" s="408" customFormat="1" ht="12" customHeight="1">
      <c r="A26" s="400" t="s">
        <v>279</v>
      </c>
      <c r="B26" s="401" t="s">
        <v>469</v>
      </c>
      <c r="C26" s="83"/>
    </row>
    <row r="27" spans="1:3" s="408" customFormat="1" ht="12" customHeight="1">
      <c r="A27" s="400" t="s">
        <v>282</v>
      </c>
      <c r="B27" s="402" t="s">
        <v>472</v>
      </c>
      <c r="C27" s="300"/>
    </row>
    <row r="28" spans="1:3" s="408" customFormat="1" ht="12" customHeight="1" thickBot="1">
      <c r="A28" s="399" t="s">
        <v>283</v>
      </c>
      <c r="B28" s="403" t="s">
        <v>473</v>
      </c>
      <c r="C28" s="85"/>
    </row>
    <row r="29" spans="1:3" s="408" customFormat="1" ht="12" customHeight="1" thickBot="1">
      <c r="A29" s="203" t="s">
        <v>24</v>
      </c>
      <c r="B29" s="119" t="s">
        <v>474</v>
      </c>
      <c r="C29" s="299">
        <f>+C30+C31+C32</f>
        <v>0</v>
      </c>
    </row>
    <row r="30" spans="1:3" s="408" customFormat="1" ht="12" customHeight="1">
      <c r="A30" s="400" t="s">
        <v>100</v>
      </c>
      <c r="B30" s="401" t="s">
        <v>308</v>
      </c>
      <c r="C30" s="83"/>
    </row>
    <row r="31" spans="1:3" s="408" customFormat="1" ht="12" customHeight="1">
      <c r="A31" s="400" t="s">
        <v>101</v>
      </c>
      <c r="B31" s="402" t="s">
        <v>309</v>
      </c>
      <c r="C31" s="300"/>
    </row>
    <row r="32" spans="1:3" s="408" customFormat="1" ht="12" customHeight="1" thickBot="1">
      <c r="A32" s="399" t="s">
        <v>102</v>
      </c>
      <c r="B32" s="132" t="s">
        <v>310</v>
      </c>
      <c r="C32" s="85"/>
    </row>
    <row r="33" spans="1:3" s="323" customFormat="1" ht="12" customHeight="1" thickBot="1">
      <c r="A33" s="203" t="s">
        <v>25</v>
      </c>
      <c r="B33" s="119" t="s">
        <v>423</v>
      </c>
      <c r="C33" s="301"/>
    </row>
    <row r="34" spans="1:3" s="323" customFormat="1" ht="12" customHeight="1" thickBot="1">
      <c r="A34" s="203" t="s">
        <v>26</v>
      </c>
      <c r="B34" s="119" t="s">
        <v>475</v>
      </c>
      <c r="C34" s="314"/>
    </row>
    <row r="35" spans="1:3" s="323" customFormat="1" ht="12" customHeight="1" thickBot="1">
      <c r="A35" s="198" t="s">
        <v>27</v>
      </c>
      <c r="B35" s="119" t="s">
        <v>476</v>
      </c>
      <c r="C35" s="315">
        <f>+C8+C19+C24+C25+C29+C33+C34</f>
        <v>0</v>
      </c>
    </row>
    <row r="36" spans="1:3" s="323" customFormat="1" ht="12" customHeight="1" thickBot="1">
      <c r="A36" s="231" t="s">
        <v>28</v>
      </c>
      <c r="B36" s="119" t="s">
        <v>477</v>
      </c>
      <c r="C36" s="315">
        <f>+C37+C38+C39</f>
        <v>0</v>
      </c>
    </row>
    <row r="37" spans="1:3" s="323" customFormat="1" ht="12" customHeight="1">
      <c r="A37" s="400" t="s">
        <v>478</v>
      </c>
      <c r="B37" s="401" t="s">
        <v>243</v>
      </c>
      <c r="C37" s="83"/>
    </row>
    <row r="38" spans="1:3" s="323" customFormat="1" ht="12" customHeight="1">
      <c r="A38" s="400" t="s">
        <v>479</v>
      </c>
      <c r="B38" s="402" t="s">
        <v>3</v>
      </c>
      <c r="C38" s="300"/>
    </row>
    <row r="39" spans="1:3" s="408" customFormat="1" ht="12" customHeight="1" thickBot="1">
      <c r="A39" s="399" t="s">
        <v>480</v>
      </c>
      <c r="B39" s="132" t="s">
        <v>481</v>
      </c>
      <c r="C39" s="85"/>
    </row>
    <row r="40" spans="1:3" s="408" customFormat="1" ht="15" customHeight="1" thickBot="1">
      <c r="A40" s="231" t="s">
        <v>29</v>
      </c>
      <c r="B40" s="232" t="s">
        <v>482</v>
      </c>
      <c r="C40" s="318">
        <f>+C35+C36</f>
        <v>0</v>
      </c>
    </row>
    <row r="41" spans="1:3" s="408" customFormat="1" ht="15" customHeight="1">
      <c r="A41" s="233"/>
      <c r="B41" s="234"/>
      <c r="C41" s="316"/>
    </row>
    <row r="42" spans="1:3" ht="13.5" thickBot="1">
      <c r="A42" s="235"/>
      <c r="B42" s="236"/>
      <c r="C42" s="317"/>
    </row>
    <row r="43" spans="1:3" s="407" customFormat="1" ht="16.5" customHeight="1" thickBot="1">
      <c r="A43" s="237"/>
      <c r="B43" s="238" t="s">
        <v>61</v>
      </c>
      <c r="C43" s="318"/>
    </row>
    <row r="44" spans="1:3" s="409" customFormat="1" ht="12" customHeight="1" thickBot="1">
      <c r="A44" s="203" t="s">
        <v>20</v>
      </c>
      <c r="B44" s="119" t="s">
        <v>483</v>
      </c>
      <c r="C44" s="299">
        <f>SUM(C45:C49)</f>
        <v>0</v>
      </c>
    </row>
    <row r="45" spans="1:3" ht="12" customHeight="1">
      <c r="A45" s="399" t="s">
        <v>107</v>
      </c>
      <c r="B45" s="9" t="s">
        <v>50</v>
      </c>
      <c r="C45" s="83"/>
    </row>
    <row r="46" spans="1:3" ht="12" customHeight="1">
      <c r="A46" s="399" t="s">
        <v>108</v>
      </c>
      <c r="B46" s="8" t="s">
        <v>187</v>
      </c>
      <c r="C46" s="84"/>
    </row>
    <row r="47" spans="1:3" ht="12" customHeight="1">
      <c r="A47" s="399" t="s">
        <v>109</v>
      </c>
      <c r="B47" s="8" t="s">
        <v>143</v>
      </c>
      <c r="C47" s="84"/>
    </row>
    <row r="48" spans="1:3" ht="12" customHeight="1">
      <c r="A48" s="399" t="s">
        <v>110</v>
      </c>
      <c r="B48" s="8" t="s">
        <v>188</v>
      </c>
      <c r="C48" s="84"/>
    </row>
    <row r="49" spans="1:3" ht="12" customHeight="1" thickBot="1">
      <c r="A49" s="399" t="s">
        <v>152</v>
      </c>
      <c r="B49" s="8" t="s">
        <v>189</v>
      </c>
      <c r="C49" s="84"/>
    </row>
    <row r="50" spans="1:3" ht="12" customHeight="1" thickBot="1">
      <c r="A50" s="203" t="s">
        <v>21</v>
      </c>
      <c r="B50" s="119" t="s">
        <v>484</v>
      </c>
      <c r="C50" s="299">
        <f>SUM(C51:C53)</f>
        <v>0</v>
      </c>
    </row>
    <row r="51" spans="1:3" s="409" customFormat="1" ht="12" customHeight="1">
      <c r="A51" s="399" t="s">
        <v>113</v>
      </c>
      <c r="B51" s="9" t="s">
        <v>234</v>
      </c>
      <c r="C51" s="83"/>
    </row>
    <row r="52" spans="1:3" ht="12" customHeight="1">
      <c r="A52" s="399" t="s">
        <v>114</v>
      </c>
      <c r="B52" s="8" t="s">
        <v>191</v>
      </c>
      <c r="C52" s="84"/>
    </row>
    <row r="53" spans="1:3" ht="12" customHeight="1">
      <c r="A53" s="399" t="s">
        <v>115</v>
      </c>
      <c r="B53" s="8" t="s">
        <v>62</v>
      </c>
      <c r="C53" s="84"/>
    </row>
    <row r="54" spans="1:3" ht="12" customHeight="1" thickBot="1">
      <c r="A54" s="399" t="s">
        <v>116</v>
      </c>
      <c r="B54" s="8" t="s">
        <v>4</v>
      </c>
      <c r="C54" s="84"/>
    </row>
    <row r="55" spans="1:3" ht="15" customHeight="1" thickBot="1">
      <c r="A55" s="203" t="s">
        <v>22</v>
      </c>
      <c r="B55" s="239" t="s">
        <v>485</v>
      </c>
      <c r="C55" s="319">
        <f>+C44+C50</f>
        <v>0</v>
      </c>
    </row>
    <row r="56" ht="13.5" thickBot="1">
      <c r="C56" s="320"/>
    </row>
    <row r="57" spans="1:3" ht="15" customHeight="1" thickBot="1">
      <c r="A57" s="242" t="s">
        <v>210</v>
      </c>
      <c r="B57" s="243"/>
      <c r="C57" s="118"/>
    </row>
    <row r="58" spans="1:3" ht="14.25" customHeight="1" thickBot="1">
      <c r="A58" s="242" t="s">
        <v>211</v>
      </c>
      <c r="B58" s="243"/>
      <c r="C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M59"/>
  <sheetViews>
    <sheetView view="pageBreakPreview" zoomScale="60" workbookViewId="0" topLeftCell="A1">
      <selection activeCell="AC52" sqref="AC52"/>
    </sheetView>
  </sheetViews>
  <sheetFormatPr defaultColWidth="9.00390625" defaultRowHeight="12.75"/>
  <cols>
    <col min="1" max="1" width="15.375" style="680" customWidth="1"/>
    <col min="2" max="2" width="69.125" style="478" customWidth="1"/>
    <col min="3" max="3" width="15.375" style="478" customWidth="1"/>
    <col min="4" max="4" width="15.125" style="478" hidden="1" customWidth="1"/>
    <col min="5" max="5" width="14.875" style="478" hidden="1" customWidth="1"/>
    <col min="6" max="6" width="15.125" style="478" hidden="1" customWidth="1"/>
    <col min="7" max="7" width="14.875" style="478" hidden="1" customWidth="1"/>
    <col min="8" max="8" width="15.125" style="478" hidden="1" customWidth="1"/>
    <col min="9" max="9" width="14.875" style="478" hidden="1" customWidth="1"/>
    <col min="10" max="10" width="15.125" style="478" hidden="1" customWidth="1"/>
    <col min="11" max="11" width="14.875" style="478" customWidth="1"/>
    <col min="12" max="12" width="15.125" style="478" customWidth="1"/>
    <col min="13" max="13" width="14.875" style="478" customWidth="1"/>
    <col min="14" max="16384" width="9.375" style="478" customWidth="1"/>
  </cols>
  <sheetData>
    <row r="1" spans="5:13" ht="12.75">
      <c r="E1" s="681"/>
      <c r="G1" s="681"/>
      <c r="I1" s="681"/>
      <c r="K1" s="681"/>
      <c r="M1" s="681" t="s">
        <v>613</v>
      </c>
    </row>
    <row r="2" spans="1:13" s="481" customFormat="1" ht="21" customHeight="1" thickBot="1">
      <c r="A2" s="479"/>
      <c r="B2" s="480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 t="s">
        <v>574</v>
      </c>
    </row>
    <row r="3" spans="1:13" s="563" customFormat="1" ht="33" customHeight="1">
      <c r="A3" s="561" t="s">
        <v>208</v>
      </c>
      <c r="B3" s="779" t="s">
        <v>508</v>
      </c>
      <c r="C3" s="780"/>
      <c r="D3" s="780"/>
      <c r="E3" s="780"/>
      <c r="F3" s="780"/>
      <c r="G3" s="780"/>
      <c r="H3" s="780"/>
      <c r="I3" s="780"/>
      <c r="J3" s="780"/>
      <c r="K3" s="780"/>
      <c r="L3" s="781"/>
      <c r="M3" s="682" t="s">
        <v>66</v>
      </c>
    </row>
    <row r="4" spans="1:13" s="563" customFormat="1" ht="24.75" thickBot="1">
      <c r="A4" s="683" t="s">
        <v>207</v>
      </c>
      <c r="B4" s="782" t="s">
        <v>464</v>
      </c>
      <c r="C4" s="783"/>
      <c r="D4" s="783"/>
      <c r="E4" s="783"/>
      <c r="F4" s="783"/>
      <c r="G4" s="783"/>
      <c r="H4" s="783"/>
      <c r="I4" s="783"/>
      <c r="J4" s="783"/>
      <c r="K4" s="783"/>
      <c r="L4" s="784"/>
      <c r="M4" s="684" t="s">
        <v>55</v>
      </c>
    </row>
    <row r="5" spans="1:13" s="568" customFormat="1" ht="15.75" customHeight="1" thickBot="1">
      <c r="A5" s="566"/>
      <c r="B5" s="566"/>
      <c r="C5" s="567"/>
      <c r="D5" s="567"/>
      <c r="E5" s="567"/>
      <c r="F5" s="567"/>
      <c r="G5" s="567"/>
      <c r="H5" s="567"/>
      <c r="I5" s="567"/>
      <c r="J5" s="567"/>
      <c r="K5" s="567"/>
      <c r="L5" s="567"/>
      <c r="M5" s="567" t="s">
        <v>535</v>
      </c>
    </row>
    <row r="6" spans="1:13" ht="41.25" customHeight="1" thickBot="1">
      <c r="A6" s="569" t="s">
        <v>209</v>
      </c>
      <c r="B6" s="570" t="s">
        <v>57</v>
      </c>
      <c r="C6" s="571" t="s">
        <v>582</v>
      </c>
      <c r="D6" s="571" t="s">
        <v>594</v>
      </c>
      <c r="E6" s="571" t="s">
        <v>584</v>
      </c>
      <c r="F6" s="571" t="s">
        <v>597</v>
      </c>
      <c r="G6" s="571" t="s">
        <v>584</v>
      </c>
      <c r="H6" s="571" t="s">
        <v>601</v>
      </c>
      <c r="I6" s="571" t="s">
        <v>584</v>
      </c>
      <c r="J6" s="571" t="s">
        <v>604</v>
      </c>
      <c r="K6" s="571" t="s">
        <v>584</v>
      </c>
      <c r="L6" s="571" t="s">
        <v>610</v>
      </c>
      <c r="M6" s="571" t="s">
        <v>584</v>
      </c>
    </row>
    <row r="7" spans="1:13" s="575" customFormat="1" ht="12.75" customHeight="1" thickBot="1">
      <c r="A7" s="572">
        <v>1</v>
      </c>
      <c r="B7" s="573">
        <v>2</v>
      </c>
      <c r="C7" s="574">
        <v>3</v>
      </c>
      <c r="D7" s="574">
        <v>4</v>
      </c>
      <c r="E7" s="574">
        <v>4</v>
      </c>
      <c r="F7" s="574">
        <v>5</v>
      </c>
      <c r="G7" s="574">
        <v>4</v>
      </c>
      <c r="H7" s="574">
        <v>5</v>
      </c>
      <c r="I7" s="574">
        <v>4</v>
      </c>
      <c r="J7" s="574">
        <v>5</v>
      </c>
      <c r="K7" s="574">
        <v>4</v>
      </c>
      <c r="L7" s="574">
        <v>5</v>
      </c>
      <c r="M7" s="574">
        <v>6</v>
      </c>
    </row>
    <row r="8" spans="1:13" s="575" customFormat="1" ht="15.75" customHeight="1" thickBot="1">
      <c r="A8" s="576"/>
      <c r="B8" s="577" t="s">
        <v>59</v>
      </c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5"/>
    </row>
    <row r="9" spans="1:13" s="579" customFormat="1" ht="12" customHeight="1" thickBot="1">
      <c r="A9" s="572" t="s">
        <v>20</v>
      </c>
      <c r="B9" s="686" t="s">
        <v>465</v>
      </c>
      <c r="C9" s="669">
        <f aca="true" t="shared" si="0" ref="C9:I9">SUM(C10:C19)</f>
        <v>0</v>
      </c>
      <c r="D9" s="669">
        <f t="shared" si="0"/>
        <v>0</v>
      </c>
      <c r="E9" s="669">
        <f t="shared" si="0"/>
        <v>0</v>
      </c>
      <c r="F9" s="669">
        <f t="shared" si="0"/>
        <v>0</v>
      </c>
      <c r="G9" s="669">
        <f t="shared" si="0"/>
        <v>0</v>
      </c>
      <c r="H9" s="669">
        <f t="shared" si="0"/>
        <v>0</v>
      </c>
      <c r="I9" s="669">
        <f t="shared" si="0"/>
        <v>0</v>
      </c>
      <c r="J9" s="669">
        <f>SUM(J10:J19)</f>
        <v>0</v>
      </c>
      <c r="K9" s="669">
        <f>SUM(K10:K19)</f>
        <v>0</v>
      </c>
      <c r="L9" s="669">
        <f>SUM(L10:L19)</f>
        <v>0</v>
      </c>
      <c r="M9" s="669">
        <f>SUM(M10:M19)</f>
        <v>0</v>
      </c>
    </row>
    <row r="10" spans="1:13" s="579" customFormat="1" ht="12" customHeight="1">
      <c r="A10" s="687" t="s">
        <v>107</v>
      </c>
      <c r="B10" s="530" t="s">
        <v>294</v>
      </c>
      <c r="C10" s="688"/>
      <c r="D10" s="688"/>
      <c r="E10" s="688"/>
      <c r="F10" s="688"/>
      <c r="G10" s="688"/>
      <c r="H10" s="688"/>
      <c r="I10" s="688"/>
      <c r="J10" s="688"/>
      <c r="K10" s="688"/>
      <c r="L10" s="688"/>
      <c r="M10" s="688"/>
    </row>
    <row r="11" spans="1:13" s="579" customFormat="1" ht="12" customHeight="1">
      <c r="A11" s="689" t="s">
        <v>108</v>
      </c>
      <c r="B11" s="533" t="s">
        <v>295</v>
      </c>
      <c r="C11" s="658"/>
      <c r="D11" s="658"/>
      <c r="E11" s="658"/>
      <c r="F11" s="658"/>
      <c r="G11" s="658"/>
      <c r="H11" s="658"/>
      <c r="I11" s="658"/>
      <c r="J11" s="658"/>
      <c r="K11" s="658"/>
      <c r="L11" s="658"/>
      <c r="M11" s="658"/>
    </row>
    <row r="12" spans="1:13" s="579" customFormat="1" ht="12" customHeight="1">
      <c r="A12" s="689" t="s">
        <v>109</v>
      </c>
      <c r="B12" s="533" t="s">
        <v>296</v>
      </c>
      <c r="C12" s="658"/>
      <c r="D12" s="658"/>
      <c r="E12" s="658"/>
      <c r="F12" s="658"/>
      <c r="G12" s="658"/>
      <c r="H12" s="658"/>
      <c r="I12" s="658"/>
      <c r="J12" s="658"/>
      <c r="K12" s="658"/>
      <c r="L12" s="658"/>
      <c r="M12" s="658"/>
    </row>
    <row r="13" spans="1:13" s="579" customFormat="1" ht="12" customHeight="1">
      <c r="A13" s="689" t="s">
        <v>110</v>
      </c>
      <c r="B13" s="533" t="s">
        <v>297</v>
      </c>
      <c r="C13" s="658"/>
      <c r="D13" s="658"/>
      <c r="E13" s="658"/>
      <c r="F13" s="658"/>
      <c r="G13" s="658"/>
      <c r="H13" s="658"/>
      <c r="I13" s="658"/>
      <c r="J13" s="658"/>
      <c r="K13" s="658"/>
      <c r="L13" s="658"/>
      <c r="M13" s="658"/>
    </row>
    <row r="14" spans="1:13" s="579" customFormat="1" ht="12" customHeight="1">
      <c r="A14" s="689" t="s">
        <v>152</v>
      </c>
      <c r="B14" s="533" t="s">
        <v>298</v>
      </c>
      <c r="C14" s="658"/>
      <c r="D14" s="658"/>
      <c r="E14" s="658"/>
      <c r="F14" s="658"/>
      <c r="G14" s="658"/>
      <c r="H14" s="658"/>
      <c r="I14" s="658"/>
      <c r="J14" s="658"/>
      <c r="K14" s="658"/>
      <c r="L14" s="658"/>
      <c r="M14" s="658"/>
    </row>
    <row r="15" spans="1:13" s="579" customFormat="1" ht="12" customHeight="1">
      <c r="A15" s="689" t="s">
        <v>111</v>
      </c>
      <c r="B15" s="533" t="s">
        <v>466</v>
      </c>
      <c r="C15" s="658"/>
      <c r="D15" s="658"/>
      <c r="E15" s="658"/>
      <c r="F15" s="658"/>
      <c r="G15" s="658"/>
      <c r="H15" s="658"/>
      <c r="I15" s="658"/>
      <c r="J15" s="658"/>
      <c r="K15" s="658"/>
      <c r="L15" s="658"/>
      <c r="M15" s="658"/>
    </row>
    <row r="16" spans="1:13" s="579" customFormat="1" ht="12" customHeight="1">
      <c r="A16" s="689" t="s">
        <v>112</v>
      </c>
      <c r="B16" s="553" t="s">
        <v>467</v>
      </c>
      <c r="C16" s="658"/>
      <c r="D16" s="658"/>
      <c r="E16" s="658"/>
      <c r="F16" s="658"/>
      <c r="G16" s="658"/>
      <c r="H16" s="658"/>
      <c r="I16" s="658"/>
      <c r="J16" s="658"/>
      <c r="K16" s="658"/>
      <c r="L16" s="658"/>
      <c r="M16" s="658"/>
    </row>
    <row r="17" spans="1:13" s="579" customFormat="1" ht="12" customHeight="1">
      <c r="A17" s="689" t="s">
        <v>122</v>
      </c>
      <c r="B17" s="533" t="s">
        <v>301</v>
      </c>
      <c r="C17" s="690"/>
      <c r="D17" s="690"/>
      <c r="E17" s="690"/>
      <c r="F17" s="690"/>
      <c r="G17" s="690"/>
      <c r="H17" s="690"/>
      <c r="I17" s="690"/>
      <c r="J17" s="690"/>
      <c r="K17" s="690"/>
      <c r="L17" s="690"/>
      <c r="M17" s="690"/>
    </row>
    <row r="18" spans="1:13" s="581" customFormat="1" ht="12" customHeight="1">
      <c r="A18" s="689" t="s">
        <v>123</v>
      </c>
      <c r="B18" s="533" t="s">
        <v>302</v>
      </c>
      <c r="C18" s="658"/>
      <c r="D18" s="658"/>
      <c r="E18" s="658"/>
      <c r="F18" s="658"/>
      <c r="G18" s="658"/>
      <c r="H18" s="658"/>
      <c r="I18" s="658"/>
      <c r="J18" s="658"/>
      <c r="K18" s="658"/>
      <c r="L18" s="658"/>
      <c r="M18" s="658"/>
    </row>
    <row r="19" spans="1:13" s="581" customFormat="1" ht="12" customHeight="1" thickBot="1">
      <c r="A19" s="689" t="s">
        <v>124</v>
      </c>
      <c r="B19" s="553" t="s">
        <v>303</v>
      </c>
      <c r="C19" s="665"/>
      <c r="D19" s="665"/>
      <c r="E19" s="665"/>
      <c r="F19" s="665"/>
      <c r="G19" s="665"/>
      <c r="H19" s="665"/>
      <c r="I19" s="665"/>
      <c r="J19" s="665"/>
      <c r="K19" s="665"/>
      <c r="L19" s="665"/>
      <c r="M19" s="665"/>
    </row>
    <row r="20" spans="1:13" s="579" customFormat="1" ht="12" customHeight="1" thickBot="1">
      <c r="A20" s="572" t="s">
        <v>21</v>
      </c>
      <c r="B20" s="686" t="s">
        <v>468</v>
      </c>
      <c r="C20" s="669">
        <f aca="true" t="shared" si="1" ref="C20:I20">SUM(C21:C23)</f>
        <v>0</v>
      </c>
      <c r="D20" s="669">
        <f t="shared" si="1"/>
        <v>0</v>
      </c>
      <c r="E20" s="669">
        <f t="shared" si="1"/>
        <v>0</v>
      </c>
      <c r="F20" s="669">
        <f t="shared" si="1"/>
        <v>0</v>
      </c>
      <c r="G20" s="669">
        <f t="shared" si="1"/>
        <v>0</v>
      </c>
      <c r="H20" s="669">
        <f t="shared" si="1"/>
        <v>0</v>
      </c>
      <c r="I20" s="669">
        <f t="shared" si="1"/>
        <v>0</v>
      </c>
      <c r="J20" s="669">
        <f>SUM(J21:J23)</f>
        <v>0</v>
      </c>
      <c r="K20" s="669">
        <f>SUM(K21:K23)</f>
        <v>0</v>
      </c>
      <c r="L20" s="669">
        <f>SUM(L21:L23)</f>
        <v>120000</v>
      </c>
      <c r="M20" s="669">
        <f>SUM(M21:M23)</f>
        <v>120000</v>
      </c>
    </row>
    <row r="21" spans="1:13" s="581" customFormat="1" ht="12" customHeight="1">
      <c r="A21" s="689" t="s">
        <v>113</v>
      </c>
      <c r="B21" s="552" t="s">
        <v>269</v>
      </c>
      <c r="C21" s="658"/>
      <c r="D21" s="658"/>
      <c r="E21" s="658"/>
      <c r="F21" s="658"/>
      <c r="G21" s="658"/>
      <c r="H21" s="658"/>
      <c r="I21" s="658"/>
      <c r="J21" s="658"/>
      <c r="K21" s="658"/>
      <c r="L21" s="658"/>
      <c r="M21" s="658"/>
    </row>
    <row r="22" spans="1:13" s="581" customFormat="1" ht="12" customHeight="1">
      <c r="A22" s="689" t="s">
        <v>114</v>
      </c>
      <c r="B22" s="533" t="s">
        <v>469</v>
      </c>
      <c r="C22" s="658"/>
      <c r="D22" s="658"/>
      <c r="E22" s="658"/>
      <c r="F22" s="658"/>
      <c r="G22" s="658"/>
      <c r="H22" s="658"/>
      <c r="I22" s="658"/>
      <c r="J22" s="658"/>
      <c r="K22" s="658"/>
      <c r="L22" s="658"/>
      <c r="M22" s="658"/>
    </row>
    <row r="23" spans="1:13" s="581" customFormat="1" ht="12" customHeight="1">
      <c r="A23" s="689" t="s">
        <v>115</v>
      </c>
      <c r="B23" s="533" t="s">
        <v>470</v>
      </c>
      <c r="C23" s="658"/>
      <c r="D23" s="658"/>
      <c r="E23" s="658"/>
      <c r="F23" s="658"/>
      <c r="G23" s="658"/>
      <c r="H23" s="658"/>
      <c r="I23" s="658"/>
      <c r="J23" s="658"/>
      <c r="K23" s="658"/>
      <c r="L23" s="658">
        <v>120000</v>
      </c>
      <c r="M23" s="658">
        <f>K23+L23</f>
        <v>120000</v>
      </c>
    </row>
    <row r="24" spans="1:13" s="581" customFormat="1" ht="12" customHeight="1" thickBot="1">
      <c r="A24" s="689" t="s">
        <v>116</v>
      </c>
      <c r="B24" s="533" t="s">
        <v>2</v>
      </c>
      <c r="C24" s="658"/>
      <c r="D24" s="658"/>
      <c r="E24" s="658"/>
      <c r="F24" s="658"/>
      <c r="G24" s="658"/>
      <c r="H24" s="658"/>
      <c r="I24" s="658"/>
      <c r="J24" s="658"/>
      <c r="K24" s="658"/>
      <c r="L24" s="658"/>
      <c r="M24" s="658"/>
    </row>
    <row r="25" spans="1:13" s="581" customFormat="1" ht="12" customHeight="1" thickBot="1">
      <c r="A25" s="612" t="s">
        <v>22</v>
      </c>
      <c r="B25" s="551" t="s">
        <v>178</v>
      </c>
      <c r="C25" s="691"/>
      <c r="D25" s="691"/>
      <c r="E25" s="691"/>
      <c r="F25" s="691"/>
      <c r="G25" s="691"/>
      <c r="H25" s="691"/>
      <c r="I25" s="691"/>
      <c r="J25" s="691"/>
      <c r="K25" s="691"/>
      <c r="L25" s="691"/>
      <c r="M25" s="691"/>
    </row>
    <row r="26" spans="1:13" s="581" customFormat="1" ht="12" customHeight="1" thickBot="1">
      <c r="A26" s="612" t="s">
        <v>23</v>
      </c>
      <c r="B26" s="551" t="s">
        <v>471</v>
      </c>
      <c r="C26" s="669">
        <f aca="true" t="shared" si="2" ref="C26:I26">+C27+C28</f>
        <v>0</v>
      </c>
      <c r="D26" s="669">
        <f t="shared" si="2"/>
        <v>0</v>
      </c>
      <c r="E26" s="669">
        <f t="shared" si="2"/>
        <v>0</v>
      </c>
      <c r="F26" s="669">
        <f t="shared" si="2"/>
        <v>0</v>
      </c>
      <c r="G26" s="669">
        <f t="shared" si="2"/>
        <v>0</v>
      </c>
      <c r="H26" s="669">
        <f t="shared" si="2"/>
        <v>0</v>
      </c>
      <c r="I26" s="669">
        <f t="shared" si="2"/>
        <v>0</v>
      </c>
      <c r="J26" s="669">
        <f>+J27+J28</f>
        <v>0</v>
      </c>
      <c r="K26" s="669">
        <f>+K27+K28</f>
        <v>0</v>
      </c>
      <c r="L26" s="669">
        <f>+L27+L28</f>
        <v>0</v>
      </c>
      <c r="M26" s="669">
        <f>+M27+M28</f>
        <v>0</v>
      </c>
    </row>
    <row r="27" spans="1:13" s="581" customFormat="1" ht="12" customHeight="1">
      <c r="A27" s="692" t="s">
        <v>279</v>
      </c>
      <c r="B27" s="693" t="s">
        <v>469</v>
      </c>
      <c r="C27" s="625"/>
      <c r="D27" s="625"/>
      <c r="E27" s="625"/>
      <c r="F27" s="625"/>
      <c r="G27" s="625"/>
      <c r="H27" s="625"/>
      <c r="I27" s="625"/>
      <c r="J27" s="625"/>
      <c r="K27" s="625"/>
      <c r="L27" s="625"/>
      <c r="M27" s="625"/>
    </row>
    <row r="28" spans="1:13" s="581" customFormat="1" ht="12" customHeight="1">
      <c r="A28" s="692" t="s">
        <v>282</v>
      </c>
      <c r="B28" s="694" t="s">
        <v>472</v>
      </c>
      <c r="C28" s="674"/>
      <c r="D28" s="674"/>
      <c r="E28" s="674"/>
      <c r="F28" s="674"/>
      <c r="G28" s="674"/>
      <c r="H28" s="674"/>
      <c r="I28" s="674"/>
      <c r="J28" s="674"/>
      <c r="K28" s="674"/>
      <c r="L28" s="674"/>
      <c r="M28" s="674"/>
    </row>
    <row r="29" spans="1:13" s="581" customFormat="1" ht="12" customHeight="1" thickBot="1">
      <c r="A29" s="689" t="s">
        <v>283</v>
      </c>
      <c r="B29" s="695" t="s">
        <v>473</v>
      </c>
      <c r="C29" s="613"/>
      <c r="D29" s="613"/>
      <c r="E29" s="613"/>
      <c r="F29" s="613"/>
      <c r="G29" s="613"/>
      <c r="H29" s="613"/>
      <c r="I29" s="613"/>
      <c r="J29" s="613"/>
      <c r="K29" s="613"/>
      <c r="L29" s="613"/>
      <c r="M29" s="613"/>
    </row>
    <row r="30" spans="1:13" s="581" customFormat="1" ht="12" customHeight="1" thickBot="1">
      <c r="A30" s="612" t="s">
        <v>24</v>
      </c>
      <c r="B30" s="551" t="s">
        <v>474</v>
      </c>
      <c r="C30" s="669">
        <f aca="true" t="shared" si="3" ref="C30:I30">+C31+C32+C33</f>
        <v>0</v>
      </c>
      <c r="D30" s="669">
        <f t="shared" si="3"/>
        <v>0</v>
      </c>
      <c r="E30" s="669">
        <f t="shared" si="3"/>
        <v>0</v>
      </c>
      <c r="F30" s="669">
        <f t="shared" si="3"/>
        <v>0</v>
      </c>
      <c r="G30" s="669">
        <f t="shared" si="3"/>
        <v>0</v>
      </c>
      <c r="H30" s="669">
        <f t="shared" si="3"/>
        <v>0</v>
      </c>
      <c r="I30" s="669">
        <f t="shared" si="3"/>
        <v>0</v>
      </c>
      <c r="J30" s="669">
        <f>+J31+J32+J33</f>
        <v>0</v>
      </c>
      <c r="K30" s="669">
        <f>+K31+K32+K33</f>
        <v>0</v>
      </c>
      <c r="L30" s="669">
        <f>+L31+L32+L33</f>
        <v>0</v>
      </c>
      <c r="M30" s="669">
        <f>+M31+M32+M33</f>
        <v>0</v>
      </c>
    </row>
    <row r="31" spans="1:13" s="581" customFormat="1" ht="12" customHeight="1">
      <c r="A31" s="692" t="s">
        <v>100</v>
      </c>
      <c r="B31" s="693" t="s">
        <v>308</v>
      </c>
      <c r="C31" s="625"/>
      <c r="D31" s="625"/>
      <c r="E31" s="625"/>
      <c r="F31" s="625"/>
      <c r="G31" s="625"/>
      <c r="H31" s="625"/>
      <c r="I31" s="625"/>
      <c r="J31" s="625"/>
      <c r="K31" s="625"/>
      <c r="L31" s="625"/>
      <c r="M31" s="625"/>
    </row>
    <row r="32" spans="1:13" s="581" customFormat="1" ht="12" customHeight="1">
      <c r="A32" s="692" t="s">
        <v>101</v>
      </c>
      <c r="B32" s="694" t="s">
        <v>309</v>
      </c>
      <c r="C32" s="674"/>
      <c r="D32" s="674"/>
      <c r="E32" s="674"/>
      <c r="F32" s="674"/>
      <c r="G32" s="674"/>
      <c r="H32" s="674"/>
      <c r="I32" s="674"/>
      <c r="J32" s="674"/>
      <c r="K32" s="674"/>
      <c r="L32" s="674"/>
      <c r="M32" s="674"/>
    </row>
    <row r="33" spans="1:13" s="581" customFormat="1" ht="12" customHeight="1" thickBot="1">
      <c r="A33" s="689" t="s">
        <v>102</v>
      </c>
      <c r="B33" s="696" t="s">
        <v>310</v>
      </c>
      <c r="C33" s="613"/>
      <c r="D33" s="613"/>
      <c r="E33" s="613"/>
      <c r="F33" s="613"/>
      <c r="G33" s="613"/>
      <c r="H33" s="613"/>
      <c r="I33" s="613"/>
      <c r="J33" s="613"/>
      <c r="K33" s="613"/>
      <c r="L33" s="613"/>
      <c r="M33" s="613"/>
    </row>
    <row r="34" spans="1:13" s="579" customFormat="1" ht="12" customHeight="1" thickBot="1">
      <c r="A34" s="612" t="s">
        <v>25</v>
      </c>
      <c r="B34" s="551" t="s">
        <v>423</v>
      </c>
      <c r="C34" s="691"/>
      <c r="D34" s="691"/>
      <c r="E34" s="691"/>
      <c r="F34" s="691"/>
      <c r="G34" s="691"/>
      <c r="H34" s="691"/>
      <c r="I34" s="691"/>
      <c r="J34" s="691"/>
      <c r="K34" s="691"/>
      <c r="L34" s="691"/>
      <c r="M34" s="691"/>
    </row>
    <row r="35" spans="1:13" s="579" customFormat="1" ht="12" customHeight="1" thickBot="1">
      <c r="A35" s="612" t="s">
        <v>26</v>
      </c>
      <c r="B35" s="551" t="s">
        <v>475</v>
      </c>
      <c r="C35" s="697"/>
      <c r="D35" s="697"/>
      <c r="E35" s="697"/>
      <c r="F35" s="697"/>
      <c r="G35" s="697"/>
      <c r="H35" s="697"/>
      <c r="I35" s="697"/>
      <c r="J35" s="697"/>
      <c r="K35" s="697"/>
      <c r="L35" s="697"/>
      <c r="M35" s="697"/>
    </row>
    <row r="36" spans="1:13" s="579" customFormat="1" ht="12" customHeight="1" thickBot="1">
      <c r="A36" s="572" t="s">
        <v>27</v>
      </c>
      <c r="B36" s="551" t="s">
        <v>476</v>
      </c>
      <c r="C36" s="698">
        <f aca="true" t="shared" si="4" ref="C36:I36">+C9+C20+C25+C26+C30+C34+C35</f>
        <v>0</v>
      </c>
      <c r="D36" s="698">
        <f t="shared" si="4"/>
        <v>0</v>
      </c>
      <c r="E36" s="698">
        <f t="shared" si="4"/>
        <v>0</v>
      </c>
      <c r="F36" s="698">
        <f t="shared" si="4"/>
        <v>0</v>
      </c>
      <c r="G36" s="698">
        <f t="shared" si="4"/>
        <v>0</v>
      </c>
      <c r="H36" s="698">
        <f t="shared" si="4"/>
        <v>0</v>
      </c>
      <c r="I36" s="698">
        <f t="shared" si="4"/>
        <v>0</v>
      </c>
      <c r="J36" s="698">
        <f>+J9+J20+J25+J26+J30+J34+J35</f>
        <v>0</v>
      </c>
      <c r="K36" s="698">
        <f>+K9+K20+K25+K26+K30+K34+K35</f>
        <v>0</v>
      </c>
      <c r="L36" s="698">
        <f>+L9+L20+L25+L26+L30+L34+L35</f>
        <v>120000</v>
      </c>
      <c r="M36" s="698">
        <f>+M9+M20+M25+M26+M30+M34+M35</f>
        <v>120000</v>
      </c>
    </row>
    <row r="37" spans="1:13" s="579" customFormat="1" ht="12" customHeight="1" thickBot="1">
      <c r="A37" s="699" t="s">
        <v>28</v>
      </c>
      <c r="B37" s="551" t="s">
        <v>477</v>
      </c>
      <c r="C37" s="698">
        <f aca="true" t="shared" si="5" ref="C37:I37">+C38+C39+C40</f>
        <v>43740571</v>
      </c>
      <c r="D37" s="698">
        <f t="shared" si="5"/>
        <v>101306</v>
      </c>
      <c r="E37" s="698">
        <f t="shared" si="5"/>
        <v>43841877</v>
      </c>
      <c r="F37" s="698">
        <f t="shared" si="5"/>
        <v>585000</v>
      </c>
      <c r="G37" s="698">
        <f t="shared" si="5"/>
        <v>44426877</v>
      </c>
      <c r="H37" s="698">
        <f t="shared" si="5"/>
        <v>1619499</v>
      </c>
      <c r="I37" s="698">
        <f t="shared" si="5"/>
        <v>46046376</v>
      </c>
      <c r="J37" s="698">
        <f>+J38+J39+J40</f>
        <v>0</v>
      </c>
      <c r="K37" s="698">
        <f>+K38+K39+K40</f>
        <v>46046376</v>
      </c>
      <c r="L37" s="698">
        <f>+L38+L39+L40</f>
        <v>-421300</v>
      </c>
      <c r="M37" s="698">
        <f>+M38+M39+M40</f>
        <v>45625076</v>
      </c>
    </row>
    <row r="38" spans="1:13" s="579" customFormat="1" ht="12" customHeight="1">
      <c r="A38" s="692" t="s">
        <v>478</v>
      </c>
      <c r="B38" s="693" t="s">
        <v>243</v>
      </c>
      <c r="C38" s="625">
        <v>179667</v>
      </c>
      <c r="D38" s="625">
        <v>101306</v>
      </c>
      <c r="E38" s="625">
        <f>C38+D38</f>
        <v>280973</v>
      </c>
      <c r="F38" s="625"/>
      <c r="G38" s="625">
        <f>E38+F38</f>
        <v>280973</v>
      </c>
      <c r="H38" s="625"/>
      <c r="I38" s="625">
        <f>G38+H38</f>
        <v>280973</v>
      </c>
      <c r="J38" s="625"/>
      <c r="K38" s="625">
        <f>I38+J38</f>
        <v>280973</v>
      </c>
      <c r="L38" s="625"/>
      <c r="M38" s="625">
        <f>K38+L38</f>
        <v>280973</v>
      </c>
    </row>
    <row r="39" spans="1:13" s="579" customFormat="1" ht="12" customHeight="1">
      <c r="A39" s="692" t="s">
        <v>479</v>
      </c>
      <c r="B39" s="694" t="s">
        <v>3</v>
      </c>
      <c r="C39" s="674"/>
      <c r="D39" s="674"/>
      <c r="E39" s="674"/>
      <c r="F39" s="674"/>
      <c r="G39" s="674"/>
      <c r="H39" s="674"/>
      <c r="I39" s="674"/>
      <c r="J39" s="674"/>
      <c r="K39" s="674"/>
      <c r="L39" s="674"/>
      <c r="M39" s="674"/>
    </row>
    <row r="40" spans="1:13" s="581" customFormat="1" ht="12" customHeight="1" thickBot="1">
      <c r="A40" s="689" t="s">
        <v>480</v>
      </c>
      <c r="B40" s="696" t="s">
        <v>481</v>
      </c>
      <c r="C40" s="613">
        <v>43560904</v>
      </c>
      <c r="D40" s="613"/>
      <c r="E40" s="613">
        <v>43560904</v>
      </c>
      <c r="F40" s="613">
        <v>585000</v>
      </c>
      <c r="G40" s="613">
        <f>E40+F40</f>
        <v>44145904</v>
      </c>
      <c r="H40" s="613">
        <v>1619499</v>
      </c>
      <c r="I40" s="613">
        <f>G40+H40</f>
        <v>45765403</v>
      </c>
      <c r="J40" s="613"/>
      <c r="K40" s="613">
        <f>I40+J40</f>
        <v>45765403</v>
      </c>
      <c r="L40" s="613">
        <v>-421300</v>
      </c>
      <c r="M40" s="613">
        <f>K40+L40</f>
        <v>45344103</v>
      </c>
    </row>
    <row r="41" spans="1:13" s="581" customFormat="1" ht="15" customHeight="1" thickBot="1">
      <c r="A41" s="699" t="s">
        <v>29</v>
      </c>
      <c r="B41" s="700" t="s">
        <v>482</v>
      </c>
      <c r="C41" s="596">
        <f aca="true" t="shared" si="6" ref="C41:I41">+C36+C37</f>
        <v>43740571</v>
      </c>
      <c r="D41" s="596">
        <f t="shared" si="6"/>
        <v>101306</v>
      </c>
      <c r="E41" s="596">
        <f t="shared" si="6"/>
        <v>43841877</v>
      </c>
      <c r="F41" s="596">
        <f t="shared" si="6"/>
        <v>585000</v>
      </c>
      <c r="G41" s="596">
        <f t="shared" si="6"/>
        <v>44426877</v>
      </c>
      <c r="H41" s="596">
        <f t="shared" si="6"/>
        <v>1619499</v>
      </c>
      <c r="I41" s="596">
        <f t="shared" si="6"/>
        <v>46046376</v>
      </c>
      <c r="J41" s="596">
        <f>+J36+J37</f>
        <v>0</v>
      </c>
      <c r="K41" s="596">
        <f>+K36+K37</f>
        <v>46046376</v>
      </c>
      <c r="L41" s="596">
        <f>+L36+L37</f>
        <v>-301300</v>
      </c>
      <c r="M41" s="596">
        <f>+M36+M37</f>
        <v>45745076</v>
      </c>
    </row>
    <row r="42" spans="1:13" s="581" customFormat="1" ht="15" customHeight="1">
      <c r="A42" s="590"/>
      <c r="B42" s="591"/>
      <c r="C42" s="592"/>
      <c r="D42" s="592"/>
      <c r="E42" s="592"/>
      <c r="F42" s="592"/>
      <c r="G42" s="592"/>
      <c r="H42" s="592"/>
      <c r="I42" s="592"/>
      <c r="J42" s="592"/>
      <c r="K42" s="592"/>
      <c r="L42" s="592"/>
      <c r="M42" s="592"/>
    </row>
    <row r="43" spans="1:13" ht="13.5" thickBot="1">
      <c r="A43" s="701"/>
      <c r="B43" s="593"/>
      <c r="C43" s="594"/>
      <c r="D43" s="594"/>
      <c r="E43" s="594"/>
      <c r="F43" s="594"/>
      <c r="G43" s="594"/>
      <c r="H43" s="594"/>
      <c r="I43" s="594"/>
      <c r="J43" s="594"/>
      <c r="K43" s="594"/>
      <c r="L43" s="594"/>
      <c r="M43" s="594"/>
    </row>
    <row r="44" spans="1:13" s="575" customFormat="1" ht="16.5" customHeight="1" thickBot="1">
      <c r="A44" s="595"/>
      <c r="B44" s="788" t="s">
        <v>61</v>
      </c>
      <c r="C44" s="786"/>
      <c r="D44" s="786"/>
      <c r="E44" s="786"/>
      <c r="F44" s="786"/>
      <c r="G44" s="786"/>
      <c r="H44" s="786"/>
      <c r="I44" s="786"/>
      <c r="J44" s="786"/>
      <c r="K44" s="786"/>
      <c r="L44" s="786"/>
      <c r="M44" s="787"/>
    </row>
    <row r="45" spans="1:13" s="597" customFormat="1" ht="12" customHeight="1" thickBot="1">
      <c r="A45" s="612" t="s">
        <v>20</v>
      </c>
      <c r="B45" s="551" t="s">
        <v>483</v>
      </c>
      <c r="C45" s="669">
        <f aca="true" t="shared" si="7" ref="C45:I45">SUM(C46:C50)</f>
        <v>43335571</v>
      </c>
      <c r="D45" s="669">
        <f t="shared" si="7"/>
        <v>101306</v>
      </c>
      <c r="E45" s="669">
        <f t="shared" si="7"/>
        <v>43436877</v>
      </c>
      <c r="F45" s="669">
        <f t="shared" si="7"/>
        <v>585000</v>
      </c>
      <c r="G45" s="669">
        <f t="shared" si="7"/>
        <v>44021877</v>
      </c>
      <c r="H45" s="669">
        <f t="shared" si="7"/>
        <v>1619499</v>
      </c>
      <c r="I45" s="669">
        <f t="shared" si="7"/>
        <v>45641376</v>
      </c>
      <c r="J45" s="669">
        <f>SUM(J46:J50)</f>
        <v>100000</v>
      </c>
      <c r="K45" s="669">
        <f>SUM(K46:K50)</f>
        <v>45741376</v>
      </c>
      <c r="L45" s="669">
        <f>SUM(L46:L50)</f>
        <v>-301300</v>
      </c>
      <c r="M45" s="669">
        <f>SUM(M46:M50)</f>
        <v>45440076</v>
      </c>
    </row>
    <row r="46" spans="1:13" ht="12" customHeight="1">
      <c r="A46" s="689" t="s">
        <v>107</v>
      </c>
      <c r="B46" s="552" t="s">
        <v>50</v>
      </c>
      <c r="C46" s="625">
        <v>31378352</v>
      </c>
      <c r="D46" s="625"/>
      <c r="E46" s="625">
        <f>C46+D46</f>
        <v>31378352</v>
      </c>
      <c r="F46" s="625">
        <v>489500</v>
      </c>
      <c r="G46" s="625">
        <f>E46+F46</f>
        <v>31867852</v>
      </c>
      <c r="H46" s="625">
        <v>1366000</v>
      </c>
      <c r="I46" s="625">
        <f>G46+H46</f>
        <v>33233852</v>
      </c>
      <c r="J46" s="625"/>
      <c r="K46" s="625">
        <f>I46+J46</f>
        <v>33233852</v>
      </c>
      <c r="L46" s="625">
        <v>-421300</v>
      </c>
      <c r="M46" s="625">
        <f>K46+L46</f>
        <v>32812552</v>
      </c>
    </row>
    <row r="47" spans="1:13" ht="12" customHeight="1">
      <c r="A47" s="689" t="s">
        <v>108</v>
      </c>
      <c r="B47" s="533" t="s">
        <v>187</v>
      </c>
      <c r="C47" s="617">
        <v>6259779</v>
      </c>
      <c r="D47" s="617"/>
      <c r="E47" s="625">
        <f>C47+D47</f>
        <v>6259779</v>
      </c>
      <c r="F47" s="617">
        <v>95500</v>
      </c>
      <c r="G47" s="625">
        <f>E47+F47</f>
        <v>6355279</v>
      </c>
      <c r="H47" s="617">
        <v>253499</v>
      </c>
      <c r="I47" s="625">
        <f>G47+H47</f>
        <v>6608778</v>
      </c>
      <c r="J47" s="617"/>
      <c r="K47" s="625">
        <f>I47+J47</f>
        <v>6608778</v>
      </c>
      <c r="L47" s="617"/>
      <c r="M47" s="625">
        <f>K47+L47</f>
        <v>6608778</v>
      </c>
    </row>
    <row r="48" spans="1:13" ht="12" customHeight="1">
      <c r="A48" s="689" t="s">
        <v>109</v>
      </c>
      <c r="B48" s="533" t="s">
        <v>143</v>
      </c>
      <c r="C48" s="617">
        <v>5697440</v>
      </c>
      <c r="D48" s="617">
        <v>101306</v>
      </c>
      <c r="E48" s="625">
        <f>C48+D48</f>
        <v>5798746</v>
      </c>
      <c r="F48" s="617"/>
      <c r="G48" s="625">
        <f>E48+F48</f>
        <v>5798746</v>
      </c>
      <c r="H48" s="617"/>
      <c r="I48" s="625">
        <f>G48+H48</f>
        <v>5798746</v>
      </c>
      <c r="J48" s="617">
        <v>100000</v>
      </c>
      <c r="K48" s="625">
        <f>I48+J48</f>
        <v>5898746</v>
      </c>
      <c r="L48" s="617">
        <v>120000</v>
      </c>
      <c r="M48" s="625">
        <f>K48+L48</f>
        <v>6018746</v>
      </c>
    </row>
    <row r="49" spans="1:13" ht="12" customHeight="1">
      <c r="A49" s="689" t="s">
        <v>110</v>
      </c>
      <c r="B49" s="533" t="s">
        <v>188</v>
      </c>
      <c r="C49" s="617"/>
      <c r="D49" s="617"/>
      <c r="E49" s="617"/>
      <c r="F49" s="617"/>
      <c r="G49" s="617"/>
      <c r="H49" s="617"/>
      <c r="I49" s="617"/>
      <c r="J49" s="617"/>
      <c r="K49" s="617"/>
      <c r="L49" s="617"/>
      <c r="M49" s="617"/>
    </row>
    <row r="50" spans="1:13" ht="12" customHeight="1" thickBot="1">
      <c r="A50" s="689" t="s">
        <v>152</v>
      </c>
      <c r="B50" s="533" t="s">
        <v>189</v>
      </c>
      <c r="C50" s="617"/>
      <c r="D50" s="617"/>
      <c r="E50" s="617"/>
      <c r="F50" s="617"/>
      <c r="G50" s="617"/>
      <c r="H50" s="617"/>
      <c r="I50" s="617"/>
      <c r="J50" s="617"/>
      <c r="K50" s="617"/>
      <c r="L50" s="617"/>
      <c r="M50" s="617"/>
    </row>
    <row r="51" spans="1:13" ht="12" customHeight="1" thickBot="1">
      <c r="A51" s="612" t="s">
        <v>21</v>
      </c>
      <c r="B51" s="551" t="s">
        <v>484</v>
      </c>
      <c r="C51" s="669">
        <f aca="true" t="shared" si="8" ref="C51:I51">SUM(C52:C54)</f>
        <v>405000</v>
      </c>
      <c r="D51" s="669">
        <f t="shared" si="8"/>
        <v>0</v>
      </c>
      <c r="E51" s="669">
        <f t="shared" si="8"/>
        <v>405000</v>
      </c>
      <c r="F51" s="669">
        <f t="shared" si="8"/>
        <v>0</v>
      </c>
      <c r="G51" s="669">
        <f t="shared" si="8"/>
        <v>405000</v>
      </c>
      <c r="H51" s="669">
        <f t="shared" si="8"/>
        <v>0</v>
      </c>
      <c r="I51" s="669">
        <f t="shared" si="8"/>
        <v>405000</v>
      </c>
      <c r="J51" s="669">
        <f>SUM(J52:J54)</f>
        <v>-100000</v>
      </c>
      <c r="K51" s="669">
        <f>SUM(K52:K54)</f>
        <v>305000</v>
      </c>
      <c r="L51" s="669">
        <f>SUM(L52:L54)</f>
        <v>0</v>
      </c>
      <c r="M51" s="669">
        <f>SUM(M52:M54)</f>
        <v>305000</v>
      </c>
    </row>
    <row r="52" spans="1:13" s="597" customFormat="1" ht="12" customHeight="1">
      <c r="A52" s="689" t="s">
        <v>113</v>
      </c>
      <c r="B52" s="552" t="s">
        <v>234</v>
      </c>
      <c r="C52" s="625">
        <v>405000</v>
      </c>
      <c r="D52" s="625"/>
      <c r="E52" s="625">
        <f>C52+D52</f>
        <v>405000</v>
      </c>
      <c r="F52" s="625"/>
      <c r="G52" s="625">
        <f>E52+F52</f>
        <v>405000</v>
      </c>
      <c r="H52" s="625"/>
      <c r="I52" s="625">
        <f>G52+H52</f>
        <v>405000</v>
      </c>
      <c r="J52" s="625">
        <v>-100000</v>
      </c>
      <c r="K52" s="625">
        <f>I52+J52</f>
        <v>305000</v>
      </c>
      <c r="L52" s="625"/>
      <c r="M52" s="625">
        <f>K52+L52</f>
        <v>305000</v>
      </c>
    </row>
    <row r="53" spans="1:13" ht="12" customHeight="1">
      <c r="A53" s="689" t="s">
        <v>114</v>
      </c>
      <c r="B53" s="533" t="s">
        <v>191</v>
      </c>
      <c r="C53" s="617"/>
      <c r="D53" s="617"/>
      <c r="E53" s="617"/>
      <c r="F53" s="617"/>
      <c r="G53" s="617"/>
      <c r="H53" s="617"/>
      <c r="I53" s="617"/>
      <c r="J53" s="617"/>
      <c r="K53" s="617"/>
      <c r="L53" s="617"/>
      <c r="M53" s="617"/>
    </row>
    <row r="54" spans="1:13" ht="12" customHeight="1">
      <c r="A54" s="689" t="s">
        <v>115</v>
      </c>
      <c r="B54" s="533" t="s">
        <v>62</v>
      </c>
      <c r="C54" s="617"/>
      <c r="D54" s="617"/>
      <c r="E54" s="617"/>
      <c r="F54" s="617"/>
      <c r="G54" s="617"/>
      <c r="H54" s="617"/>
      <c r="I54" s="617"/>
      <c r="J54" s="617"/>
      <c r="K54" s="617"/>
      <c r="L54" s="617"/>
      <c r="M54" s="617"/>
    </row>
    <row r="55" spans="1:13" ht="12" customHeight="1" thickBot="1">
      <c r="A55" s="689" t="s">
        <v>116</v>
      </c>
      <c r="B55" s="533" t="s">
        <v>4</v>
      </c>
      <c r="C55" s="617"/>
      <c r="D55" s="617"/>
      <c r="E55" s="617"/>
      <c r="F55" s="617"/>
      <c r="G55" s="617"/>
      <c r="H55" s="617"/>
      <c r="I55" s="617"/>
      <c r="J55" s="617"/>
      <c r="K55" s="617"/>
      <c r="L55" s="617"/>
      <c r="M55" s="617"/>
    </row>
    <row r="56" spans="1:13" ht="15" customHeight="1" thickBot="1">
      <c r="A56" s="612" t="s">
        <v>22</v>
      </c>
      <c r="B56" s="702" t="s">
        <v>485</v>
      </c>
      <c r="C56" s="703">
        <f aca="true" t="shared" si="9" ref="C56:I56">+C45+C51</f>
        <v>43740571</v>
      </c>
      <c r="D56" s="703">
        <f t="shared" si="9"/>
        <v>101306</v>
      </c>
      <c r="E56" s="703">
        <f t="shared" si="9"/>
        <v>43841877</v>
      </c>
      <c r="F56" s="703">
        <f t="shared" si="9"/>
        <v>585000</v>
      </c>
      <c r="G56" s="703">
        <f t="shared" si="9"/>
        <v>44426877</v>
      </c>
      <c r="H56" s="703">
        <f t="shared" si="9"/>
        <v>1619499</v>
      </c>
      <c r="I56" s="703">
        <f t="shared" si="9"/>
        <v>46046376</v>
      </c>
      <c r="J56" s="703">
        <f>+J45+J51</f>
        <v>0</v>
      </c>
      <c r="K56" s="703">
        <f>+K45+K51</f>
        <v>46046376</v>
      </c>
      <c r="L56" s="703">
        <f>+L45+L51</f>
        <v>-301300</v>
      </c>
      <c r="M56" s="703">
        <f>+M45+M51</f>
        <v>45745076</v>
      </c>
    </row>
    <row r="57" spans="3:13" ht="12.75">
      <c r="C57" s="704"/>
      <c r="D57" s="704"/>
      <c r="E57" s="704"/>
      <c r="F57" s="704"/>
      <c r="G57" s="704"/>
      <c r="H57" s="704"/>
      <c r="I57" s="704"/>
      <c r="J57" s="704"/>
      <c r="K57" s="704"/>
      <c r="L57" s="704"/>
      <c r="M57" s="704"/>
    </row>
    <row r="58" spans="1:13" ht="15" customHeight="1" hidden="1" thickBot="1">
      <c r="A58" s="603" t="s">
        <v>210</v>
      </c>
      <c r="B58" s="604"/>
      <c r="C58" s="605">
        <v>9</v>
      </c>
      <c r="D58" s="605">
        <v>9</v>
      </c>
      <c r="E58" s="605">
        <v>9</v>
      </c>
      <c r="F58" s="605"/>
      <c r="G58" s="605">
        <v>9</v>
      </c>
      <c r="H58" s="605"/>
      <c r="I58" s="605">
        <v>9</v>
      </c>
      <c r="J58" s="605"/>
      <c r="K58" s="605">
        <v>9</v>
      </c>
      <c r="L58" s="605"/>
      <c r="M58" s="605">
        <v>9</v>
      </c>
    </row>
    <row r="59" spans="1:13" ht="14.25" customHeight="1" hidden="1" thickBot="1">
      <c r="A59" s="603" t="s">
        <v>211</v>
      </c>
      <c r="B59" s="604"/>
      <c r="C59" s="605">
        <v>0</v>
      </c>
      <c r="D59" s="605">
        <v>0</v>
      </c>
      <c r="E59" s="605">
        <v>0</v>
      </c>
      <c r="F59" s="605"/>
      <c r="G59" s="605">
        <v>0</v>
      </c>
      <c r="H59" s="605"/>
      <c r="I59" s="605">
        <v>0</v>
      </c>
      <c r="J59" s="605"/>
      <c r="K59" s="605">
        <v>0</v>
      </c>
      <c r="L59" s="605"/>
      <c r="M59" s="605">
        <v>0</v>
      </c>
    </row>
  </sheetData>
  <sheetProtection formatCells="0"/>
  <mergeCells count="3">
    <mergeCell ref="B3:L3"/>
    <mergeCell ref="B4:L4"/>
    <mergeCell ref="B44:M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115" sqref="G115"/>
    </sheetView>
  </sheetViews>
  <sheetFormatPr defaultColWidth="9.00390625" defaultRowHeight="12.75"/>
  <cols>
    <col min="1" max="1" width="13.875" style="240" customWidth="1"/>
    <col min="2" max="2" width="79.125" style="241" customWidth="1"/>
    <col min="3" max="3" width="25.00390625" style="241" customWidth="1"/>
    <col min="4" max="16384" width="9.375" style="241" customWidth="1"/>
  </cols>
  <sheetData>
    <row r="1" spans="1:3" s="220" customFormat="1" ht="21" customHeight="1" thickBot="1">
      <c r="A1" s="219"/>
      <c r="B1" s="221"/>
      <c r="C1" s="404" t="s">
        <v>575</v>
      </c>
    </row>
    <row r="2" spans="1:3" s="405" customFormat="1" ht="35.25" customHeight="1">
      <c r="A2" s="356" t="s">
        <v>208</v>
      </c>
      <c r="B2" s="306" t="s">
        <v>508</v>
      </c>
      <c r="C2" s="321" t="s">
        <v>66</v>
      </c>
    </row>
    <row r="3" spans="1:3" s="405" customFormat="1" ht="24.75" thickBot="1">
      <c r="A3" s="397" t="s">
        <v>207</v>
      </c>
      <c r="B3" s="307" t="s">
        <v>487</v>
      </c>
      <c r="C3" s="322" t="s">
        <v>55</v>
      </c>
    </row>
    <row r="4" spans="1:3" s="406" customFormat="1" ht="15.75" customHeight="1" thickBot="1">
      <c r="A4" s="223"/>
      <c r="B4" s="223"/>
      <c r="C4" s="224" t="s">
        <v>535</v>
      </c>
    </row>
    <row r="5" spans="1:3" ht="13.5" thickBot="1">
      <c r="A5" s="357" t="s">
        <v>209</v>
      </c>
      <c r="B5" s="225" t="s">
        <v>57</v>
      </c>
      <c r="C5" s="226" t="s">
        <v>58</v>
      </c>
    </row>
    <row r="6" spans="1:3" s="407" customFormat="1" ht="12.75" customHeight="1" thickBot="1">
      <c r="A6" s="198">
        <v>1</v>
      </c>
      <c r="B6" s="199">
        <v>2</v>
      </c>
      <c r="C6" s="200">
        <v>3</v>
      </c>
    </row>
    <row r="7" spans="1:3" s="407" customFormat="1" ht="15.75" customHeight="1" thickBot="1">
      <c r="A7" s="227"/>
      <c r="B7" s="228" t="s">
        <v>59</v>
      </c>
      <c r="C7" s="229"/>
    </row>
    <row r="8" spans="1:3" s="323" customFormat="1" ht="12" customHeight="1" thickBot="1">
      <c r="A8" s="198" t="s">
        <v>20</v>
      </c>
      <c r="B8" s="230" t="s">
        <v>465</v>
      </c>
      <c r="C8" s="299">
        <f>SUM(C9:C18)</f>
        <v>0</v>
      </c>
    </row>
    <row r="9" spans="1:3" s="323" customFormat="1" ht="12" customHeight="1">
      <c r="A9" s="398" t="s">
        <v>107</v>
      </c>
      <c r="B9" s="10" t="s">
        <v>294</v>
      </c>
      <c r="C9" s="312"/>
    </row>
    <row r="10" spans="1:3" s="323" customFormat="1" ht="12" customHeight="1">
      <c r="A10" s="399" t="s">
        <v>108</v>
      </c>
      <c r="B10" s="8" t="s">
        <v>295</v>
      </c>
      <c r="C10" s="297"/>
    </row>
    <row r="11" spans="1:3" s="323" customFormat="1" ht="12" customHeight="1">
      <c r="A11" s="399" t="s">
        <v>109</v>
      </c>
      <c r="B11" s="8" t="s">
        <v>296</v>
      </c>
      <c r="C11" s="297"/>
    </row>
    <row r="12" spans="1:3" s="323" customFormat="1" ht="12" customHeight="1">
      <c r="A12" s="399" t="s">
        <v>110</v>
      </c>
      <c r="B12" s="8" t="s">
        <v>297</v>
      </c>
      <c r="C12" s="297"/>
    </row>
    <row r="13" spans="1:3" s="323" customFormat="1" ht="12" customHeight="1">
      <c r="A13" s="399" t="s">
        <v>152</v>
      </c>
      <c r="B13" s="8" t="s">
        <v>298</v>
      </c>
      <c r="C13" s="297"/>
    </row>
    <row r="14" spans="1:3" s="323" customFormat="1" ht="12" customHeight="1">
      <c r="A14" s="399" t="s">
        <v>111</v>
      </c>
      <c r="B14" s="8" t="s">
        <v>466</v>
      </c>
      <c r="C14" s="297"/>
    </row>
    <row r="15" spans="1:3" s="323" customFormat="1" ht="12" customHeight="1">
      <c r="A15" s="399" t="s">
        <v>112</v>
      </c>
      <c r="B15" s="7" t="s">
        <v>467</v>
      </c>
      <c r="C15" s="297"/>
    </row>
    <row r="16" spans="1:3" s="323" customFormat="1" ht="12" customHeight="1">
      <c r="A16" s="399" t="s">
        <v>122</v>
      </c>
      <c r="B16" s="8" t="s">
        <v>301</v>
      </c>
      <c r="C16" s="313"/>
    </row>
    <row r="17" spans="1:3" s="408" customFormat="1" ht="12" customHeight="1">
      <c r="A17" s="399" t="s">
        <v>123</v>
      </c>
      <c r="B17" s="8" t="s">
        <v>302</v>
      </c>
      <c r="C17" s="297"/>
    </row>
    <row r="18" spans="1:3" s="408" customFormat="1" ht="12" customHeight="1" thickBot="1">
      <c r="A18" s="399" t="s">
        <v>124</v>
      </c>
      <c r="B18" s="7" t="s">
        <v>303</v>
      </c>
      <c r="C18" s="298"/>
    </row>
    <row r="19" spans="1:3" s="323" customFormat="1" ht="12" customHeight="1" thickBot="1">
      <c r="A19" s="198" t="s">
        <v>21</v>
      </c>
      <c r="B19" s="230" t="s">
        <v>468</v>
      </c>
      <c r="C19" s="299">
        <f>SUM(C20:C22)</f>
        <v>0</v>
      </c>
    </row>
    <row r="20" spans="1:3" s="408" customFormat="1" ht="12" customHeight="1">
      <c r="A20" s="399" t="s">
        <v>113</v>
      </c>
      <c r="B20" s="9" t="s">
        <v>269</v>
      </c>
      <c r="C20" s="297"/>
    </row>
    <row r="21" spans="1:3" s="408" customFormat="1" ht="12" customHeight="1">
      <c r="A21" s="399" t="s">
        <v>114</v>
      </c>
      <c r="B21" s="8" t="s">
        <v>469</v>
      </c>
      <c r="C21" s="297"/>
    </row>
    <row r="22" spans="1:3" s="408" customFormat="1" ht="12" customHeight="1">
      <c r="A22" s="399" t="s">
        <v>115</v>
      </c>
      <c r="B22" s="8" t="s">
        <v>470</v>
      </c>
      <c r="C22" s="297"/>
    </row>
    <row r="23" spans="1:3" s="408" customFormat="1" ht="12" customHeight="1" thickBot="1">
      <c r="A23" s="399" t="s">
        <v>116</v>
      </c>
      <c r="B23" s="8" t="s">
        <v>2</v>
      </c>
      <c r="C23" s="297"/>
    </row>
    <row r="24" spans="1:3" s="408" customFormat="1" ht="12" customHeight="1" thickBot="1">
      <c r="A24" s="203" t="s">
        <v>22</v>
      </c>
      <c r="B24" s="119" t="s">
        <v>178</v>
      </c>
      <c r="C24" s="301"/>
    </row>
    <row r="25" spans="1:3" s="408" customFormat="1" ht="12" customHeight="1" thickBot="1">
      <c r="A25" s="203" t="s">
        <v>23</v>
      </c>
      <c r="B25" s="119" t="s">
        <v>471</v>
      </c>
      <c r="C25" s="299">
        <f>+C26+C27</f>
        <v>0</v>
      </c>
    </row>
    <row r="26" spans="1:3" s="408" customFormat="1" ht="12" customHeight="1">
      <c r="A26" s="400" t="s">
        <v>279</v>
      </c>
      <c r="B26" s="401" t="s">
        <v>469</v>
      </c>
      <c r="C26" s="83"/>
    </row>
    <row r="27" spans="1:3" s="408" customFormat="1" ht="12" customHeight="1">
      <c r="A27" s="400" t="s">
        <v>282</v>
      </c>
      <c r="B27" s="402" t="s">
        <v>472</v>
      </c>
      <c r="C27" s="300"/>
    </row>
    <row r="28" spans="1:3" s="408" customFormat="1" ht="12" customHeight="1" thickBot="1">
      <c r="A28" s="399" t="s">
        <v>283</v>
      </c>
      <c r="B28" s="403" t="s">
        <v>473</v>
      </c>
      <c r="C28" s="85"/>
    </row>
    <row r="29" spans="1:3" s="408" customFormat="1" ht="12" customHeight="1" thickBot="1">
      <c r="A29" s="203" t="s">
        <v>24</v>
      </c>
      <c r="B29" s="119" t="s">
        <v>474</v>
      </c>
      <c r="C29" s="299">
        <f>+C30+C31+C32</f>
        <v>0</v>
      </c>
    </row>
    <row r="30" spans="1:3" s="408" customFormat="1" ht="12" customHeight="1">
      <c r="A30" s="400" t="s">
        <v>100</v>
      </c>
      <c r="B30" s="401" t="s">
        <v>308</v>
      </c>
      <c r="C30" s="83"/>
    </row>
    <row r="31" spans="1:3" s="408" customFormat="1" ht="12" customHeight="1">
      <c r="A31" s="400" t="s">
        <v>101</v>
      </c>
      <c r="B31" s="402" t="s">
        <v>309</v>
      </c>
      <c r="C31" s="300"/>
    </row>
    <row r="32" spans="1:3" s="408" customFormat="1" ht="12" customHeight="1" thickBot="1">
      <c r="A32" s="399" t="s">
        <v>102</v>
      </c>
      <c r="B32" s="132" t="s">
        <v>310</v>
      </c>
      <c r="C32" s="85"/>
    </row>
    <row r="33" spans="1:3" s="323" customFormat="1" ht="12" customHeight="1" thickBot="1">
      <c r="A33" s="203" t="s">
        <v>25</v>
      </c>
      <c r="B33" s="119" t="s">
        <v>423</v>
      </c>
      <c r="C33" s="301"/>
    </row>
    <row r="34" spans="1:3" s="323" customFormat="1" ht="12" customHeight="1" thickBot="1">
      <c r="A34" s="203" t="s">
        <v>26</v>
      </c>
      <c r="B34" s="119" t="s">
        <v>475</v>
      </c>
      <c r="C34" s="314"/>
    </row>
    <row r="35" spans="1:3" s="323" customFormat="1" ht="12" customHeight="1" thickBot="1">
      <c r="A35" s="198" t="s">
        <v>27</v>
      </c>
      <c r="B35" s="119" t="s">
        <v>476</v>
      </c>
      <c r="C35" s="315">
        <f>+C8+C19+C24+C25+C29+C33+C34</f>
        <v>0</v>
      </c>
    </row>
    <row r="36" spans="1:3" s="323" customFormat="1" ht="12" customHeight="1" thickBot="1">
      <c r="A36" s="231" t="s">
        <v>28</v>
      </c>
      <c r="B36" s="119" t="s">
        <v>477</v>
      </c>
      <c r="C36" s="315">
        <f>+C37+C38+C39</f>
        <v>43740571</v>
      </c>
    </row>
    <row r="37" spans="1:3" s="323" customFormat="1" ht="12" customHeight="1">
      <c r="A37" s="400" t="s">
        <v>478</v>
      </c>
      <c r="B37" s="401" t="s">
        <v>243</v>
      </c>
      <c r="C37" s="83">
        <v>179667</v>
      </c>
    </row>
    <row r="38" spans="1:3" s="323" customFormat="1" ht="12" customHeight="1">
      <c r="A38" s="400" t="s">
        <v>479</v>
      </c>
      <c r="B38" s="402" t="s">
        <v>3</v>
      </c>
      <c r="C38" s="300"/>
    </row>
    <row r="39" spans="1:3" s="408" customFormat="1" ht="12" customHeight="1" thickBot="1">
      <c r="A39" s="399" t="s">
        <v>480</v>
      </c>
      <c r="B39" s="132" t="s">
        <v>481</v>
      </c>
      <c r="C39" s="85">
        <v>43560904</v>
      </c>
    </row>
    <row r="40" spans="1:3" s="408" customFormat="1" ht="15" customHeight="1" thickBot="1">
      <c r="A40" s="231" t="s">
        <v>29</v>
      </c>
      <c r="B40" s="232" t="s">
        <v>482</v>
      </c>
      <c r="C40" s="318">
        <f>+C35+C36</f>
        <v>43740571</v>
      </c>
    </row>
    <row r="41" spans="1:3" s="408" customFormat="1" ht="15" customHeight="1">
      <c r="A41" s="233"/>
      <c r="B41" s="234"/>
      <c r="C41" s="316"/>
    </row>
    <row r="42" spans="1:3" ht="13.5" thickBot="1">
      <c r="A42" s="235"/>
      <c r="B42" s="236"/>
      <c r="C42" s="317"/>
    </row>
    <row r="43" spans="1:3" s="407" customFormat="1" ht="16.5" customHeight="1" thickBot="1">
      <c r="A43" s="237"/>
      <c r="B43" s="238" t="s">
        <v>61</v>
      </c>
      <c r="C43" s="318"/>
    </row>
    <row r="44" spans="1:3" s="409" customFormat="1" ht="12" customHeight="1" thickBot="1">
      <c r="A44" s="203" t="s">
        <v>20</v>
      </c>
      <c r="B44" s="119" t="s">
        <v>483</v>
      </c>
      <c r="C44" s="299">
        <f>SUM(C45:C49)</f>
        <v>43335571</v>
      </c>
    </row>
    <row r="45" spans="1:3" ht="12" customHeight="1">
      <c r="A45" s="399" t="s">
        <v>107</v>
      </c>
      <c r="B45" s="9" t="s">
        <v>50</v>
      </c>
      <c r="C45" s="83">
        <v>31378352</v>
      </c>
    </row>
    <row r="46" spans="1:3" ht="12" customHeight="1">
      <c r="A46" s="399" t="s">
        <v>108</v>
      </c>
      <c r="B46" s="8" t="s">
        <v>187</v>
      </c>
      <c r="C46" s="84">
        <v>6259779</v>
      </c>
    </row>
    <row r="47" spans="1:3" ht="12" customHeight="1">
      <c r="A47" s="399" t="s">
        <v>109</v>
      </c>
      <c r="B47" s="8" t="s">
        <v>143</v>
      </c>
      <c r="C47" s="84">
        <v>5697440</v>
      </c>
    </row>
    <row r="48" spans="1:3" ht="12" customHeight="1">
      <c r="A48" s="399" t="s">
        <v>110</v>
      </c>
      <c r="B48" s="8" t="s">
        <v>188</v>
      </c>
      <c r="C48" s="84"/>
    </row>
    <row r="49" spans="1:3" ht="12" customHeight="1" thickBot="1">
      <c r="A49" s="399" t="s">
        <v>152</v>
      </c>
      <c r="B49" s="8" t="s">
        <v>189</v>
      </c>
      <c r="C49" s="84"/>
    </row>
    <row r="50" spans="1:3" ht="12" customHeight="1" thickBot="1">
      <c r="A50" s="203" t="s">
        <v>21</v>
      </c>
      <c r="B50" s="119" t="s">
        <v>484</v>
      </c>
      <c r="C50" s="299">
        <f>SUM(C51:C53)</f>
        <v>405000</v>
      </c>
    </row>
    <row r="51" spans="1:3" s="409" customFormat="1" ht="12" customHeight="1">
      <c r="A51" s="399" t="s">
        <v>113</v>
      </c>
      <c r="B51" s="9" t="s">
        <v>234</v>
      </c>
      <c r="C51" s="83">
        <v>405000</v>
      </c>
    </row>
    <row r="52" spans="1:3" ht="12" customHeight="1">
      <c r="A52" s="399" t="s">
        <v>114</v>
      </c>
      <c r="B52" s="8" t="s">
        <v>191</v>
      </c>
      <c r="C52" s="84"/>
    </row>
    <row r="53" spans="1:3" ht="12" customHeight="1">
      <c r="A53" s="399" t="s">
        <v>115</v>
      </c>
      <c r="B53" s="8" t="s">
        <v>62</v>
      </c>
      <c r="C53" s="84"/>
    </row>
    <row r="54" spans="1:3" ht="12" customHeight="1" thickBot="1">
      <c r="A54" s="399" t="s">
        <v>116</v>
      </c>
      <c r="B54" s="8" t="s">
        <v>4</v>
      </c>
      <c r="C54" s="84"/>
    </row>
    <row r="55" spans="1:3" ht="15" customHeight="1" thickBot="1">
      <c r="A55" s="203" t="s">
        <v>22</v>
      </c>
      <c r="B55" s="239" t="s">
        <v>485</v>
      </c>
      <c r="C55" s="319">
        <f>+C44+C50</f>
        <v>43740571</v>
      </c>
    </row>
    <row r="56" ht="13.5" thickBot="1">
      <c r="C56" s="320"/>
    </row>
    <row r="57" spans="1:3" ht="15" customHeight="1" thickBot="1">
      <c r="A57" s="242" t="s">
        <v>210</v>
      </c>
      <c r="B57" s="243"/>
      <c r="C57" s="118">
        <v>9</v>
      </c>
    </row>
    <row r="58" spans="1:3" ht="14.25" customHeight="1" thickBot="1">
      <c r="A58" s="242" t="s">
        <v>211</v>
      </c>
      <c r="B58" s="243"/>
      <c r="C58" s="118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115" sqref="G115"/>
    </sheetView>
  </sheetViews>
  <sheetFormatPr defaultColWidth="9.00390625" defaultRowHeight="12.75"/>
  <cols>
    <col min="1" max="1" width="13.875" style="240" customWidth="1"/>
    <col min="2" max="2" width="79.125" style="241" customWidth="1"/>
    <col min="3" max="3" width="25.00390625" style="241" customWidth="1"/>
    <col min="4" max="16384" width="9.375" style="241" customWidth="1"/>
  </cols>
  <sheetData>
    <row r="1" spans="1:3" s="220" customFormat="1" ht="21" customHeight="1" thickBot="1">
      <c r="A1" s="219"/>
      <c r="B1" s="221"/>
      <c r="C1" s="404" t="s">
        <v>576</v>
      </c>
    </row>
    <row r="2" spans="1:3" s="405" customFormat="1" ht="33.75" customHeight="1">
      <c r="A2" s="356" t="s">
        <v>208</v>
      </c>
      <c r="B2" s="306" t="s">
        <v>508</v>
      </c>
      <c r="C2" s="321" t="s">
        <v>66</v>
      </c>
    </row>
    <row r="3" spans="1:3" s="405" customFormat="1" ht="24.75" thickBot="1">
      <c r="A3" s="397" t="s">
        <v>207</v>
      </c>
      <c r="B3" s="307" t="s">
        <v>488</v>
      </c>
      <c r="C3" s="322" t="s">
        <v>66</v>
      </c>
    </row>
    <row r="4" spans="1:3" s="406" customFormat="1" ht="15.75" customHeight="1" thickBot="1">
      <c r="A4" s="223"/>
      <c r="B4" s="223"/>
      <c r="C4" s="224" t="s">
        <v>535</v>
      </c>
    </row>
    <row r="5" spans="1:3" ht="13.5" thickBot="1">
      <c r="A5" s="357" t="s">
        <v>209</v>
      </c>
      <c r="B5" s="225" t="s">
        <v>57</v>
      </c>
      <c r="C5" s="226" t="s">
        <v>58</v>
      </c>
    </row>
    <row r="6" spans="1:3" s="407" customFormat="1" ht="12.75" customHeight="1" thickBot="1">
      <c r="A6" s="198">
        <v>1</v>
      </c>
      <c r="B6" s="199">
        <v>2</v>
      </c>
      <c r="C6" s="200">
        <v>3</v>
      </c>
    </row>
    <row r="7" spans="1:3" s="407" customFormat="1" ht="15.75" customHeight="1" thickBot="1">
      <c r="A7" s="227"/>
      <c r="B7" s="228" t="s">
        <v>59</v>
      </c>
      <c r="C7" s="229"/>
    </row>
    <row r="8" spans="1:3" s="323" customFormat="1" ht="12" customHeight="1" thickBot="1">
      <c r="A8" s="198" t="s">
        <v>20</v>
      </c>
      <c r="B8" s="230" t="s">
        <v>465</v>
      </c>
      <c r="C8" s="299">
        <f>SUM(C9:C18)</f>
        <v>0</v>
      </c>
    </row>
    <row r="9" spans="1:3" s="323" customFormat="1" ht="12" customHeight="1">
      <c r="A9" s="398" t="s">
        <v>107</v>
      </c>
      <c r="B9" s="10" t="s">
        <v>294</v>
      </c>
      <c r="C9" s="312"/>
    </row>
    <row r="10" spans="1:3" s="323" customFormat="1" ht="12" customHeight="1">
      <c r="A10" s="399" t="s">
        <v>108</v>
      </c>
      <c r="B10" s="8" t="s">
        <v>295</v>
      </c>
      <c r="C10" s="297"/>
    </row>
    <row r="11" spans="1:3" s="323" customFormat="1" ht="12" customHeight="1">
      <c r="A11" s="399" t="s">
        <v>109</v>
      </c>
      <c r="B11" s="8" t="s">
        <v>296</v>
      </c>
      <c r="C11" s="297"/>
    </row>
    <row r="12" spans="1:3" s="323" customFormat="1" ht="12" customHeight="1">
      <c r="A12" s="399" t="s">
        <v>110</v>
      </c>
      <c r="B12" s="8" t="s">
        <v>297</v>
      </c>
      <c r="C12" s="297"/>
    </row>
    <row r="13" spans="1:3" s="323" customFormat="1" ht="12" customHeight="1">
      <c r="A13" s="399" t="s">
        <v>152</v>
      </c>
      <c r="B13" s="8" t="s">
        <v>298</v>
      </c>
      <c r="C13" s="297"/>
    </row>
    <row r="14" spans="1:3" s="323" customFormat="1" ht="12" customHeight="1">
      <c r="A14" s="399" t="s">
        <v>111</v>
      </c>
      <c r="B14" s="8" t="s">
        <v>466</v>
      </c>
      <c r="C14" s="297"/>
    </row>
    <row r="15" spans="1:3" s="323" customFormat="1" ht="12" customHeight="1">
      <c r="A15" s="399" t="s">
        <v>112</v>
      </c>
      <c r="B15" s="7" t="s">
        <v>467</v>
      </c>
      <c r="C15" s="297"/>
    </row>
    <row r="16" spans="1:3" s="323" customFormat="1" ht="12" customHeight="1">
      <c r="A16" s="399" t="s">
        <v>122</v>
      </c>
      <c r="B16" s="8" t="s">
        <v>301</v>
      </c>
      <c r="C16" s="313"/>
    </row>
    <row r="17" spans="1:3" s="408" customFormat="1" ht="12" customHeight="1">
      <c r="A17" s="399" t="s">
        <v>123</v>
      </c>
      <c r="B17" s="8" t="s">
        <v>302</v>
      </c>
      <c r="C17" s="297"/>
    </row>
    <row r="18" spans="1:3" s="408" customFormat="1" ht="12" customHeight="1" thickBot="1">
      <c r="A18" s="399" t="s">
        <v>124</v>
      </c>
      <c r="B18" s="7" t="s">
        <v>303</v>
      </c>
      <c r="C18" s="298"/>
    </row>
    <row r="19" spans="1:3" s="323" customFormat="1" ht="12" customHeight="1" thickBot="1">
      <c r="A19" s="198" t="s">
        <v>21</v>
      </c>
      <c r="B19" s="230" t="s">
        <v>468</v>
      </c>
      <c r="C19" s="299">
        <f>SUM(C20:C22)</f>
        <v>0</v>
      </c>
    </row>
    <row r="20" spans="1:3" s="408" customFormat="1" ht="12" customHeight="1">
      <c r="A20" s="399" t="s">
        <v>113</v>
      </c>
      <c r="B20" s="9" t="s">
        <v>269</v>
      </c>
      <c r="C20" s="297"/>
    </row>
    <row r="21" spans="1:3" s="408" customFormat="1" ht="12" customHeight="1">
      <c r="A21" s="399" t="s">
        <v>114</v>
      </c>
      <c r="B21" s="8" t="s">
        <v>469</v>
      </c>
      <c r="C21" s="297"/>
    </row>
    <row r="22" spans="1:3" s="408" customFormat="1" ht="12" customHeight="1">
      <c r="A22" s="399" t="s">
        <v>115</v>
      </c>
      <c r="B22" s="8" t="s">
        <v>470</v>
      </c>
      <c r="C22" s="297"/>
    </row>
    <row r="23" spans="1:3" s="408" customFormat="1" ht="12" customHeight="1" thickBot="1">
      <c r="A23" s="399" t="s">
        <v>116</v>
      </c>
      <c r="B23" s="8" t="s">
        <v>2</v>
      </c>
      <c r="C23" s="297"/>
    </row>
    <row r="24" spans="1:3" s="408" customFormat="1" ht="12" customHeight="1" thickBot="1">
      <c r="A24" s="203" t="s">
        <v>22</v>
      </c>
      <c r="B24" s="119" t="s">
        <v>178</v>
      </c>
      <c r="C24" s="301"/>
    </row>
    <row r="25" spans="1:3" s="408" customFormat="1" ht="12" customHeight="1" thickBot="1">
      <c r="A25" s="203" t="s">
        <v>23</v>
      </c>
      <c r="B25" s="119" t="s">
        <v>471</v>
      </c>
      <c r="C25" s="299">
        <f>+C26+C27</f>
        <v>0</v>
      </c>
    </row>
    <row r="26" spans="1:3" s="408" customFormat="1" ht="12" customHeight="1">
      <c r="A26" s="400" t="s">
        <v>279</v>
      </c>
      <c r="B26" s="401" t="s">
        <v>469</v>
      </c>
      <c r="C26" s="83"/>
    </row>
    <row r="27" spans="1:3" s="408" customFormat="1" ht="12" customHeight="1">
      <c r="A27" s="400" t="s">
        <v>282</v>
      </c>
      <c r="B27" s="402" t="s">
        <v>472</v>
      </c>
      <c r="C27" s="300"/>
    </row>
    <row r="28" spans="1:3" s="408" customFormat="1" ht="12" customHeight="1" thickBot="1">
      <c r="A28" s="399" t="s">
        <v>283</v>
      </c>
      <c r="B28" s="403" t="s">
        <v>473</v>
      </c>
      <c r="C28" s="85"/>
    </row>
    <row r="29" spans="1:3" s="408" customFormat="1" ht="12" customHeight="1" thickBot="1">
      <c r="A29" s="203" t="s">
        <v>24</v>
      </c>
      <c r="B29" s="119" t="s">
        <v>474</v>
      </c>
      <c r="C29" s="299">
        <f>+C30+C31+C32</f>
        <v>0</v>
      </c>
    </row>
    <row r="30" spans="1:3" s="408" customFormat="1" ht="12" customHeight="1">
      <c r="A30" s="400" t="s">
        <v>100</v>
      </c>
      <c r="B30" s="401" t="s">
        <v>308</v>
      </c>
      <c r="C30" s="83"/>
    </row>
    <row r="31" spans="1:3" s="408" customFormat="1" ht="12" customHeight="1">
      <c r="A31" s="400" t="s">
        <v>101</v>
      </c>
      <c r="B31" s="402" t="s">
        <v>309</v>
      </c>
      <c r="C31" s="300"/>
    </row>
    <row r="32" spans="1:3" s="408" customFormat="1" ht="12" customHeight="1" thickBot="1">
      <c r="A32" s="399" t="s">
        <v>102</v>
      </c>
      <c r="B32" s="132" t="s">
        <v>310</v>
      </c>
      <c r="C32" s="85"/>
    </row>
    <row r="33" spans="1:3" s="323" customFormat="1" ht="12" customHeight="1" thickBot="1">
      <c r="A33" s="203" t="s">
        <v>25</v>
      </c>
      <c r="B33" s="119" t="s">
        <v>423</v>
      </c>
      <c r="C33" s="301"/>
    </row>
    <row r="34" spans="1:3" s="323" customFormat="1" ht="12" customHeight="1" thickBot="1">
      <c r="A34" s="203" t="s">
        <v>26</v>
      </c>
      <c r="B34" s="119" t="s">
        <v>475</v>
      </c>
      <c r="C34" s="314"/>
    </row>
    <row r="35" spans="1:3" s="323" customFormat="1" ht="12" customHeight="1" thickBot="1">
      <c r="A35" s="198" t="s">
        <v>27</v>
      </c>
      <c r="B35" s="119" t="s">
        <v>476</v>
      </c>
      <c r="C35" s="315">
        <f>+C8+C19+C24+C25+C29+C33+C34</f>
        <v>0</v>
      </c>
    </row>
    <row r="36" spans="1:3" s="323" customFormat="1" ht="12" customHeight="1" thickBot="1">
      <c r="A36" s="231" t="s">
        <v>28</v>
      </c>
      <c r="B36" s="119" t="s">
        <v>477</v>
      </c>
      <c r="C36" s="315">
        <f>+C37+C38+C39</f>
        <v>0</v>
      </c>
    </row>
    <row r="37" spans="1:3" s="323" customFormat="1" ht="12" customHeight="1">
      <c r="A37" s="400" t="s">
        <v>478</v>
      </c>
      <c r="B37" s="401" t="s">
        <v>243</v>
      </c>
      <c r="C37" s="83"/>
    </row>
    <row r="38" spans="1:3" s="323" customFormat="1" ht="12" customHeight="1">
      <c r="A38" s="400" t="s">
        <v>479</v>
      </c>
      <c r="B38" s="402" t="s">
        <v>3</v>
      </c>
      <c r="C38" s="300"/>
    </row>
    <row r="39" spans="1:3" s="408" customFormat="1" ht="12" customHeight="1" thickBot="1">
      <c r="A39" s="399" t="s">
        <v>480</v>
      </c>
      <c r="B39" s="132" t="s">
        <v>481</v>
      </c>
      <c r="C39" s="85"/>
    </row>
    <row r="40" spans="1:3" s="408" customFormat="1" ht="15" customHeight="1" thickBot="1">
      <c r="A40" s="231" t="s">
        <v>29</v>
      </c>
      <c r="B40" s="232" t="s">
        <v>482</v>
      </c>
      <c r="C40" s="318">
        <f>+C35+C36</f>
        <v>0</v>
      </c>
    </row>
    <row r="41" spans="1:3" s="408" customFormat="1" ht="15" customHeight="1">
      <c r="A41" s="233"/>
      <c r="B41" s="234"/>
      <c r="C41" s="316"/>
    </row>
    <row r="42" spans="1:3" ht="13.5" thickBot="1">
      <c r="A42" s="235"/>
      <c r="B42" s="236"/>
      <c r="C42" s="317"/>
    </row>
    <row r="43" spans="1:3" s="407" customFormat="1" ht="16.5" customHeight="1" thickBot="1">
      <c r="A43" s="237"/>
      <c r="B43" s="238" t="s">
        <v>61</v>
      </c>
      <c r="C43" s="318"/>
    </row>
    <row r="44" spans="1:3" s="409" customFormat="1" ht="12" customHeight="1" thickBot="1">
      <c r="A44" s="203" t="s">
        <v>20</v>
      </c>
      <c r="B44" s="119" t="s">
        <v>483</v>
      </c>
      <c r="C44" s="299">
        <f>SUM(C45:C49)</f>
        <v>0</v>
      </c>
    </row>
    <row r="45" spans="1:3" ht="12" customHeight="1">
      <c r="A45" s="399" t="s">
        <v>107</v>
      </c>
      <c r="B45" s="9" t="s">
        <v>50</v>
      </c>
      <c r="C45" s="83"/>
    </row>
    <row r="46" spans="1:3" ht="12" customHeight="1">
      <c r="A46" s="399" t="s">
        <v>108</v>
      </c>
      <c r="B46" s="8" t="s">
        <v>187</v>
      </c>
      <c r="C46" s="84"/>
    </row>
    <row r="47" spans="1:3" ht="12" customHeight="1">
      <c r="A47" s="399" t="s">
        <v>109</v>
      </c>
      <c r="B47" s="8" t="s">
        <v>143</v>
      </c>
      <c r="C47" s="84"/>
    </row>
    <row r="48" spans="1:3" ht="12" customHeight="1">
      <c r="A48" s="399" t="s">
        <v>110</v>
      </c>
      <c r="B48" s="8" t="s">
        <v>188</v>
      </c>
      <c r="C48" s="84"/>
    </row>
    <row r="49" spans="1:3" ht="12" customHeight="1" thickBot="1">
      <c r="A49" s="399" t="s">
        <v>152</v>
      </c>
      <c r="B49" s="8" t="s">
        <v>189</v>
      </c>
      <c r="C49" s="84"/>
    </row>
    <row r="50" spans="1:3" ht="12" customHeight="1" thickBot="1">
      <c r="A50" s="203" t="s">
        <v>21</v>
      </c>
      <c r="B50" s="119" t="s">
        <v>484</v>
      </c>
      <c r="C50" s="299">
        <f>SUM(C51:C53)</f>
        <v>0</v>
      </c>
    </row>
    <row r="51" spans="1:3" s="409" customFormat="1" ht="12" customHeight="1">
      <c r="A51" s="399" t="s">
        <v>113</v>
      </c>
      <c r="B51" s="9" t="s">
        <v>234</v>
      </c>
      <c r="C51" s="83"/>
    </row>
    <row r="52" spans="1:3" ht="12" customHeight="1">
      <c r="A52" s="399" t="s">
        <v>114</v>
      </c>
      <c r="B52" s="8" t="s">
        <v>191</v>
      </c>
      <c r="C52" s="84"/>
    </row>
    <row r="53" spans="1:3" ht="12" customHeight="1">
      <c r="A53" s="399" t="s">
        <v>115</v>
      </c>
      <c r="B53" s="8" t="s">
        <v>62</v>
      </c>
      <c r="C53" s="84"/>
    </row>
    <row r="54" spans="1:3" ht="12" customHeight="1" thickBot="1">
      <c r="A54" s="399" t="s">
        <v>116</v>
      </c>
      <c r="B54" s="8" t="s">
        <v>4</v>
      </c>
      <c r="C54" s="84"/>
    </row>
    <row r="55" spans="1:3" ht="15" customHeight="1" thickBot="1">
      <c r="A55" s="203" t="s">
        <v>22</v>
      </c>
      <c r="B55" s="239" t="s">
        <v>485</v>
      </c>
      <c r="C55" s="319">
        <f>+C44+C50</f>
        <v>0</v>
      </c>
    </row>
    <row r="56" ht="13.5" thickBot="1">
      <c r="C56" s="320"/>
    </row>
    <row r="57" spans="1:3" ht="15" customHeight="1" thickBot="1">
      <c r="A57" s="242" t="s">
        <v>210</v>
      </c>
      <c r="B57" s="243"/>
      <c r="C57" s="118"/>
    </row>
    <row r="58" spans="1:3" ht="14.25" customHeight="1" thickBot="1">
      <c r="A58" s="242" t="s">
        <v>211</v>
      </c>
      <c r="B58" s="243"/>
      <c r="C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115" sqref="G115"/>
    </sheetView>
  </sheetViews>
  <sheetFormatPr defaultColWidth="9.00390625" defaultRowHeight="12.75"/>
  <cols>
    <col min="1" max="1" width="13.875" style="240" customWidth="1"/>
    <col min="2" max="2" width="79.125" style="241" customWidth="1"/>
    <col min="3" max="3" width="25.00390625" style="241" customWidth="1"/>
    <col min="4" max="16384" width="9.375" style="241" customWidth="1"/>
  </cols>
  <sheetData>
    <row r="1" spans="1:3" s="220" customFormat="1" ht="21" customHeight="1" thickBot="1">
      <c r="A1" s="219"/>
      <c r="B1" s="221"/>
      <c r="C1" s="404" t="s">
        <v>577</v>
      </c>
    </row>
    <row r="2" spans="1:3" s="405" customFormat="1" ht="35.25" customHeight="1">
      <c r="A2" s="356" t="s">
        <v>208</v>
      </c>
      <c r="B2" s="306" t="s">
        <v>508</v>
      </c>
      <c r="C2" s="321" t="s">
        <v>66</v>
      </c>
    </row>
    <row r="3" spans="1:3" s="405" customFormat="1" ht="24.75" thickBot="1">
      <c r="A3" s="397" t="s">
        <v>207</v>
      </c>
      <c r="B3" s="307" t="s">
        <v>489</v>
      </c>
      <c r="C3" s="322" t="s">
        <v>502</v>
      </c>
    </row>
    <row r="4" spans="1:3" s="406" customFormat="1" ht="15.75" customHeight="1" thickBot="1">
      <c r="A4" s="223"/>
      <c r="B4" s="223"/>
      <c r="C4" s="224" t="s">
        <v>535</v>
      </c>
    </row>
    <row r="5" spans="1:3" ht="13.5" thickBot="1">
      <c r="A5" s="357" t="s">
        <v>209</v>
      </c>
      <c r="B5" s="225" t="s">
        <v>57</v>
      </c>
      <c r="C5" s="226" t="s">
        <v>58</v>
      </c>
    </row>
    <row r="6" spans="1:3" s="407" customFormat="1" ht="12.75" customHeight="1" thickBot="1">
      <c r="A6" s="198">
        <v>1</v>
      </c>
      <c r="B6" s="199">
        <v>2</v>
      </c>
      <c r="C6" s="200">
        <v>3</v>
      </c>
    </row>
    <row r="7" spans="1:3" s="407" customFormat="1" ht="15.75" customHeight="1" thickBot="1">
      <c r="A7" s="227"/>
      <c r="B7" s="228" t="s">
        <v>59</v>
      </c>
      <c r="C7" s="229"/>
    </row>
    <row r="8" spans="1:3" s="323" customFormat="1" ht="12" customHeight="1" thickBot="1">
      <c r="A8" s="198" t="s">
        <v>20</v>
      </c>
      <c r="B8" s="230" t="s">
        <v>465</v>
      </c>
      <c r="C8" s="299">
        <f>SUM(C9:C18)</f>
        <v>0</v>
      </c>
    </row>
    <row r="9" spans="1:3" s="323" customFormat="1" ht="12" customHeight="1">
      <c r="A9" s="398" t="s">
        <v>107</v>
      </c>
      <c r="B9" s="10" t="s">
        <v>294</v>
      </c>
      <c r="C9" s="312"/>
    </row>
    <row r="10" spans="1:3" s="323" customFormat="1" ht="12" customHeight="1">
      <c r="A10" s="399" t="s">
        <v>108</v>
      </c>
      <c r="B10" s="8" t="s">
        <v>295</v>
      </c>
      <c r="C10" s="297"/>
    </row>
    <row r="11" spans="1:3" s="323" customFormat="1" ht="12" customHeight="1">
      <c r="A11" s="399" t="s">
        <v>109</v>
      </c>
      <c r="B11" s="8" t="s">
        <v>296</v>
      </c>
      <c r="C11" s="297"/>
    </row>
    <row r="12" spans="1:3" s="323" customFormat="1" ht="12" customHeight="1">
      <c r="A12" s="399" t="s">
        <v>110</v>
      </c>
      <c r="B12" s="8" t="s">
        <v>297</v>
      </c>
      <c r="C12" s="297"/>
    </row>
    <row r="13" spans="1:3" s="323" customFormat="1" ht="12" customHeight="1">
      <c r="A13" s="399" t="s">
        <v>152</v>
      </c>
      <c r="B13" s="8" t="s">
        <v>298</v>
      </c>
      <c r="C13" s="297"/>
    </row>
    <row r="14" spans="1:3" s="323" customFormat="1" ht="12" customHeight="1">
      <c r="A14" s="399" t="s">
        <v>111</v>
      </c>
      <c r="B14" s="8" t="s">
        <v>466</v>
      </c>
      <c r="C14" s="297"/>
    </row>
    <row r="15" spans="1:3" s="323" customFormat="1" ht="12" customHeight="1">
      <c r="A15" s="399" t="s">
        <v>112</v>
      </c>
      <c r="B15" s="7" t="s">
        <v>467</v>
      </c>
      <c r="C15" s="297"/>
    </row>
    <row r="16" spans="1:3" s="323" customFormat="1" ht="12" customHeight="1">
      <c r="A16" s="399" t="s">
        <v>122</v>
      </c>
      <c r="B16" s="8" t="s">
        <v>301</v>
      </c>
      <c r="C16" s="313"/>
    </row>
    <row r="17" spans="1:3" s="408" customFormat="1" ht="12" customHeight="1">
      <c r="A17" s="399" t="s">
        <v>123</v>
      </c>
      <c r="B17" s="8" t="s">
        <v>302</v>
      </c>
      <c r="C17" s="297"/>
    </row>
    <row r="18" spans="1:3" s="408" customFormat="1" ht="12" customHeight="1" thickBot="1">
      <c r="A18" s="399" t="s">
        <v>124</v>
      </c>
      <c r="B18" s="7" t="s">
        <v>303</v>
      </c>
      <c r="C18" s="298"/>
    </row>
    <row r="19" spans="1:3" s="323" customFormat="1" ht="12" customHeight="1" thickBot="1">
      <c r="A19" s="198" t="s">
        <v>21</v>
      </c>
      <c r="B19" s="230" t="s">
        <v>468</v>
      </c>
      <c r="C19" s="299">
        <f>SUM(C20:C22)</f>
        <v>0</v>
      </c>
    </row>
    <row r="20" spans="1:3" s="408" customFormat="1" ht="12" customHeight="1">
      <c r="A20" s="399" t="s">
        <v>113</v>
      </c>
      <c r="B20" s="9" t="s">
        <v>269</v>
      </c>
      <c r="C20" s="297"/>
    </row>
    <row r="21" spans="1:3" s="408" customFormat="1" ht="12" customHeight="1">
      <c r="A21" s="399" t="s">
        <v>114</v>
      </c>
      <c r="B21" s="8" t="s">
        <v>469</v>
      </c>
      <c r="C21" s="297"/>
    </row>
    <row r="22" spans="1:3" s="408" customFormat="1" ht="12" customHeight="1">
      <c r="A22" s="399" t="s">
        <v>115</v>
      </c>
      <c r="B22" s="8" t="s">
        <v>470</v>
      </c>
      <c r="C22" s="297"/>
    </row>
    <row r="23" spans="1:3" s="408" customFormat="1" ht="12" customHeight="1" thickBot="1">
      <c r="A23" s="399" t="s">
        <v>116</v>
      </c>
      <c r="B23" s="8" t="s">
        <v>2</v>
      </c>
      <c r="C23" s="297"/>
    </row>
    <row r="24" spans="1:3" s="408" customFormat="1" ht="12" customHeight="1" thickBot="1">
      <c r="A24" s="203" t="s">
        <v>22</v>
      </c>
      <c r="B24" s="119" t="s">
        <v>178</v>
      </c>
      <c r="C24" s="301"/>
    </row>
    <row r="25" spans="1:3" s="408" customFormat="1" ht="12" customHeight="1" thickBot="1">
      <c r="A25" s="203" t="s">
        <v>23</v>
      </c>
      <c r="B25" s="119" t="s">
        <v>471</v>
      </c>
      <c r="C25" s="299">
        <f>+C26+C27</f>
        <v>0</v>
      </c>
    </row>
    <row r="26" spans="1:3" s="408" customFormat="1" ht="12" customHeight="1">
      <c r="A26" s="400" t="s">
        <v>279</v>
      </c>
      <c r="B26" s="401" t="s">
        <v>469</v>
      </c>
      <c r="C26" s="83"/>
    </row>
    <row r="27" spans="1:3" s="408" customFormat="1" ht="12" customHeight="1">
      <c r="A27" s="400" t="s">
        <v>282</v>
      </c>
      <c r="B27" s="402" t="s">
        <v>472</v>
      </c>
      <c r="C27" s="300"/>
    </row>
    <row r="28" spans="1:3" s="408" customFormat="1" ht="12" customHeight="1" thickBot="1">
      <c r="A28" s="399" t="s">
        <v>283</v>
      </c>
      <c r="B28" s="403" t="s">
        <v>473</v>
      </c>
      <c r="C28" s="85"/>
    </row>
    <row r="29" spans="1:3" s="408" customFormat="1" ht="12" customHeight="1" thickBot="1">
      <c r="A29" s="203" t="s">
        <v>24</v>
      </c>
      <c r="B29" s="119" t="s">
        <v>474</v>
      </c>
      <c r="C29" s="299">
        <f>+C30+C31+C32</f>
        <v>0</v>
      </c>
    </row>
    <row r="30" spans="1:3" s="408" customFormat="1" ht="12" customHeight="1">
      <c r="A30" s="400" t="s">
        <v>100</v>
      </c>
      <c r="B30" s="401" t="s">
        <v>308</v>
      </c>
      <c r="C30" s="83"/>
    </row>
    <row r="31" spans="1:3" s="408" customFormat="1" ht="12" customHeight="1">
      <c r="A31" s="400" t="s">
        <v>101</v>
      </c>
      <c r="B31" s="402" t="s">
        <v>309</v>
      </c>
      <c r="C31" s="300"/>
    </row>
    <row r="32" spans="1:3" s="408" customFormat="1" ht="12" customHeight="1" thickBot="1">
      <c r="A32" s="399" t="s">
        <v>102</v>
      </c>
      <c r="B32" s="132" t="s">
        <v>310</v>
      </c>
      <c r="C32" s="85"/>
    </row>
    <row r="33" spans="1:3" s="323" customFormat="1" ht="12" customHeight="1" thickBot="1">
      <c r="A33" s="203" t="s">
        <v>25</v>
      </c>
      <c r="B33" s="119" t="s">
        <v>423</v>
      </c>
      <c r="C33" s="301"/>
    </row>
    <row r="34" spans="1:3" s="323" customFormat="1" ht="12" customHeight="1" thickBot="1">
      <c r="A34" s="203" t="s">
        <v>26</v>
      </c>
      <c r="B34" s="119" t="s">
        <v>475</v>
      </c>
      <c r="C34" s="314"/>
    </row>
    <row r="35" spans="1:3" s="323" customFormat="1" ht="12" customHeight="1" thickBot="1">
      <c r="A35" s="198" t="s">
        <v>27</v>
      </c>
      <c r="B35" s="119" t="s">
        <v>476</v>
      </c>
      <c r="C35" s="315">
        <f>+C8+C19+C24+C25+C29+C33+C34</f>
        <v>0</v>
      </c>
    </row>
    <row r="36" spans="1:3" s="323" customFormat="1" ht="12" customHeight="1" thickBot="1">
      <c r="A36" s="231" t="s">
        <v>28</v>
      </c>
      <c r="B36" s="119" t="s">
        <v>477</v>
      </c>
      <c r="C36" s="315">
        <f>+C37+C38+C39</f>
        <v>0</v>
      </c>
    </row>
    <row r="37" spans="1:3" s="323" customFormat="1" ht="12" customHeight="1">
      <c r="A37" s="400" t="s">
        <v>478</v>
      </c>
      <c r="B37" s="401" t="s">
        <v>243</v>
      </c>
      <c r="C37" s="83"/>
    </row>
    <row r="38" spans="1:3" s="323" customFormat="1" ht="12" customHeight="1">
      <c r="A38" s="400" t="s">
        <v>479</v>
      </c>
      <c r="B38" s="402" t="s">
        <v>3</v>
      </c>
      <c r="C38" s="300"/>
    </row>
    <row r="39" spans="1:3" s="408" customFormat="1" ht="12" customHeight="1" thickBot="1">
      <c r="A39" s="399" t="s">
        <v>480</v>
      </c>
      <c r="B39" s="132" t="s">
        <v>481</v>
      </c>
      <c r="C39" s="85"/>
    </row>
    <row r="40" spans="1:3" s="408" customFormat="1" ht="15" customHeight="1" thickBot="1">
      <c r="A40" s="231" t="s">
        <v>29</v>
      </c>
      <c r="B40" s="232" t="s">
        <v>482</v>
      </c>
      <c r="C40" s="318">
        <f>+C35+C36</f>
        <v>0</v>
      </c>
    </row>
    <row r="41" spans="1:3" s="408" customFormat="1" ht="15" customHeight="1">
      <c r="A41" s="233"/>
      <c r="B41" s="234"/>
      <c r="C41" s="316"/>
    </row>
    <row r="42" spans="1:3" ht="13.5" thickBot="1">
      <c r="A42" s="235"/>
      <c r="B42" s="236"/>
      <c r="C42" s="317"/>
    </row>
    <row r="43" spans="1:3" s="407" customFormat="1" ht="16.5" customHeight="1" thickBot="1">
      <c r="A43" s="237"/>
      <c r="B43" s="238" t="s">
        <v>61</v>
      </c>
      <c r="C43" s="318"/>
    </row>
    <row r="44" spans="1:3" s="409" customFormat="1" ht="12" customHeight="1" thickBot="1">
      <c r="A44" s="203" t="s">
        <v>20</v>
      </c>
      <c r="B44" s="119" t="s">
        <v>483</v>
      </c>
      <c r="C44" s="299">
        <f>SUM(C45:C49)</f>
        <v>0</v>
      </c>
    </row>
    <row r="45" spans="1:3" ht="12" customHeight="1">
      <c r="A45" s="399" t="s">
        <v>107</v>
      </c>
      <c r="B45" s="9" t="s">
        <v>50</v>
      </c>
      <c r="C45" s="83"/>
    </row>
    <row r="46" spans="1:3" ht="12" customHeight="1">
      <c r="A46" s="399" t="s">
        <v>108</v>
      </c>
      <c r="B46" s="8" t="s">
        <v>187</v>
      </c>
      <c r="C46" s="84"/>
    </row>
    <row r="47" spans="1:3" ht="12" customHeight="1">
      <c r="A47" s="399" t="s">
        <v>109</v>
      </c>
      <c r="B47" s="8" t="s">
        <v>143</v>
      </c>
      <c r="C47" s="84"/>
    </row>
    <row r="48" spans="1:3" ht="12" customHeight="1">
      <c r="A48" s="399" t="s">
        <v>110</v>
      </c>
      <c r="B48" s="8" t="s">
        <v>188</v>
      </c>
      <c r="C48" s="84"/>
    </row>
    <row r="49" spans="1:3" ht="12" customHeight="1" thickBot="1">
      <c r="A49" s="399" t="s">
        <v>152</v>
      </c>
      <c r="B49" s="8" t="s">
        <v>189</v>
      </c>
      <c r="C49" s="84"/>
    </row>
    <row r="50" spans="1:3" ht="12" customHeight="1" thickBot="1">
      <c r="A50" s="203" t="s">
        <v>21</v>
      </c>
      <c r="B50" s="119" t="s">
        <v>484</v>
      </c>
      <c r="C50" s="299">
        <f>SUM(C51:C53)</f>
        <v>0</v>
      </c>
    </row>
    <row r="51" spans="1:3" s="409" customFormat="1" ht="12" customHeight="1">
      <c r="A51" s="399" t="s">
        <v>113</v>
      </c>
      <c r="B51" s="9" t="s">
        <v>234</v>
      </c>
      <c r="C51" s="83"/>
    </row>
    <row r="52" spans="1:3" ht="12" customHeight="1">
      <c r="A52" s="399" t="s">
        <v>114</v>
      </c>
      <c r="B52" s="8" t="s">
        <v>191</v>
      </c>
      <c r="C52" s="84"/>
    </row>
    <row r="53" spans="1:3" ht="12" customHeight="1">
      <c r="A53" s="399" t="s">
        <v>115</v>
      </c>
      <c r="B53" s="8" t="s">
        <v>62</v>
      </c>
      <c r="C53" s="84"/>
    </row>
    <row r="54" spans="1:3" ht="12" customHeight="1" thickBot="1">
      <c r="A54" s="399" t="s">
        <v>116</v>
      </c>
      <c r="B54" s="8" t="s">
        <v>4</v>
      </c>
      <c r="C54" s="84"/>
    </row>
    <row r="55" spans="1:3" ht="15" customHeight="1" thickBot="1">
      <c r="A55" s="203" t="s">
        <v>22</v>
      </c>
      <c r="B55" s="239" t="s">
        <v>485</v>
      </c>
      <c r="C55" s="319">
        <f>+C44+C50</f>
        <v>0</v>
      </c>
    </row>
    <row r="56" ht="13.5" thickBot="1">
      <c r="C56" s="320"/>
    </row>
    <row r="57" spans="1:3" ht="15" customHeight="1" thickBot="1">
      <c r="A57" s="242" t="s">
        <v>210</v>
      </c>
      <c r="B57" s="243"/>
      <c r="C57" s="118"/>
    </row>
    <row r="58" spans="1:3" ht="14.25" customHeight="1" thickBot="1">
      <c r="A58" s="242" t="s">
        <v>211</v>
      </c>
      <c r="B58" s="243"/>
      <c r="C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G115" sqref="G115"/>
    </sheetView>
  </sheetViews>
  <sheetFormatPr defaultColWidth="9.00390625" defaultRowHeight="12.75"/>
  <cols>
    <col min="1" max="1" width="5.50390625" style="43" customWidth="1"/>
    <col min="2" max="2" width="33.125" style="43" customWidth="1"/>
    <col min="3" max="3" width="12.375" style="43" customWidth="1"/>
    <col min="4" max="4" width="11.50390625" style="43" customWidth="1"/>
    <col min="5" max="5" width="11.375" style="43" customWidth="1"/>
    <col min="6" max="6" width="11.00390625" style="43" customWidth="1"/>
    <col min="7" max="7" width="14.375" style="43" customWidth="1"/>
    <col min="8" max="16384" width="9.375" style="43" customWidth="1"/>
  </cols>
  <sheetData>
    <row r="1" spans="1:7" ht="43.5" customHeight="1">
      <c r="A1" s="791" t="s">
        <v>5</v>
      </c>
      <c r="B1" s="791"/>
      <c r="C1" s="791"/>
      <c r="D1" s="791"/>
      <c r="E1" s="791"/>
      <c r="F1" s="791"/>
      <c r="G1" s="791"/>
    </row>
    <row r="3" spans="1:7" s="157" customFormat="1" ht="27" customHeight="1">
      <c r="A3" s="155" t="s">
        <v>215</v>
      </c>
      <c r="B3" s="156"/>
      <c r="C3" s="790" t="s">
        <v>509</v>
      </c>
      <c r="D3" s="790"/>
      <c r="E3" s="790"/>
      <c r="F3" s="790"/>
      <c r="G3" s="790"/>
    </row>
    <row r="4" spans="1:7" s="157" customFormat="1" ht="15.75">
      <c r="A4" s="156"/>
      <c r="B4" s="156"/>
      <c r="C4" s="156"/>
      <c r="D4" s="156"/>
      <c r="E4" s="156"/>
      <c r="F4" s="156"/>
      <c r="G4" s="156"/>
    </row>
    <row r="5" spans="1:7" s="157" customFormat="1" ht="24.75" customHeight="1">
      <c r="A5" s="155" t="s">
        <v>216</v>
      </c>
      <c r="B5" s="156"/>
      <c r="C5" s="790" t="s">
        <v>510</v>
      </c>
      <c r="D5" s="790"/>
      <c r="E5" s="790"/>
      <c r="F5" s="790"/>
      <c r="G5" s="156"/>
    </row>
    <row r="6" spans="1:7" s="158" customFormat="1" ht="12.75">
      <c r="A6" s="204"/>
      <c r="B6" s="204"/>
      <c r="C6" s="204"/>
      <c r="D6" s="204"/>
      <c r="E6" s="204"/>
      <c r="F6" s="204"/>
      <c r="G6" s="204"/>
    </row>
    <row r="7" spans="1:7" s="159" customFormat="1" ht="15" customHeight="1">
      <c r="A7" s="261" t="s">
        <v>512</v>
      </c>
      <c r="B7" s="260"/>
      <c r="C7" s="260"/>
      <c r="D7" s="246"/>
      <c r="E7" s="246"/>
      <c r="F7" s="246"/>
      <c r="G7" s="246"/>
    </row>
    <row r="8" spans="1:7" s="159" customFormat="1" ht="15" customHeight="1" thickBot="1">
      <c r="A8" s="261" t="s">
        <v>513</v>
      </c>
      <c r="B8" s="246"/>
      <c r="C8" s="246"/>
      <c r="D8" s="246"/>
      <c r="E8" s="246"/>
      <c r="F8" s="246"/>
      <c r="G8" s="246"/>
    </row>
    <row r="9" spans="1:7" s="82" customFormat="1" ht="42" customHeight="1" thickBot="1">
      <c r="A9" s="195" t="s">
        <v>18</v>
      </c>
      <c r="B9" s="196" t="s">
        <v>217</v>
      </c>
      <c r="C9" s="196" t="s">
        <v>218</v>
      </c>
      <c r="D9" s="196" t="s">
        <v>219</v>
      </c>
      <c r="E9" s="196" t="s">
        <v>220</v>
      </c>
      <c r="F9" s="196" t="s">
        <v>221</v>
      </c>
      <c r="G9" s="197" t="s">
        <v>54</v>
      </c>
    </row>
    <row r="10" spans="1:7" ht="24" customHeight="1">
      <c r="A10" s="247" t="s">
        <v>20</v>
      </c>
      <c r="B10" s="201" t="s">
        <v>222</v>
      </c>
      <c r="C10" s="160"/>
      <c r="D10" s="160"/>
      <c r="E10" s="160"/>
      <c r="F10" s="160">
        <v>0</v>
      </c>
      <c r="G10" s="248">
        <f>SUM(C10:F10)</f>
        <v>0</v>
      </c>
    </row>
    <row r="11" spans="1:7" ht="24" customHeight="1">
      <c r="A11" s="249" t="s">
        <v>21</v>
      </c>
      <c r="B11" s="202" t="s">
        <v>223</v>
      </c>
      <c r="C11" s="161"/>
      <c r="D11" s="161"/>
      <c r="E11" s="161"/>
      <c r="F11" s="161">
        <v>0</v>
      </c>
      <c r="G11" s="250">
        <f aca="true" t="shared" si="0" ref="G11:G16">SUM(C11:F11)</f>
        <v>0</v>
      </c>
    </row>
    <row r="12" spans="1:7" ht="24" customHeight="1">
      <c r="A12" s="249" t="s">
        <v>22</v>
      </c>
      <c r="B12" s="202" t="s">
        <v>224</v>
      </c>
      <c r="C12" s="161"/>
      <c r="D12" s="161"/>
      <c r="E12" s="161"/>
      <c r="F12" s="161"/>
      <c r="G12" s="250">
        <f t="shared" si="0"/>
        <v>0</v>
      </c>
    </row>
    <row r="13" spans="1:7" ht="24" customHeight="1">
      <c r="A13" s="249" t="s">
        <v>23</v>
      </c>
      <c r="B13" s="202" t="s">
        <v>225</v>
      </c>
      <c r="C13" s="161"/>
      <c r="D13" s="161"/>
      <c r="E13" s="161"/>
      <c r="F13" s="161"/>
      <c r="G13" s="250">
        <f t="shared" si="0"/>
        <v>0</v>
      </c>
    </row>
    <row r="14" spans="1:7" ht="24" customHeight="1">
      <c r="A14" s="249" t="s">
        <v>24</v>
      </c>
      <c r="B14" s="202" t="s">
        <v>226</v>
      </c>
      <c r="C14" s="161"/>
      <c r="D14" s="161"/>
      <c r="E14" s="161"/>
      <c r="F14" s="161"/>
      <c r="G14" s="250">
        <f t="shared" si="0"/>
        <v>0</v>
      </c>
    </row>
    <row r="15" spans="1:7" ht="24" customHeight="1" thickBot="1">
      <c r="A15" s="251" t="s">
        <v>25</v>
      </c>
      <c r="B15" s="252" t="s">
        <v>227</v>
      </c>
      <c r="C15" s="162"/>
      <c r="D15" s="162"/>
      <c r="E15" s="162"/>
      <c r="F15" s="162"/>
      <c r="G15" s="253">
        <f t="shared" si="0"/>
        <v>0</v>
      </c>
    </row>
    <row r="16" spans="1:7" s="163" customFormat="1" ht="24" customHeight="1" thickBot="1">
      <c r="A16" s="254" t="s">
        <v>26</v>
      </c>
      <c r="B16" s="255" t="s">
        <v>54</v>
      </c>
      <c r="C16" s="256">
        <f>SUM(C10:C15)</f>
        <v>0</v>
      </c>
      <c r="D16" s="256">
        <f>SUM(D10:D15)</f>
        <v>0</v>
      </c>
      <c r="E16" s="256">
        <f>SUM(E10:E15)</f>
        <v>0</v>
      </c>
      <c r="F16" s="256">
        <f>SUM(F10:F15)</f>
        <v>0</v>
      </c>
      <c r="G16" s="257">
        <f t="shared" si="0"/>
        <v>0</v>
      </c>
    </row>
    <row r="17" spans="1:7" s="158" customFormat="1" ht="12.75">
      <c r="A17" s="204"/>
      <c r="B17" s="204"/>
      <c r="C17" s="204"/>
      <c r="D17" s="204"/>
      <c r="E17" s="204"/>
      <c r="F17" s="204"/>
      <c r="G17" s="204"/>
    </row>
    <row r="18" spans="1:7" s="158" customFormat="1" ht="12.75">
      <c r="A18" s="204"/>
      <c r="B18" s="204"/>
      <c r="C18" s="204"/>
      <c r="D18" s="204"/>
      <c r="E18" s="204"/>
      <c r="F18" s="204"/>
      <c r="G18" s="204"/>
    </row>
    <row r="19" spans="1:7" s="158" customFormat="1" ht="12.75">
      <c r="A19" s="204"/>
      <c r="B19" s="204"/>
      <c r="C19" s="204"/>
      <c r="D19" s="204"/>
      <c r="E19" s="204"/>
      <c r="F19" s="204"/>
      <c r="G19" s="204"/>
    </row>
    <row r="20" spans="1:7" s="158" customFormat="1" ht="15.75">
      <c r="A20" s="157" t="s">
        <v>558</v>
      </c>
      <c r="B20" s="204"/>
      <c r="C20" s="204"/>
      <c r="D20" s="204"/>
      <c r="E20" s="204"/>
      <c r="F20" s="204"/>
      <c r="G20" s="204"/>
    </row>
    <row r="21" spans="1:7" s="158" customFormat="1" ht="12.75">
      <c r="A21" s="204"/>
      <c r="B21" s="204"/>
      <c r="C21" s="204"/>
      <c r="D21" s="204"/>
      <c r="E21" s="204"/>
      <c r="F21" s="204"/>
      <c r="G21" s="204"/>
    </row>
    <row r="22" spans="1:7" ht="12.75">
      <c r="A22" s="204"/>
      <c r="B22" s="204"/>
      <c r="C22" s="204"/>
      <c r="D22" s="204"/>
      <c r="E22" s="204"/>
      <c r="F22" s="204"/>
      <c r="G22" s="204"/>
    </row>
    <row r="23" spans="1:7" ht="12.75">
      <c r="A23" s="204"/>
      <c r="B23" s="204"/>
      <c r="C23" s="158"/>
      <c r="D23" s="158"/>
      <c r="E23" s="158"/>
      <c r="F23" s="158"/>
      <c r="G23" s="204"/>
    </row>
    <row r="24" spans="1:7" ht="13.5">
      <c r="A24" s="204"/>
      <c r="B24" s="204"/>
      <c r="C24" s="258"/>
      <c r="D24" s="259" t="s">
        <v>228</v>
      </c>
      <c r="E24" s="259"/>
      <c r="F24" s="258"/>
      <c r="G24" s="204"/>
    </row>
    <row r="25" spans="3:6" ht="13.5">
      <c r="C25" s="164"/>
      <c r="D25" s="165"/>
      <c r="E25" s="165"/>
      <c r="F25" s="164"/>
    </row>
    <row r="26" spans="3:6" ht="13.5">
      <c r="C26" s="164"/>
      <c r="D26" s="165"/>
      <c r="E26" s="165"/>
      <c r="F26" s="164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3 /2019. (II.11.)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8.375" style="482" customWidth="1"/>
    <col min="2" max="2" width="68.875" style="482" customWidth="1"/>
    <col min="3" max="3" width="19.125" style="560" customWidth="1"/>
    <col min="4" max="4" width="17.375" style="560" customWidth="1"/>
    <col min="5" max="5" width="19.00390625" style="560" customWidth="1"/>
    <col min="6" max="16384" width="9.375" style="482" customWidth="1"/>
  </cols>
  <sheetData>
    <row r="1" spans="1:5" s="478" customFormat="1" ht="12.75">
      <c r="A1" s="475"/>
      <c r="B1" s="476"/>
      <c r="C1" s="477"/>
      <c r="D1" s="477"/>
      <c r="E1" s="244"/>
    </row>
    <row r="2" spans="1:5" s="481" customFormat="1" ht="16.5" customHeight="1">
      <c r="A2" s="479"/>
      <c r="B2" s="480"/>
      <c r="C2" s="244"/>
      <c r="D2" s="244"/>
      <c r="E2" s="244" t="s">
        <v>585</v>
      </c>
    </row>
    <row r="3" spans="1:5" ht="15.75" customHeight="1">
      <c r="A3" s="728" t="s">
        <v>17</v>
      </c>
      <c r="B3" s="728"/>
      <c r="C3" s="728"/>
      <c r="D3" s="482"/>
      <c r="E3" s="482"/>
    </row>
    <row r="4" spans="1:5" ht="15.75" customHeight="1" thickBot="1">
      <c r="A4" s="730" t="s">
        <v>156</v>
      </c>
      <c r="B4" s="730"/>
      <c r="C4" s="483"/>
      <c r="D4" s="483"/>
      <c r="E4" s="483" t="s">
        <v>535</v>
      </c>
    </row>
    <row r="5" spans="1:5" ht="37.5" customHeight="1" thickBot="1">
      <c r="A5" s="484" t="s">
        <v>76</v>
      </c>
      <c r="B5" s="485" t="s">
        <v>19</v>
      </c>
      <c r="C5" s="486" t="s">
        <v>586</v>
      </c>
      <c r="D5" s="486" t="s">
        <v>587</v>
      </c>
      <c r="E5" s="486" t="s">
        <v>588</v>
      </c>
    </row>
    <row r="6" spans="1:5" s="490" customFormat="1" ht="12" customHeight="1" thickBot="1">
      <c r="A6" s="487">
        <v>1</v>
      </c>
      <c r="B6" s="488">
        <v>2</v>
      </c>
      <c r="C6" s="489">
        <v>3</v>
      </c>
      <c r="D6" s="489">
        <v>4</v>
      </c>
      <c r="E6" s="489">
        <v>5</v>
      </c>
    </row>
    <row r="7" spans="1:5" s="494" customFormat="1" ht="12" customHeight="1" thickBot="1">
      <c r="A7" s="491" t="s">
        <v>20</v>
      </c>
      <c r="B7" s="492" t="s">
        <v>261</v>
      </c>
      <c r="C7" s="493">
        <f>+C8+C9+C10+C11+C12+C13</f>
        <v>129283891</v>
      </c>
      <c r="D7" s="493">
        <f>+D8+D9+D10+D11+D12+D13</f>
        <v>135748085.55</v>
      </c>
      <c r="E7" s="493">
        <f>+E8+E9+E10+E11+E12+E13</f>
        <v>142535489.82750005</v>
      </c>
    </row>
    <row r="8" spans="1:5" s="494" customFormat="1" ht="12" customHeight="1">
      <c r="A8" s="495" t="s">
        <v>107</v>
      </c>
      <c r="B8" s="496" t="s">
        <v>262</v>
      </c>
      <c r="C8" s="497">
        <v>48805752</v>
      </c>
      <c r="D8" s="497">
        <f>C8*1.05</f>
        <v>51246039.6</v>
      </c>
      <c r="E8" s="497">
        <f>D8*1.05</f>
        <v>53808341.580000006</v>
      </c>
    </row>
    <row r="9" spans="1:5" s="494" customFormat="1" ht="12" customHeight="1">
      <c r="A9" s="498" t="s">
        <v>108</v>
      </c>
      <c r="B9" s="499" t="s">
        <v>263</v>
      </c>
      <c r="C9" s="500">
        <v>39125150</v>
      </c>
      <c r="D9" s="497">
        <f aca="true" t="shared" si="0" ref="D9:E11">C9*1.05</f>
        <v>41081407.5</v>
      </c>
      <c r="E9" s="497">
        <f t="shared" si="0"/>
        <v>43135477.875</v>
      </c>
    </row>
    <row r="10" spans="1:5" s="494" customFormat="1" ht="12" customHeight="1">
      <c r="A10" s="498" t="s">
        <v>109</v>
      </c>
      <c r="B10" s="499" t="s">
        <v>264</v>
      </c>
      <c r="C10" s="500">
        <v>38652269</v>
      </c>
      <c r="D10" s="497">
        <f t="shared" si="0"/>
        <v>40584882.45</v>
      </c>
      <c r="E10" s="497">
        <f t="shared" si="0"/>
        <v>42614126.572500005</v>
      </c>
    </row>
    <row r="11" spans="1:5" s="494" customFormat="1" ht="12" customHeight="1">
      <c r="A11" s="498" t="s">
        <v>110</v>
      </c>
      <c r="B11" s="499" t="s">
        <v>265</v>
      </c>
      <c r="C11" s="500">
        <v>2700720</v>
      </c>
      <c r="D11" s="497">
        <f t="shared" si="0"/>
        <v>2835756</v>
      </c>
      <c r="E11" s="497">
        <f t="shared" si="0"/>
        <v>2977543.8000000003</v>
      </c>
    </row>
    <row r="12" spans="1:5" s="494" customFormat="1" ht="12" customHeight="1">
      <c r="A12" s="498" t="s">
        <v>152</v>
      </c>
      <c r="B12" s="499" t="s">
        <v>533</v>
      </c>
      <c r="C12" s="500"/>
      <c r="D12" s="500"/>
      <c r="E12" s="497">
        <f>C12+D12</f>
        <v>0</v>
      </c>
    </row>
    <row r="13" spans="1:5" s="494" customFormat="1" ht="12" customHeight="1" thickBot="1">
      <c r="A13" s="501" t="s">
        <v>111</v>
      </c>
      <c r="B13" s="502" t="s">
        <v>534</v>
      </c>
      <c r="C13" s="500">
        <v>0</v>
      </c>
      <c r="D13" s="500">
        <v>0</v>
      </c>
      <c r="E13" s="500">
        <v>0</v>
      </c>
    </row>
    <row r="14" spans="1:5" s="494" customFormat="1" ht="12" customHeight="1" thickBot="1">
      <c r="A14" s="491" t="s">
        <v>21</v>
      </c>
      <c r="B14" s="503" t="s">
        <v>268</v>
      </c>
      <c r="C14" s="493">
        <f>+C15+C16+C17+C18+C19</f>
        <v>15820260</v>
      </c>
      <c r="D14" s="493">
        <f>+D15+D16+D17+D18+D19</f>
        <v>16611273</v>
      </c>
      <c r="E14" s="493">
        <f>+E15+E16+E17+E18+E19</f>
        <v>17441836.650000002</v>
      </c>
    </row>
    <row r="15" spans="1:5" s="494" customFormat="1" ht="12" customHeight="1">
      <c r="A15" s="495" t="s">
        <v>113</v>
      </c>
      <c r="B15" s="496" t="s">
        <v>269</v>
      </c>
      <c r="C15" s="497"/>
      <c r="D15" s="497"/>
      <c r="E15" s="497"/>
    </row>
    <row r="16" spans="1:5" s="494" customFormat="1" ht="12" customHeight="1">
      <c r="A16" s="498" t="s">
        <v>114</v>
      </c>
      <c r="B16" s="499" t="s">
        <v>270</v>
      </c>
      <c r="C16" s="500"/>
      <c r="D16" s="500"/>
      <c r="E16" s="500"/>
    </row>
    <row r="17" spans="1:5" s="494" customFormat="1" ht="12" customHeight="1">
      <c r="A17" s="498" t="s">
        <v>115</v>
      </c>
      <c r="B17" s="499" t="s">
        <v>493</v>
      </c>
      <c r="C17" s="500"/>
      <c r="D17" s="500"/>
      <c r="E17" s="500"/>
    </row>
    <row r="18" spans="1:5" s="494" customFormat="1" ht="12" customHeight="1">
      <c r="A18" s="498" t="s">
        <v>116</v>
      </c>
      <c r="B18" s="499" t="s">
        <v>494</v>
      </c>
      <c r="C18" s="500"/>
      <c r="D18" s="500"/>
      <c r="E18" s="500"/>
    </row>
    <row r="19" spans="1:5" s="494" customFormat="1" ht="12" customHeight="1">
      <c r="A19" s="498" t="s">
        <v>117</v>
      </c>
      <c r="B19" s="499" t="s">
        <v>271</v>
      </c>
      <c r="C19" s="500">
        <v>15820260</v>
      </c>
      <c r="D19" s="500">
        <f>C19*1.05</f>
        <v>16611273</v>
      </c>
      <c r="E19" s="500">
        <f>D19*1.05</f>
        <v>17441836.650000002</v>
      </c>
    </row>
    <row r="20" spans="1:5" s="494" customFormat="1" ht="12" customHeight="1" thickBot="1">
      <c r="A20" s="501" t="s">
        <v>126</v>
      </c>
      <c r="B20" s="502" t="s">
        <v>272</v>
      </c>
      <c r="C20" s="504"/>
      <c r="D20" s="504"/>
      <c r="E20" s="504"/>
    </row>
    <row r="21" spans="1:5" s="494" customFormat="1" ht="12" customHeight="1" thickBot="1">
      <c r="A21" s="491" t="s">
        <v>22</v>
      </c>
      <c r="B21" s="492" t="s">
        <v>273</v>
      </c>
      <c r="C21" s="493">
        <f>+C22+C23+C24+C25+C26</f>
        <v>9800000</v>
      </c>
      <c r="D21" s="493">
        <f>+D22+D23+D24+D25+D26</f>
        <v>9800000</v>
      </c>
      <c r="E21" s="493">
        <f>+E22+E23+E24+E25+E26</f>
        <v>19600000</v>
      </c>
    </row>
    <row r="22" spans="1:5" s="494" customFormat="1" ht="12" customHeight="1">
      <c r="A22" s="495" t="s">
        <v>96</v>
      </c>
      <c r="B22" s="496" t="s">
        <v>274</v>
      </c>
      <c r="C22" s="497">
        <v>0</v>
      </c>
      <c r="D22" s="497">
        <v>0</v>
      </c>
      <c r="E22" s="497">
        <v>0</v>
      </c>
    </row>
    <row r="23" spans="1:5" s="494" customFormat="1" ht="12" customHeight="1">
      <c r="A23" s="498" t="s">
        <v>97</v>
      </c>
      <c r="B23" s="499" t="s">
        <v>275</v>
      </c>
      <c r="C23" s="500"/>
      <c r="D23" s="500"/>
      <c r="E23" s="500"/>
    </row>
    <row r="24" spans="1:5" s="494" customFormat="1" ht="12" customHeight="1">
      <c r="A24" s="498" t="s">
        <v>98</v>
      </c>
      <c r="B24" s="499" t="s">
        <v>495</v>
      </c>
      <c r="C24" s="500"/>
      <c r="D24" s="500"/>
      <c r="E24" s="500"/>
    </row>
    <row r="25" spans="1:5" s="494" customFormat="1" ht="12" customHeight="1">
      <c r="A25" s="498" t="s">
        <v>99</v>
      </c>
      <c r="B25" s="499" t="s">
        <v>496</v>
      </c>
      <c r="C25" s="500"/>
      <c r="D25" s="500"/>
      <c r="E25" s="500"/>
    </row>
    <row r="26" spans="1:5" s="494" customFormat="1" ht="12" customHeight="1">
      <c r="A26" s="498" t="s">
        <v>175</v>
      </c>
      <c r="B26" s="499" t="s">
        <v>276</v>
      </c>
      <c r="C26" s="500">
        <v>9800000</v>
      </c>
      <c r="D26" s="500">
        <v>9800000</v>
      </c>
      <c r="E26" s="500">
        <f>C26+D26</f>
        <v>19600000</v>
      </c>
    </row>
    <row r="27" spans="1:5" s="494" customFormat="1" ht="12" customHeight="1" thickBot="1">
      <c r="A27" s="501" t="s">
        <v>176</v>
      </c>
      <c r="B27" s="502" t="s">
        <v>277</v>
      </c>
      <c r="C27" s="504"/>
      <c r="D27" s="504"/>
      <c r="E27" s="504"/>
    </row>
    <row r="28" spans="1:5" s="494" customFormat="1" ht="12" customHeight="1" thickBot="1">
      <c r="A28" s="491" t="s">
        <v>177</v>
      </c>
      <c r="B28" s="492" t="s">
        <v>278</v>
      </c>
      <c r="C28" s="505">
        <f>+C29+C32+C33+C34</f>
        <v>60200000</v>
      </c>
      <c r="D28" s="505">
        <f>+D29+D32+D33+D34</f>
        <v>60200000</v>
      </c>
      <c r="E28" s="505">
        <f>+E29+E32+E33+E34</f>
        <v>60200000</v>
      </c>
    </row>
    <row r="29" spans="1:5" s="494" customFormat="1" ht="12" customHeight="1">
      <c r="A29" s="495" t="s">
        <v>279</v>
      </c>
      <c r="B29" s="496" t="s">
        <v>285</v>
      </c>
      <c r="C29" s="506">
        <f>+C30+C31</f>
        <v>50000000</v>
      </c>
      <c r="D29" s="506">
        <f>+D30+D31</f>
        <v>50000000</v>
      </c>
      <c r="E29" s="506">
        <f>+E30+E31</f>
        <v>50000000</v>
      </c>
    </row>
    <row r="30" spans="1:5" s="494" customFormat="1" ht="12" customHeight="1">
      <c r="A30" s="498" t="s">
        <v>280</v>
      </c>
      <c r="B30" s="499" t="s">
        <v>286</v>
      </c>
      <c r="C30" s="500">
        <v>10000000</v>
      </c>
      <c r="D30" s="500">
        <v>10000000</v>
      </c>
      <c r="E30" s="500">
        <v>10000000</v>
      </c>
    </row>
    <row r="31" spans="1:5" s="494" customFormat="1" ht="12" customHeight="1">
      <c r="A31" s="498" t="s">
        <v>281</v>
      </c>
      <c r="B31" s="499" t="s">
        <v>287</v>
      </c>
      <c r="C31" s="500">
        <v>40000000</v>
      </c>
      <c r="D31" s="500">
        <v>40000000</v>
      </c>
      <c r="E31" s="500">
        <v>40000000</v>
      </c>
    </row>
    <row r="32" spans="1:5" s="494" customFormat="1" ht="12" customHeight="1">
      <c r="A32" s="498" t="s">
        <v>282</v>
      </c>
      <c r="B32" s="499" t="s">
        <v>288</v>
      </c>
      <c r="C32" s="500">
        <v>4000000</v>
      </c>
      <c r="D32" s="500">
        <v>4000000</v>
      </c>
      <c r="E32" s="500">
        <v>4000000</v>
      </c>
    </row>
    <row r="33" spans="1:5" s="494" customFormat="1" ht="12" customHeight="1">
      <c r="A33" s="498" t="s">
        <v>283</v>
      </c>
      <c r="B33" s="499" t="s">
        <v>289</v>
      </c>
      <c r="C33" s="500">
        <v>3000000</v>
      </c>
      <c r="D33" s="500">
        <v>3000000</v>
      </c>
      <c r="E33" s="500">
        <v>3000000</v>
      </c>
    </row>
    <row r="34" spans="1:5" s="494" customFormat="1" ht="12" customHeight="1" thickBot="1">
      <c r="A34" s="501" t="s">
        <v>284</v>
      </c>
      <c r="B34" s="502" t="s">
        <v>290</v>
      </c>
      <c r="C34" s="504">
        <v>3200000</v>
      </c>
      <c r="D34" s="504">
        <v>3200000</v>
      </c>
      <c r="E34" s="504">
        <v>3200000</v>
      </c>
    </row>
    <row r="35" spans="1:5" s="494" customFormat="1" ht="12" customHeight="1" thickBot="1">
      <c r="A35" s="491" t="s">
        <v>24</v>
      </c>
      <c r="B35" s="492" t="s">
        <v>291</v>
      </c>
      <c r="C35" s="493">
        <f>SUM(C36:C45)</f>
        <v>31025876</v>
      </c>
      <c r="D35" s="493">
        <f>SUM(D36:D45)</f>
        <v>31025876</v>
      </c>
      <c r="E35" s="493">
        <f>SUM(E36:E45)</f>
        <v>31025876</v>
      </c>
    </row>
    <row r="36" spans="1:5" s="494" customFormat="1" ht="12" customHeight="1">
      <c r="A36" s="495" t="s">
        <v>100</v>
      </c>
      <c r="B36" s="496" t="s">
        <v>294</v>
      </c>
      <c r="C36" s="497"/>
      <c r="D36" s="497"/>
      <c r="E36" s="497"/>
    </row>
    <row r="37" spans="1:5" s="494" customFormat="1" ht="12" customHeight="1">
      <c r="A37" s="498" t="s">
        <v>101</v>
      </c>
      <c r="B37" s="499" t="s">
        <v>295</v>
      </c>
      <c r="C37" s="500">
        <v>7527571</v>
      </c>
      <c r="D37" s="500">
        <v>7527571</v>
      </c>
      <c r="E37" s="500">
        <v>7527571</v>
      </c>
    </row>
    <row r="38" spans="1:5" s="494" customFormat="1" ht="12" customHeight="1">
      <c r="A38" s="498" t="s">
        <v>102</v>
      </c>
      <c r="B38" s="499" t="s">
        <v>296</v>
      </c>
      <c r="C38" s="500">
        <v>1100000</v>
      </c>
      <c r="D38" s="500">
        <v>1100000</v>
      </c>
      <c r="E38" s="500">
        <v>1100000</v>
      </c>
    </row>
    <row r="39" spans="1:5" s="494" customFormat="1" ht="12" customHeight="1">
      <c r="A39" s="498" t="s">
        <v>179</v>
      </c>
      <c r="B39" s="499" t="s">
        <v>297</v>
      </c>
      <c r="C39" s="500">
        <v>4775711</v>
      </c>
      <c r="D39" s="500">
        <v>4775711</v>
      </c>
      <c r="E39" s="500">
        <v>4775711</v>
      </c>
    </row>
    <row r="40" spans="1:5" s="494" customFormat="1" ht="12" customHeight="1">
      <c r="A40" s="498" t="s">
        <v>180</v>
      </c>
      <c r="B40" s="499" t="s">
        <v>298</v>
      </c>
      <c r="C40" s="500">
        <v>11900000</v>
      </c>
      <c r="D40" s="500">
        <v>11900000</v>
      </c>
      <c r="E40" s="500">
        <v>11900000</v>
      </c>
    </row>
    <row r="41" spans="1:5" s="494" customFormat="1" ht="12" customHeight="1">
      <c r="A41" s="498" t="s">
        <v>181</v>
      </c>
      <c r="B41" s="499" t="s">
        <v>299</v>
      </c>
      <c r="C41" s="500">
        <f>1909594+3213000</f>
        <v>5122594</v>
      </c>
      <c r="D41" s="500">
        <f>1909594+3213000</f>
        <v>5122594</v>
      </c>
      <c r="E41" s="500">
        <f>1909594+3213000</f>
        <v>5122594</v>
      </c>
    </row>
    <row r="42" spans="1:5" s="494" customFormat="1" ht="12" customHeight="1">
      <c r="A42" s="498" t="s">
        <v>182</v>
      </c>
      <c r="B42" s="499" t="s">
        <v>300</v>
      </c>
      <c r="C42" s="500">
        <v>0</v>
      </c>
      <c r="D42" s="500">
        <v>0</v>
      </c>
      <c r="E42" s="500">
        <v>0</v>
      </c>
    </row>
    <row r="43" spans="1:5" s="494" customFormat="1" ht="12" customHeight="1">
      <c r="A43" s="498" t="s">
        <v>183</v>
      </c>
      <c r="B43" s="499" t="s">
        <v>301</v>
      </c>
      <c r="C43" s="500">
        <v>600000</v>
      </c>
      <c r="D43" s="500">
        <v>600000</v>
      </c>
      <c r="E43" s="500">
        <v>600000</v>
      </c>
    </row>
    <row r="44" spans="1:5" s="494" customFormat="1" ht="12" customHeight="1">
      <c r="A44" s="498" t="s">
        <v>292</v>
      </c>
      <c r="B44" s="499" t="s">
        <v>302</v>
      </c>
      <c r="C44" s="507"/>
      <c r="D44" s="507"/>
      <c r="E44" s="500">
        <f>C44+D44</f>
        <v>0</v>
      </c>
    </row>
    <row r="45" spans="1:5" s="494" customFormat="1" ht="12" customHeight="1" thickBot="1">
      <c r="A45" s="501" t="s">
        <v>293</v>
      </c>
      <c r="B45" s="502" t="s">
        <v>303</v>
      </c>
      <c r="C45" s="508">
        <v>0</v>
      </c>
      <c r="D45" s="508">
        <v>0</v>
      </c>
      <c r="E45" s="508">
        <v>0</v>
      </c>
    </row>
    <row r="46" spans="1:5" s="494" customFormat="1" ht="12" customHeight="1" thickBot="1">
      <c r="A46" s="491" t="s">
        <v>25</v>
      </c>
      <c r="B46" s="492" t="s">
        <v>304</v>
      </c>
      <c r="C46" s="493">
        <f>SUM(C47:C51)</f>
        <v>0</v>
      </c>
      <c r="D46" s="493">
        <f>SUM(D47:D51)</f>
        <v>0</v>
      </c>
      <c r="E46" s="493">
        <f>SUM(E47:E51)</f>
        <v>0</v>
      </c>
    </row>
    <row r="47" spans="1:5" s="494" customFormat="1" ht="12" customHeight="1">
      <c r="A47" s="495" t="s">
        <v>103</v>
      </c>
      <c r="B47" s="496" t="s">
        <v>308</v>
      </c>
      <c r="C47" s="509"/>
      <c r="D47" s="509"/>
      <c r="E47" s="509"/>
    </row>
    <row r="48" spans="1:5" s="494" customFormat="1" ht="12" customHeight="1">
      <c r="A48" s="498" t="s">
        <v>104</v>
      </c>
      <c r="B48" s="499" t="s">
        <v>309</v>
      </c>
      <c r="C48" s="507"/>
      <c r="D48" s="507"/>
      <c r="E48" s="507"/>
    </row>
    <row r="49" spans="1:5" s="494" customFormat="1" ht="12" customHeight="1">
      <c r="A49" s="498" t="s">
        <v>305</v>
      </c>
      <c r="B49" s="499" t="s">
        <v>310</v>
      </c>
      <c r="C49" s="507"/>
      <c r="D49" s="507"/>
      <c r="E49" s="507"/>
    </row>
    <row r="50" spans="1:5" s="494" customFormat="1" ht="12" customHeight="1">
      <c r="A50" s="498" t="s">
        <v>306</v>
      </c>
      <c r="B50" s="499" t="s">
        <v>311</v>
      </c>
      <c r="C50" s="507"/>
      <c r="D50" s="507"/>
      <c r="E50" s="507"/>
    </row>
    <row r="51" spans="1:5" s="494" customFormat="1" ht="12" customHeight="1" thickBot="1">
      <c r="A51" s="501" t="s">
        <v>307</v>
      </c>
      <c r="B51" s="502" t="s">
        <v>312</v>
      </c>
      <c r="C51" s="508"/>
      <c r="D51" s="508"/>
      <c r="E51" s="508"/>
    </row>
    <row r="52" spans="1:5" s="494" customFormat="1" ht="12" customHeight="1" thickBot="1">
      <c r="A52" s="491" t="s">
        <v>184</v>
      </c>
      <c r="B52" s="492" t="s">
        <v>313</v>
      </c>
      <c r="C52" s="493">
        <f>SUM(C53:C55)</f>
        <v>0</v>
      </c>
      <c r="D52" s="493">
        <f>SUM(D53:D55)</f>
        <v>0</v>
      </c>
      <c r="E52" s="493">
        <f>SUM(E53:E55)</f>
        <v>0</v>
      </c>
    </row>
    <row r="53" spans="1:5" s="494" customFormat="1" ht="12" customHeight="1">
      <c r="A53" s="495" t="s">
        <v>105</v>
      </c>
      <c r="B53" s="496" t="s">
        <v>314</v>
      </c>
      <c r="C53" s="497"/>
      <c r="D53" s="497"/>
      <c r="E53" s="497"/>
    </row>
    <row r="54" spans="1:5" s="494" customFormat="1" ht="12" customHeight="1">
      <c r="A54" s="498" t="s">
        <v>106</v>
      </c>
      <c r="B54" s="499" t="s">
        <v>497</v>
      </c>
      <c r="C54" s="500"/>
      <c r="D54" s="500"/>
      <c r="E54" s="500"/>
    </row>
    <row r="55" spans="1:5" s="494" customFormat="1" ht="12" customHeight="1">
      <c r="A55" s="498" t="s">
        <v>318</v>
      </c>
      <c r="B55" s="499" t="s">
        <v>316</v>
      </c>
      <c r="C55" s="500"/>
      <c r="D55" s="500"/>
      <c r="E55" s="500"/>
    </row>
    <row r="56" spans="1:5" s="494" customFormat="1" ht="12" customHeight="1" thickBot="1">
      <c r="A56" s="501" t="s">
        <v>319</v>
      </c>
      <c r="B56" s="502" t="s">
        <v>317</v>
      </c>
      <c r="C56" s="504"/>
      <c r="D56" s="504"/>
      <c r="E56" s="504"/>
    </row>
    <row r="57" spans="1:5" s="494" customFormat="1" ht="12" customHeight="1" thickBot="1">
      <c r="A57" s="491" t="s">
        <v>27</v>
      </c>
      <c r="B57" s="503" t="s">
        <v>320</v>
      </c>
      <c r="C57" s="493">
        <f>SUM(C58:C60)</f>
        <v>0</v>
      </c>
      <c r="D57" s="493">
        <f>SUM(D58:D60)</f>
        <v>0</v>
      </c>
      <c r="E57" s="493">
        <f>SUM(E58:E60)</f>
        <v>0</v>
      </c>
    </row>
    <row r="58" spans="1:5" s="494" customFormat="1" ht="12" customHeight="1">
      <c r="A58" s="495" t="s">
        <v>185</v>
      </c>
      <c r="B58" s="496" t="s">
        <v>322</v>
      </c>
      <c r="C58" s="507"/>
      <c r="D58" s="507"/>
      <c r="E58" s="507"/>
    </row>
    <row r="59" spans="1:5" s="494" customFormat="1" ht="12" customHeight="1">
      <c r="A59" s="498" t="s">
        <v>186</v>
      </c>
      <c r="B59" s="499" t="s">
        <v>498</v>
      </c>
      <c r="C59" s="507"/>
      <c r="D59" s="507"/>
      <c r="E59" s="507"/>
    </row>
    <row r="60" spans="1:5" s="494" customFormat="1" ht="12" customHeight="1">
      <c r="A60" s="498" t="s">
        <v>235</v>
      </c>
      <c r="B60" s="499" t="s">
        <v>323</v>
      </c>
      <c r="C60" s="507">
        <v>0</v>
      </c>
      <c r="D60" s="507">
        <v>0</v>
      </c>
      <c r="E60" s="507">
        <v>0</v>
      </c>
    </row>
    <row r="61" spans="1:5" s="494" customFormat="1" ht="12" customHeight="1" thickBot="1">
      <c r="A61" s="501" t="s">
        <v>321</v>
      </c>
      <c r="B61" s="502" t="s">
        <v>324</v>
      </c>
      <c r="C61" s="507"/>
      <c r="D61" s="507"/>
      <c r="E61" s="507"/>
    </row>
    <row r="62" spans="1:5" s="494" customFormat="1" ht="12" customHeight="1" thickBot="1">
      <c r="A62" s="491" t="s">
        <v>28</v>
      </c>
      <c r="B62" s="492" t="s">
        <v>325</v>
      </c>
      <c r="C62" s="505">
        <f>+C7+C14+C21+C28+C35+C46+C52+C57</f>
        <v>246130027</v>
      </c>
      <c r="D62" s="505">
        <f>+D7+D14+D21+D28+D35+D46+D52+D57</f>
        <v>253385234.55</v>
      </c>
      <c r="E62" s="505">
        <f>+E7+E14+E21+E28+E35+E46+E52+E57</f>
        <v>270803202.4775001</v>
      </c>
    </row>
    <row r="63" spans="1:5" s="494" customFormat="1" ht="12" customHeight="1" thickBot="1">
      <c r="A63" s="510" t="s">
        <v>326</v>
      </c>
      <c r="B63" s="503" t="s">
        <v>327</v>
      </c>
      <c r="C63" s="493">
        <f>SUM(C64:C66)</f>
        <v>0</v>
      </c>
      <c r="D63" s="493">
        <f>SUM(D64:D66)</f>
        <v>0</v>
      </c>
      <c r="E63" s="493">
        <f>SUM(E64:E66)</f>
        <v>0</v>
      </c>
    </row>
    <row r="64" spans="1:5" s="494" customFormat="1" ht="12" customHeight="1">
      <c r="A64" s="495" t="s">
        <v>360</v>
      </c>
      <c r="B64" s="496" t="s">
        <v>328</v>
      </c>
      <c r="C64" s="507"/>
      <c r="D64" s="507"/>
      <c r="E64" s="507"/>
    </row>
    <row r="65" spans="1:5" s="494" customFormat="1" ht="12" customHeight="1">
      <c r="A65" s="498" t="s">
        <v>369</v>
      </c>
      <c r="B65" s="499" t="s">
        <v>329</v>
      </c>
      <c r="C65" s="507"/>
      <c r="D65" s="507"/>
      <c r="E65" s="507"/>
    </row>
    <row r="66" spans="1:5" s="494" customFormat="1" ht="12" customHeight="1" thickBot="1">
      <c r="A66" s="501" t="s">
        <v>370</v>
      </c>
      <c r="B66" s="511" t="s">
        <v>330</v>
      </c>
      <c r="C66" s="507"/>
      <c r="D66" s="507"/>
      <c r="E66" s="507"/>
    </row>
    <row r="67" spans="1:5" s="494" customFormat="1" ht="12" customHeight="1" thickBot="1">
      <c r="A67" s="510" t="s">
        <v>331</v>
      </c>
      <c r="B67" s="503" t="s">
        <v>332</v>
      </c>
      <c r="C67" s="493">
        <f>SUM(C68:C71)</f>
        <v>0</v>
      </c>
      <c r="D67" s="493">
        <f>SUM(D68:D71)</f>
        <v>0</v>
      </c>
      <c r="E67" s="493">
        <f>SUM(E68:E71)</f>
        <v>0</v>
      </c>
    </row>
    <row r="68" spans="1:5" s="494" customFormat="1" ht="12" customHeight="1">
      <c r="A68" s="495" t="s">
        <v>153</v>
      </c>
      <c r="B68" s="496" t="s">
        <v>333</v>
      </c>
      <c r="C68" s="507"/>
      <c r="D68" s="507"/>
      <c r="E68" s="507"/>
    </row>
    <row r="69" spans="1:5" s="494" customFormat="1" ht="12" customHeight="1">
      <c r="A69" s="498" t="s">
        <v>154</v>
      </c>
      <c r="B69" s="499" t="s">
        <v>334</v>
      </c>
      <c r="C69" s="507"/>
      <c r="D69" s="507"/>
      <c r="E69" s="507"/>
    </row>
    <row r="70" spans="1:5" s="494" customFormat="1" ht="12" customHeight="1">
      <c r="A70" s="498" t="s">
        <v>361</v>
      </c>
      <c r="B70" s="499" t="s">
        <v>335</v>
      </c>
      <c r="C70" s="507"/>
      <c r="D70" s="507"/>
      <c r="E70" s="507"/>
    </row>
    <row r="71" spans="1:5" s="494" customFormat="1" ht="12" customHeight="1" thickBot="1">
      <c r="A71" s="501" t="s">
        <v>362</v>
      </c>
      <c r="B71" s="502" t="s">
        <v>336</v>
      </c>
      <c r="C71" s="507"/>
      <c r="D71" s="507"/>
      <c r="E71" s="507"/>
    </row>
    <row r="72" spans="1:5" s="494" customFormat="1" ht="12" customHeight="1" thickBot="1">
      <c r="A72" s="510" t="s">
        <v>337</v>
      </c>
      <c r="B72" s="503" t="s">
        <v>338</v>
      </c>
      <c r="C72" s="493">
        <f>SUM(C73:C74)</f>
        <v>156678969</v>
      </c>
      <c r="D72" s="493">
        <f>SUM(D73:D74)</f>
        <v>146027311</v>
      </c>
      <c r="E72" s="493">
        <f>SUM(E73:E74)</f>
        <v>155985598</v>
      </c>
    </row>
    <row r="73" spans="1:5" s="494" customFormat="1" ht="12" customHeight="1">
      <c r="A73" s="495" t="s">
        <v>363</v>
      </c>
      <c r="B73" s="496" t="s">
        <v>339</v>
      </c>
      <c r="C73" s="507">
        <f>155465622+1033680+179667</f>
        <v>156678969</v>
      </c>
      <c r="D73" s="507">
        <f>155465622+1033680+179667-10651658</f>
        <v>146027311</v>
      </c>
      <c r="E73" s="507">
        <f>155465622+1033680+179667-693371</f>
        <v>155985598</v>
      </c>
    </row>
    <row r="74" spans="1:5" s="494" customFormat="1" ht="12" customHeight="1" thickBot="1">
      <c r="A74" s="501" t="s">
        <v>364</v>
      </c>
      <c r="B74" s="502" t="s">
        <v>340</v>
      </c>
      <c r="C74" s="507"/>
      <c r="D74" s="507"/>
      <c r="E74" s="507"/>
    </row>
    <row r="75" spans="1:5" s="494" customFormat="1" ht="12" customHeight="1" thickBot="1">
      <c r="A75" s="510" t="s">
        <v>341</v>
      </c>
      <c r="B75" s="503" t="s">
        <v>342</v>
      </c>
      <c r="C75" s="493">
        <f>SUM(C76:C78)</f>
        <v>0</v>
      </c>
      <c r="D75" s="493">
        <f>SUM(D76:D78)</f>
        <v>0</v>
      </c>
      <c r="E75" s="493">
        <f>SUM(E76:E78)</f>
        <v>0</v>
      </c>
    </row>
    <row r="76" spans="1:5" s="494" customFormat="1" ht="12" customHeight="1">
      <c r="A76" s="495" t="s">
        <v>365</v>
      </c>
      <c r="B76" s="496" t="s">
        <v>343</v>
      </c>
      <c r="C76" s="507"/>
      <c r="D76" s="507"/>
      <c r="E76" s="507"/>
    </row>
    <row r="77" spans="1:5" s="494" customFormat="1" ht="12" customHeight="1">
      <c r="A77" s="498" t="s">
        <v>366</v>
      </c>
      <c r="B77" s="499" t="s">
        <v>344</v>
      </c>
      <c r="C77" s="507"/>
      <c r="D77" s="507"/>
      <c r="E77" s="507"/>
    </row>
    <row r="78" spans="1:5" s="494" customFormat="1" ht="12" customHeight="1" thickBot="1">
      <c r="A78" s="501" t="s">
        <v>367</v>
      </c>
      <c r="B78" s="502" t="s">
        <v>345</v>
      </c>
      <c r="C78" s="507"/>
      <c r="D78" s="507"/>
      <c r="E78" s="507"/>
    </row>
    <row r="79" spans="1:5" s="494" customFormat="1" ht="12" customHeight="1" thickBot="1">
      <c r="A79" s="510" t="s">
        <v>346</v>
      </c>
      <c r="B79" s="503" t="s">
        <v>368</v>
      </c>
      <c r="C79" s="493">
        <f>SUM(C80:C83)</f>
        <v>0</v>
      </c>
      <c r="D79" s="493">
        <f>SUM(D80:D83)</f>
        <v>0</v>
      </c>
      <c r="E79" s="493">
        <f>SUM(E80:E83)</f>
        <v>0</v>
      </c>
    </row>
    <row r="80" spans="1:5" s="494" customFormat="1" ht="12" customHeight="1">
      <c r="A80" s="512" t="s">
        <v>347</v>
      </c>
      <c r="B80" s="496" t="s">
        <v>348</v>
      </c>
      <c r="C80" s="507"/>
      <c r="D80" s="507"/>
      <c r="E80" s="507"/>
    </row>
    <row r="81" spans="1:5" s="494" customFormat="1" ht="12" customHeight="1">
      <c r="A81" s="513" t="s">
        <v>349</v>
      </c>
      <c r="B81" s="499" t="s">
        <v>350</v>
      </c>
      <c r="C81" s="507"/>
      <c r="D81" s="507"/>
      <c r="E81" s="507"/>
    </row>
    <row r="82" spans="1:5" s="494" customFormat="1" ht="12" customHeight="1">
      <c r="A82" s="513" t="s">
        <v>351</v>
      </c>
      <c r="B82" s="499" t="s">
        <v>352</v>
      </c>
      <c r="C82" s="507"/>
      <c r="D82" s="507"/>
      <c r="E82" s="507"/>
    </row>
    <row r="83" spans="1:5" s="494" customFormat="1" ht="12" customHeight="1" thickBot="1">
      <c r="A83" s="514" t="s">
        <v>353</v>
      </c>
      <c r="B83" s="502" t="s">
        <v>354</v>
      </c>
      <c r="C83" s="507"/>
      <c r="D83" s="507"/>
      <c r="E83" s="507"/>
    </row>
    <row r="84" spans="1:5" s="494" customFormat="1" ht="13.5" customHeight="1" thickBot="1">
      <c r="A84" s="510" t="s">
        <v>355</v>
      </c>
      <c r="B84" s="503" t="s">
        <v>356</v>
      </c>
      <c r="C84" s="515"/>
      <c r="D84" s="515"/>
      <c r="E84" s="515"/>
    </row>
    <row r="85" spans="1:5" s="494" customFormat="1" ht="15.75" customHeight="1" thickBot="1">
      <c r="A85" s="510" t="s">
        <v>357</v>
      </c>
      <c r="B85" s="516" t="s">
        <v>358</v>
      </c>
      <c r="C85" s="505">
        <f>+C63+C67+C72+C75+C79+C84</f>
        <v>156678969</v>
      </c>
      <c r="D85" s="505">
        <f>+D63+D67+D72+D75+D79+D84</f>
        <v>146027311</v>
      </c>
      <c r="E85" s="505">
        <f>+E63+E67+E72+E75+E79+E84</f>
        <v>155985598</v>
      </c>
    </row>
    <row r="86" spans="1:5" s="494" customFormat="1" ht="16.5" customHeight="1" thickBot="1">
      <c r="A86" s="517" t="s">
        <v>371</v>
      </c>
      <c r="B86" s="518" t="s">
        <v>359</v>
      </c>
      <c r="C86" s="505">
        <f>+C62+C85</f>
        <v>402808996</v>
      </c>
      <c r="D86" s="505">
        <f>+D62+D85</f>
        <v>399412545.55</v>
      </c>
      <c r="E86" s="505">
        <f>+E62+E85</f>
        <v>426788800.4775001</v>
      </c>
    </row>
    <row r="87" spans="1:5" s="494" customFormat="1" ht="83.25" customHeight="1">
      <c r="A87" s="519"/>
      <c r="B87" s="520"/>
      <c r="C87" s="521"/>
      <c r="D87" s="521"/>
      <c r="E87" s="521"/>
    </row>
    <row r="88" spans="1:5" ht="16.5" customHeight="1">
      <c r="A88" s="728" t="s">
        <v>48</v>
      </c>
      <c r="B88" s="728"/>
      <c r="C88" s="728"/>
      <c r="D88" s="482"/>
      <c r="E88" s="482"/>
    </row>
    <row r="89" spans="1:5" ht="16.5" customHeight="1" thickBot="1">
      <c r="A89" s="731" t="s">
        <v>157</v>
      </c>
      <c r="B89" s="731"/>
      <c r="C89" s="522"/>
      <c r="D89" s="522"/>
      <c r="E89" s="522" t="s">
        <v>535</v>
      </c>
    </row>
    <row r="90" spans="1:5" ht="37.5" customHeight="1" thickBot="1">
      <c r="A90" s="484" t="s">
        <v>76</v>
      </c>
      <c r="B90" s="485" t="s">
        <v>49</v>
      </c>
      <c r="C90" s="486" t="s">
        <v>586</v>
      </c>
      <c r="D90" s="486" t="s">
        <v>580</v>
      </c>
      <c r="E90" s="486" t="s">
        <v>581</v>
      </c>
    </row>
    <row r="91" spans="1:5" s="490" customFormat="1" ht="12" customHeight="1" thickBot="1">
      <c r="A91" s="523">
        <v>1</v>
      </c>
      <c r="B91" s="524">
        <v>2</v>
      </c>
      <c r="C91" s="525">
        <v>3</v>
      </c>
      <c r="D91" s="525">
        <v>4</v>
      </c>
      <c r="E91" s="525">
        <v>5</v>
      </c>
    </row>
    <row r="92" spans="1:5" ht="12" customHeight="1" thickBot="1">
      <c r="A92" s="526" t="s">
        <v>20</v>
      </c>
      <c r="B92" s="527" t="s">
        <v>374</v>
      </c>
      <c r="C92" s="528">
        <f>SUM(C93:C97)</f>
        <v>302579587</v>
      </c>
      <c r="D92" s="528">
        <f>SUM(D93:D97)</f>
        <v>332012545.70000005</v>
      </c>
      <c r="E92" s="528">
        <f>SUM(E93:E97)</f>
        <v>364388800.27000004</v>
      </c>
    </row>
    <row r="93" spans="1:5" ht="12" customHeight="1">
      <c r="A93" s="529" t="s">
        <v>107</v>
      </c>
      <c r="B93" s="530" t="s">
        <v>50</v>
      </c>
      <c r="C93" s="531">
        <f>43467732+44980308+31378352</f>
        <v>119826392</v>
      </c>
      <c r="D93" s="532">
        <f>C93*1.1</f>
        <v>131809031.20000002</v>
      </c>
      <c r="E93" s="532">
        <f>D93*1.1</f>
        <v>144989934.32000002</v>
      </c>
    </row>
    <row r="94" spans="1:5" ht="12" customHeight="1">
      <c r="A94" s="498" t="s">
        <v>108</v>
      </c>
      <c r="B94" s="533" t="s">
        <v>187</v>
      </c>
      <c r="C94" s="500">
        <f>9861093+9349824+6259779</f>
        <v>25470696</v>
      </c>
      <c r="D94" s="534">
        <f aca="true" t="shared" si="1" ref="D94:E96">C94*1.1</f>
        <v>28017765.6</v>
      </c>
      <c r="E94" s="534">
        <f t="shared" si="1"/>
        <v>30819542.160000004</v>
      </c>
    </row>
    <row r="95" spans="1:5" ht="12" customHeight="1">
      <c r="A95" s="498" t="s">
        <v>109</v>
      </c>
      <c r="B95" s="533" t="s">
        <v>143</v>
      </c>
      <c r="C95" s="504">
        <f>92347859+43032500+5697440</f>
        <v>141077799</v>
      </c>
      <c r="D95" s="534">
        <f t="shared" si="1"/>
        <v>155185578.9</v>
      </c>
      <c r="E95" s="534">
        <f t="shared" si="1"/>
        <v>170704136.79000002</v>
      </c>
    </row>
    <row r="96" spans="1:5" ht="12" customHeight="1">
      <c r="A96" s="498" t="s">
        <v>110</v>
      </c>
      <c r="B96" s="535" t="s">
        <v>188</v>
      </c>
      <c r="C96" s="504">
        <v>7954700</v>
      </c>
      <c r="D96" s="534">
        <f t="shared" si="1"/>
        <v>8750170</v>
      </c>
      <c r="E96" s="534">
        <f t="shared" si="1"/>
        <v>9625187</v>
      </c>
    </row>
    <row r="97" spans="1:5" ht="12" customHeight="1">
      <c r="A97" s="498" t="s">
        <v>121</v>
      </c>
      <c r="B97" s="536" t="s">
        <v>189</v>
      </c>
      <c r="C97" s="504">
        <f>SUM(C98:C107)</f>
        <v>8250000</v>
      </c>
      <c r="D97" s="504">
        <f>SUM(D98:D107)</f>
        <v>8250000</v>
      </c>
      <c r="E97" s="504">
        <f>SUM(E98:E107)</f>
        <v>8250000</v>
      </c>
    </row>
    <row r="98" spans="1:5" ht="12" customHeight="1">
      <c r="A98" s="498" t="s">
        <v>111</v>
      </c>
      <c r="B98" s="533" t="s">
        <v>375</v>
      </c>
      <c r="C98" s="504"/>
      <c r="D98" s="504"/>
      <c r="E98" s="504"/>
    </row>
    <row r="99" spans="1:5" ht="12" customHeight="1">
      <c r="A99" s="498" t="s">
        <v>112</v>
      </c>
      <c r="B99" s="537" t="s">
        <v>376</v>
      </c>
      <c r="C99" s="504"/>
      <c r="D99" s="504"/>
      <c r="E99" s="504"/>
    </row>
    <row r="100" spans="1:5" ht="12" customHeight="1">
      <c r="A100" s="498" t="s">
        <v>122</v>
      </c>
      <c r="B100" s="538" t="s">
        <v>377</v>
      </c>
      <c r="C100" s="504"/>
      <c r="D100" s="504"/>
      <c r="E100" s="504"/>
    </row>
    <row r="101" spans="1:5" ht="12" customHeight="1">
      <c r="A101" s="498" t="s">
        <v>123</v>
      </c>
      <c r="B101" s="538" t="s">
        <v>378</v>
      </c>
      <c r="C101" s="504"/>
      <c r="D101" s="504"/>
      <c r="E101" s="504"/>
    </row>
    <row r="102" spans="1:5" ht="12" customHeight="1">
      <c r="A102" s="498" t="s">
        <v>124</v>
      </c>
      <c r="B102" s="537" t="s">
        <v>379</v>
      </c>
      <c r="C102" s="504"/>
      <c r="D102" s="504"/>
      <c r="E102" s="504"/>
    </row>
    <row r="103" spans="1:5" ht="12" customHeight="1">
      <c r="A103" s="498" t="s">
        <v>125</v>
      </c>
      <c r="B103" s="537" t="s">
        <v>380</v>
      </c>
      <c r="C103" s="504"/>
      <c r="D103" s="504"/>
      <c r="E103" s="504"/>
    </row>
    <row r="104" spans="1:5" ht="12" customHeight="1">
      <c r="A104" s="498" t="s">
        <v>127</v>
      </c>
      <c r="B104" s="538" t="s">
        <v>381</v>
      </c>
      <c r="C104" s="504"/>
      <c r="D104" s="504"/>
      <c r="E104" s="504"/>
    </row>
    <row r="105" spans="1:5" ht="12" customHeight="1">
      <c r="A105" s="539" t="s">
        <v>190</v>
      </c>
      <c r="B105" s="540" t="s">
        <v>382</v>
      </c>
      <c r="C105" s="504"/>
      <c r="D105" s="504"/>
      <c r="E105" s="504"/>
    </row>
    <row r="106" spans="1:5" ht="12" customHeight="1">
      <c r="A106" s="498" t="s">
        <v>372</v>
      </c>
      <c r="B106" s="540" t="s">
        <v>383</v>
      </c>
      <c r="C106" s="504"/>
      <c r="D106" s="504"/>
      <c r="E106" s="504"/>
    </row>
    <row r="107" spans="1:5" ht="12" customHeight="1" thickBot="1">
      <c r="A107" s="541" t="s">
        <v>373</v>
      </c>
      <c r="B107" s="542" t="s">
        <v>384</v>
      </c>
      <c r="C107" s="543">
        <v>8250000</v>
      </c>
      <c r="D107" s="543">
        <v>8250000</v>
      </c>
      <c r="E107" s="543">
        <v>8250000</v>
      </c>
    </row>
    <row r="108" spans="1:5" ht="12" customHeight="1" thickBot="1">
      <c r="A108" s="491" t="s">
        <v>21</v>
      </c>
      <c r="B108" s="544" t="s">
        <v>385</v>
      </c>
      <c r="C108" s="493">
        <f>+C109+C111+C113</f>
        <v>58173656</v>
      </c>
      <c r="D108" s="493">
        <f>+D109+D111+D113</f>
        <v>52900000</v>
      </c>
      <c r="E108" s="493">
        <f>+E109+E111+E113</f>
        <v>47900000</v>
      </c>
    </row>
    <row r="109" spans="1:5" ht="12" customHeight="1">
      <c r="A109" s="495" t="s">
        <v>113</v>
      </c>
      <c r="B109" s="533" t="s">
        <v>234</v>
      </c>
      <c r="C109" s="497">
        <f>24092687+600000+405000</f>
        <v>25097687</v>
      </c>
      <c r="D109" s="497">
        <v>20000000</v>
      </c>
      <c r="E109" s="497">
        <v>20000000</v>
      </c>
    </row>
    <row r="110" spans="1:5" ht="12" customHeight="1">
      <c r="A110" s="495" t="s">
        <v>114</v>
      </c>
      <c r="B110" s="545" t="s">
        <v>389</v>
      </c>
      <c r="C110" s="497"/>
      <c r="D110" s="497"/>
      <c r="E110" s="497"/>
    </row>
    <row r="111" spans="1:5" ht="12" customHeight="1">
      <c r="A111" s="495" t="s">
        <v>115</v>
      </c>
      <c r="B111" s="545" t="s">
        <v>191</v>
      </c>
      <c r="C111" s="500">
        <v>30175969</v>
      </c>
      <c r="D111" s="500">
        <v>30000000</v>
      </c>
      <c r="E111" s="500">
        <v>25000000</v>
      </c>
    </row>
    <row r="112" spans="1:5" ht="12" customHeight="1">
      <c r="A112" s="495" t="s">
        <v>116</v>
      </c>
      <c r="B112" s="545" t="s">
        <v>390</v>
      </c>
      <c r="C112" s="546"/>
      <c r="D112" s="546"/>
      <c r="E112" s="546"/>
    </row>
    <row r="113" spans="1:5" ht="12" customHeight="1">
      <c r="A113" s="495" t="s">
        <v>117</v>
      </c>
      <c r="B113" s="547" t="s">
        <v>236</v>
      </c>
      <c r="C113" s="546">
        <v>2900000</v>
      </c>
      <c r="D113" s="546">
        <v>2900000</v>
      </c>
      <c r="E113" s="546">
        <v>2900000</v>
      </c>
    </row>
    <row r="114" spans="1:5" ht="12" customHeight="1">
      <c r="A114" s="495" t="s">
        <v>126</v>
      </c>
      <c r="B114" s="548" t="s">
        <v>499</v>
      </c>
      <c r="C114" s="546"/>
      <c r="D114" s="546"/>
      <c r="E114" s="546"/>
    </row>
    <row r="115" spans="1:5" ht="12" customHeight="1">
      <c r="A115" s="495" t="s">
        <v>128</v>
      </c>
      <c r="B115" s="549" t="s">
        <v>395</v>
      </c>
      <c r="C115" s="546"/>
      <c r="D115" s="546"/>
      <c r="E115" s="546"/>
    </row>
    <row r="116" spans="1:5" ht="15.75">
      <c r="A116" s="495" t="s">
        <v>192</v>
      </c>
      <c r="B116" s="538" t="s">
        <v>378</v>
      </c>
      <c r="C116" s="546"/>
      <c r="D116" s="546"/>
      <c r="E116" s="546"/>
    </row>
    <row r="117" spans="1:5" ht="12" customHeight="1">
      <c r="A117" s="495" t="s">
        <v>193</v>
      </c>
      <c r="B117" s="538" t="s">
        <v>394</v>
      </c>
      <c r="C117" s="546"/>
      <c r="D117" s="546"/>
      <c r="E117" s="546"/>
    </row>
    <row r="118" spans="1:5" ht="12" customHeight="1">
      <c r="A118" s="495" t="s">
        <v>194</v>
      </c>
      <c r="B118" s="538" t="s">
        <v>393</v>
      </c>
      <c r="C118" s="546"/>
      <c r="D118" s="546"/>
      <c r="E118" s="546"/>
    </row>
    <row r="119" spans="1:5" ht="12" customHeight="1">
      <c r="A119" s="495" t="s">
        <v>386</v>
      </c>
      <c r="B119" s="538" t="s">
        <v>381</v>
      </c>
      <c r="C119" s="546"/>
      <c r="D119" s="546"/>
      <c r="E119" s="546"/>
    </row>
    <row r="120" spans="1:5" ht="12" customHeight="1">
      <c r="A120" s="495" t="s">
        <v>387</v>
      </c>
      <c r="B120" s="538" t="s">
        <v>392</v>
      </c>
      <c r="C120" s="546"/>
      <c r="D120" s="546"/>
      <c r="E120" s="546"/>
    </row>
    <row r="121" spans="1:5" ht="16.5" thickBot="1">
      <c r="A121" s="539" t="s">
        <v>388</v>
      </c>
      <c r="B121" s="538" t="s">
        <v>391</v>
      </c>
      <c r="C121" s="550">
        <v>2900000</v>
      </c>
      <c r="D121" s="550">
        <v>2900000</v>
      </c>
      <c r="E121" s="550">
        <v>2900000</v>
      </c>
    </row>
    <row r="122" spans="1:5" ht="12" customHeight="1" thickBot="1">
      <c r="A122" s="491" t="s">
        <v>22</v>
      </c>
      <c r="B122" s="551" t="s">
        <v>396</v>
      </c>
      <c r="C122" s="493">
        <f>+C123+C124</f>
        <v>37406066</v>
      </c>
      <c r="D122" s="493">
        <f>+D123+D124</f>
        <v>10000000</v>
      </c>
      <c r="E122" s="493">
        <f>+E123+E124</f>
        <v>10000000</v>
      </c>
    </row>
    <row r="123" spans="1:5" ht="12" customHeight="1">
      <c r="A123" s="495" t="s">
        <v>96</v>
      </c>
      <c r="B123" s="552" t="s">
        <v>63</v>
      </c>
      <c r="C123" s="497">
        <v>37406066</v>
      </c>
      <c r="D123" s="497">
        <v>10000000</v>
      </c>
      <c r="E123" s="497">
        <v>10000000</v>
      </c>
    </row>
    <row r="124" spans="1:5" ht="12" customHeight="1" thickBot="1">
      <c r="A124" s="501" t="s">
        <v>97</v>
      </c>
      <c r="B124" s="545" t="s">
        <v>64</v>
      </c>
      <c r="C124" s="504"/>
      <c r="D124" s="504"/>
      <c r="E124" s="504"/>
    </row>
    <row r="125" spans="1:5" ht="12" customHeight="1" thickBot="1">
      <c r="A125" s="491" t="s">
        <v>23</v>
      </c>
      <c r="B125" s="551" t="s">
        <v>397</v>
      </c>
      <c r="C125" s="493">
        <f>+C92+C108+C122</f>
        <v>398159309</v>
      </c>
      <c r="D125" s="493">
        <f>+D92+D108+D122</f>
        <v>394912545.70000005</v>
      </c>
      <c r="E125" s="493">
        <f>+E92+E108+E122</f>
        <v>422288800.27000004</v>
      </c>
    </row>
    <row r="126" spans="1:5" ht="12" customHeight="1" thickBot="1">
      <c r="A126" s="491" t="s">
        <v>24</v>
      </c>
      <c r="B126" s="551" t="s">
        <v>398</v>
      </c>
      <c r="C126" s="493">
        <f>+C127+C128+C129</f>
        <v>0</v>
      </c>
      <c r="D126" s="493">
        <f>+D127+D128+D129</f>
        <v>0</v>
      </c>
      <c r="E126" s="493">
        <f>+E127+E128+E129</f>
        <v>0</v>
      </c>
    </row>
    <row r="127" spans="1:5" ht="12" customHeight="1">
      <c r="A127" s="495" t="s">
        <v>100</v>
      </c>
      <c r="B127" s="552" t="s">
        <v>399</v>
      </c>
      <c r="C127" s="546"/>
      <c r="D127" s="546"/>
      <c r="E127" s="546"/>
    </row>
    <row r="128" spans="1:5" ht="12" customHeight="1">
      <c r="A128" s="495" t="s">
        <v>101</v>
      </c>
      <c r="B128" s="552" t="s">
        <v>400</v>
      </c>
      <c r="C128" s="546"/>
      <c r="D128" s="546"/>
      <c r="E128" s="546"/>
    </row>
    <row r="129" spans="1:5" ht="12" customHeight="1" thickBot="1">
      <c r="A129" s="539" t="s">
        <v>102</v>
      </c>
      <c r="B129" s="553" t="s">
        <v>401</v>
      </c>
      <c r="C129" s="546"/>
      <c r="D129" s="546"/>
      <c r="E129" s="546"/>
    </row>
    <row r="130" spans="1:5" ht="12" customHeight="1" thickBot="1">
      <c r="A130" s="491" t="s">
        <v>25</v>
      </c>
      <c r="B130" s="551" t="s">
        <v>458</v>
      </c>
      <c r="C130" s="493">
        <f>+C131+C132+C133+C134</f>
        <v>0</v>
      </c>
      <c r="D130" s="493">
        <f>+D131+D132+D133+D134</f>
        <v>0</v>
      </c>
      <c r="E130" s="493">
        <f>+E131+E132+E133+E134</f>
        <v>0</v>
      </c>
    </row>
    <row r="131" spans="1:5" ht="12" customHeight="1">
      <c r="A131" s="495" t="s">
        <v>103</v>
      </c>
      <c r="B131" s="552" t="s">
        <v>402</v>
      </c>
      <c r="C131" s="546"/>
      <c r="D131" s="546"/>
      <c r="E131" s="546"/>
    </row>
    <row r="132" spans="1:5" ht="12" customHeight="1">
      <c r="A132" s="495" t="s">
        <v>104</v>
      </c>
      <c r="B132" s="552" t="s">
        <v>403</v>
      </c>
      <c r="C132" s="546"/>
      <c r="D132" s="546"/>
      <c r="E132" s="546"/>
    </row>
    <row r="133" spans="1:5" ht="12" customHeight="1">
      <c r="A133" s="495" t="s">
        <v>305</v>
      </c>
      <c r="B133" s="552" t="s">
        <v>404</v>
      </c>
      <c r="C133" s="546"/>
      <c r="D133" s="546"/>
      <c r="E133" s="546"/>
    </row>
    <row r="134" spans="1:5" ht="12" customHeight="1" thickBot="1">
      <c r="A134" s="539" t="s">
        <v>306</v>
      </c>
      <c r="B134" s="553" t="s">
        <v>405</v>
      </c>
      <c r="C134" s="546"/>
      <c r="D134" s="546"/>
      <c r="E134" s="546"/>
    </row>
    <row r="135" spans="1:5" ht="12" customHeight="1" thickBot="1">
      <c r="A135" s="491" t="s">
        <v>26</v>
      </c>
      <c r="B135" s="551" t="s">
        <v>406</v>
      </c>
      <c r="C135" s="505">
        <f>+C136+C137+C138+C139</f>
        <v>4649687</v>
      </c>
      <c r="D135" s="505">
        <f>+D136+D137+D138+D139</f>
        <v>4500000</v>
      </c>
      <c r="E135" s="505">
        <f>+E136+E137+E138+E139</f>
        <v>4500000</v>
      </c>
    </row>
    <row r="136" spans="1:5" ht="12" customHeight="1">
      <c r="A136" s="495" t="s">
        <v>105</v>
      </c>
      <c r="B136" s="552" t="s">
        <v>407</v>
      </c>
      <c r="C136" s="546"/>
      <c r="D136" s="546"/>
      <c r="E136" s="546"/>
    </row>
    <row r="137" spans="1:5" ht="12" customHeight="1">
      <c r="A137" s="495" t="s">
        <v>106</v>
      </c>
      <c r="B137" s="552" t="s">
        <v>417</v>
      </c>
      <c r="C137" s="546">
        <v>4649687</v>
      </c>
      <c r="D137" s="546">
        <v>4500000</v>
      </c>
      <c r="E137" s="546">
        <v>4500000</v>
      </c>
    </row>
    <row r="138" spans="1:5" ht="12" customHeight="1">
      <c r="A138" s="495" t="s">
        <v>318</v>
      </c>
      <c r="B138" s="552" t="s">
        <v>408</v>
      </c>
      <c r="C138" s="546"/>
      <c r="D138" s="546"/>
      <c r="E138" s="546"/>
    </row>
    <row r="139" spans="1:5" ht="12" customHeight="1" thickBot="1">
      <c r="A139" s="539" t="s">
        <v>319</v>
      </c>
      <c r="B139" s="553" t="s">
        <v>409</v>
      </c>
      <c r="C139" s="546"/>
      <c r="D139" s="546"/>
      <c r="E139" s="546"/>
    </row>
    <row r="140" spans="1:5" ht="12" customHeight="1" thickBot="1">
      <c r="A140" s="491" t="s">
        <v>27</v>
      </c>
      <c r="B140" s="551" t="s">
        <v>410</v>
      </c>
      <c r="C140" s="554">
        <f>+C141+C142+C143+C144</f>
        <v>0</v>
      </c>
      <c r="D140" s="554">
        <f>+D141+D142+D143+D144</f>
        <v>0</v>
      </c>
      <c r="E140" s="554">
        <f>+E141+E142+E143+E144</f>
        <v>0</v>
      </c>
    </row>
    <row r="141" spans="1:5" ht="12" customHeight="1">
      <c r="A141" s="495" t="s">
        <v>185</v>
      </c>
      <c r="B141" s="552" t="s">
        <v>411</v>
      </c>
      <c r="C141" s="546"/>
      <c r="D141" s="546"/>
      <c r="E141" s="546"/>
    </row>
    <row r="142" spans="1:5" ht="12" customHeight="1">
      <c r="A142" s="495" t="s">
        <v>186</v>
      </c>
      <c r="B142" s="552" t="s">
        <v>412</v>
      </c>
      <c r="C142" s="546"/>
      <c r="D142" s="546"/>
      <c r="E142" s="546"/>
    </row>
    <row r="143" spans="1:5" ht="12" customHeight="1">
      <c r="A143" s="495" t="s">
        <v>235</v>
      </c>
      <c r="B143" s="552" t="s">
        <v>413</v>
      </c>
      <c r="C143" s="546"/>
      <c r="D143" s="546"/>
      <c r="E143" s="546"/>
    </row>
    <row r="144" spans="1:5" ht="12" customHeight="1" thickBot="1">
      <c r="A144" s="495" t="s">
        <v>321</v>
      </c>
      <c r="B144" s="552" t="s">
        <v>414</v>
      </c>
      <c r="C144" s="546"/>
      <c r="D144" s="546"/>
      <c r="E144" s="546"/>
    </row>
    <row r="145" spans="1:9" ht="15" customHeight="1" thickBot="1">
      <c r="A145" s="491" t="s">
        <v>28</v>
      </c>
      <c r="B145" s="551" t="s">
        <v>415</v>
      </c>
      <c r="C145" s="555">
        <f>+C126+C130+C135+C140</f>
        <v>4649687</v>
      </c>
      <c r="D145" s="555">
        <f>+D126+D130+D135+D140</f>
        <v>4500000</v>
      </c>
      <c r="E145" s="555">
        <f>+E126+E130+E135+E140</f>
        <v>4500000</v>
      </c>
      <c r="F145" s="556"/>
      <c r="G145" s="557"/>
      <c r="H145" s="557"/>
      <c r="I145" s="557"/>
    </row>
    <row r="146" spans="1:5" s="494" customFormat="1" ht="12.75" customHeight="1" thickBot="1">
      <c r="A146" s="558" t="s">
        <v>29</v>
      </c>
      <c r="B146" s="559" t="s">
        <v>416</v>
      </c>
      <c r="C146" s="555">
        <f>+C125+C145</f>
        <v>402808996</v>
      </c>
      <c r="D146" s="555">
        <f>+D125+D145</f>
        <v>399412545.70000005</v>
      </c>
      <c r="E146" s="555">
        <f>+E125+E145</f>
        <v>426788800.27000004</v>
      </c>
    </row>
    <row r="147" ht="7.5" customHeight="1"/>
    <row r="148" spans="1:5" ht="15.75">
      <c r="A148" s="732" t="s">
        <v>418</v>
      </c>
      <c r="B148" s="732"/>
      <c r="C148" s="732"/>
      <c r="D148" s="482"/>
      <c r="E148" s="482"/>
    </row>
    <row r="149" spans="1:5" ht="15" customHeight="1" thickBot="1">
      <c r="A149" s="730" t="s">
        <v>158</v>
      </c>
      <c r="B149" s="730"/>
      <c r="C149" s="483"/>
      <c r="D149" s="483"/>
      <c r="E149" s="483" t="s">
        <v>535</v>
      </c>
    </row>
    <row r="150" spans="1:5" ht="13.5" customHeight="1" thickBot="1">
      <c r="A150" s="491">
        <v>1</v>
      </c>
      <c r="B150" s="544" t="s">
        <v>419</v>
      </c>
      <c r="C150" s="493">
        <f>+C62-C125</f>
        <v>-152029282</v>
      </c>
      <c r="D150" s="493">
        <f>+D62-D125</f>
        <v>-141527311.15000004</v>
      </c>
      <c r="E150" s="493">
        <f>+E62-E125</f>
        <v>-151485597.79249996</v>
      </c>
    </row>
    <row r="151" spans="1:5" ht="27.75" customHeight="1" thickBot="1">
      <c r="A151" s="491" t="s">
        <v>21</v>
      </c>
      <c r="B151" s="544" t="s">
        <v>420</v>
      </c>
      <c r="C151" s="493">
        <f>+C85-C145</f>
        <v>152029282</v>
      </c>
      <c r="D151" s="493">
        <f>+D85-D145</f>
        <v>141527311</v>
      </c>
      <c r="E151" s="493">
        <f>+E85-E145</f>
        <v>151485598</v>
      </c>
    </row>
  </sheetData>
  <sheetProtection/>
  <mergeCells count="6">
    <mergeCell ref="A3:C3"/>
    <mergeCell ref="A4:B4"/>
    <mergeCell ref="A88:C88"/>
    <mergeCell ref="A89:B89"/>
    <mergeCell ref="A148:C148"/>
    <mergeCell ref="A149:B1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50"/>
  <sheetViews>
    <sheetView view="pageBreakPreview" zoomScaleNormal="120" zoomScaleSheetLayoutView="100" workbookViewId="0" topLeftCell="A1">
      <selection activeCell="G115" sqref="G115"/>
    </sheetView>
  </sheetViews>
  <sheetFormatPr defaultColWidth="9.00390625" defaultRowHeight="12.75"/>
  <cols>
    <col min="1" max="1" width="9.00390625" style="335" customWidth="1"/>
    <col min="2" max="2" width="75.875" style="335" customWidth="1"/>
    <col min="3" max="5" width="15.50390625" style="335" customWidth="1"/>
    <col min="6" max="6" width="9.00390625" style="36" customWidth="1"/>
    <col min="7" max="16384" width="9.375" style="36" customWidth="1"/>
  </cols>
  <sheetData>
    <row r="1" spans="1:5" ht="15.75" customHeight="1">
      <c r="A1" s="735" t="s">
        <v>17</v>
      </c>
      <c r="B1" s="735"/>
      <c r="C1" s="735"/>
      <c r="D1" s="735"/>
      <c r="E1" s="735"/>
    </row>
    <row r="2" spans="1:5" ht="15.75" customHeight="1" thickBot="1">
      <c r="A2" s="734" t="s">
        <v>156</v>
      </c>
      <c r="B2" s="734"/>
      <c r="C2" s="131"/>
      <c r="D2" s="131"/>
      <c r="E2" s="296" t="s">
        <v>535</v>
      </c>
    </row>
    <row r="3" spans="1:5" ht="37.5" customHeight="1" thickBot="1">
      <c r="A3" s="23" t="s">
        <v>76</v>
      </c>
      <c r="B3" s="24" t="s">
        <v>19</v>
      </c>
      <c r="C3" s="354" t="s">
        <v>559</v>
      </c>
      <c r="D3" s="354" t="s">
        <v>560</v>
      </c>
      <c r="E3" s="154" t="s">
        <v>540</v>
      </c>
    </row>
    <row r="4" spans="1:5" s="38" customFormat="1" ht="12" customHeight="1" thickBot="1">
      <c r="A4" s="32">
        <v>1</v>
      </c>
      <c r="B4" s="33">
        <v>2</v>
      </c>
      <c r="C4" s="33">
        <v>3</v>
      </c>
      <c r="D4" s="33">
        <v>4</v>
      </c>
      <c r="E4" s="396">
        <v>5</v>
      </c>
    </row>
    <row r="5" spans="1:5" s="1" customFormat="1" ht="12" customHeight="1" thickBot="1">
      <c r="A5" s="20" t="s">
        <v>20</v>
      </c>
      <c r="B5" s="21" t="s">
        <v>261</v>
      </c>
      <c r="C5" s="346">
        <f>+C6+C7+C8+C9+C10+C11</f>
        <v>139978789</v>
      </c>
      <c r="D5" s="346">
        <f>+D6+D7+D8+D9+D10+D11</f>
        <v>145888960</v>
      </c>
      <c r="E5" s="286">
        <f>+E6+E7+E8+E9+E10+E11</f>
        <v>129283891</v>
      </c>
    </row>
    <row r="6" spans="1:5" s="1" customFormat="1" ht="12" customHeight="1">
      <c r="A6" s="15" t="s">
        <v>107</v>
      </c>
      <c r="B6" s="366" t="s">
        <v>262</v>
      </c>
      <c r="C6" s="348">
        <v>56233976</v>
      </c>
      <c r="D6" s="348">
        <v>54348056</v>
      </c>
      <c r="E6" s="289">
        <v>48805752</v>
      </c>
    </row>
    <row r="7" spans="1:5" s="1" customFormat="1" ht="12" customHeight="1">
      <c r="A7" s="14" t="s">
        <v>108</v>
      </c>
      <c r="B7" s="367" t="s">
        <v>263</v>
      </c>
      <c r="C7" s="347">
        <v>37727086</v>
      </c>
      <c r="D7" s="347">
        <v>39749100</v>
      </c>
      <c r="E7" s="288">
        <v>39125150</v>
      </c>
    </row>
    <row r="8" spans="1:5" s="1" customFormat="1" ht="12" customHeight="1">
      <c r="A8" s="14" t="s">
        <v>109</v>
      </c>
      <c r="B8" s="367" t="s">
        <v>264</v>
      </c>
      <c r="C8" s="347">
        <v>37999568</v>
      </c>
      <c r="D8" s="347">
        <v>43856749</v>
      </c>
      <c r="E8" s="288">
        <v>38652269</v>
      </c>
    </row>
    <row r="9" spans="1:5" s="1" customFormat="1" ht="12" customHeight="1">
      <c r="A9" s="14" t="s">
        <v>110</v>
      </c>
      <c r="B9" s="367" t="s">
        <v>265</v>
      </c>
      <c r="C9" s="347">
        <v>3307020</v>
      </c>
      <c r="D9" s="347">
        <v>3497723</v>
      </c>
      <c r="E9" s="288">
        <v>2700720</v>
      </c>
    </row>
    <row r="10" spans="1:5" s="1" customFormat="1" ht="12" customHeight="1">
      <c r="A10" s="14" t="s">
        <v>152</v>
      </c>
      <c r="B10" s="367" t="s">
        <v>533</v>
      </c>
      <c r="C10" s="432">
        <v>3268793</v>
      </c>
      <c r="D10" s="432">
        <v>3910319</v>
      </c>
      <c r="E10" s="288"/>
    </row>
    <row r="11" spans="1:5" s="1" customFormat="1" ht="12" customHeight="1" thickBot="1">
      <c r="A11" s="16" t="s">
        <v>111</v>
      </c>
      <c r="B11" s="368" t="s">
        <v>534</v>
      </c>
      <c r="C11" s="433">
        <v>1442346</v>
      </c>
      <c r="D11" s="433">
        <v>527013</v>
      </c>
      <c r="E11" s="288">
        <v>0</v>
      </c>
    </row>
    <row r="12" spans="1:5" s="1" customFormat="1" ht="12" customHeight="1" thickBot="1">
      <c r="A12" s="20" t="s">
        <v>21</v>
      </c>
      <c r="B12" s="281" t="s">
        <v>268</v>
      </c>
      <c r="C12" s="346">
        <f>+C13+C14+C15+C16+C17</f>
        <v>27062620</v>
      </c>
      <c r="D12" s="346">
        <f>+D13+D14+D15+D16+D17</f>
        <v>31509435</v>
      </c>
      <c r="E12" s="286">
        <f>+E13+E14+E15+E16+E17</f>
        <v>15820260</v>
      </c>
    </row>
    <row r="13" spans="1:5" s="1" customFormat="1" ht="12" customHeight="1">
      <c r="A13" s="15" t="s">
        <v>113</v>
      </c>
      <c r="B13" s="366" t="s">
        <v>269</v>
      </c>
      <c r="C13" s="348"/>
      <c r="D13" s="348"/>
      <c r="E13" s="289"/>
    </row>
    <row r="14" spans="1:5" s="1" customFormat="1" ht="12" customHeight="1">
      <c r="A14" s="14" t="s">
        <v>114</v>
      </c>
      <c r="B14" s="367" t="s">
        <v>270</v>
      </c>
      <c r="C14" s="347"/>
      <c r="D14" s="347"/>
      <c r="E14" s="288"/>
    </row>
    <row r="15" spans="1:5" s="1" customFormat="1" ht="12" customHeight="1">
      <c r="A15" s="14" t="s">
        <v>115</v>
      </c>
      <c r="B15" s="367" t="s">
        <v>493</v>
      </c>
      <c r="C15" s="347"/>
      <c r="D15" s="347"/>
      <c r="E15" s="288"/>
    </row>
    <row r="16" spans="1:5" s="1" customFormat="1" ht="12" customHeight="1">
      <c r="A16" s="14" t="s">
        <v>116</v>
      </c>
      <c r="B16" s="367" t="s">
        <v>494</v>
      </c>
      <c r="C16" s="347"/>
      <c r="D16" s="347"/>
      <c r="E16" s="288"/>
    </row>
    <row r="17" spans="1:5" s="1" customFormat="1" ht="12" customHeight="1">
      <c r="A17" s="14" t="s">
        <v>117</v>
      </c>
      <c r="B17" s="367" t="s">
        <v>271</v>
      </c>
      <c r="C17" s="347">
        <v>27062620</v>
      </c>
      <c r="D17" s="347">
        <f>30222593+120000+1166842</f>
        <v>31509435</v>
      </c>
      <c r="E17" s="288">
        <v>15820260</v>
      </c>
    </row>
    <row r="18" spans="1:5" s="1" customFormat="1" ht="12" customHeight="1" thickBot="1">
      <c r="A18" s="16" t="s">
        <v>126</v>
      </c>
      <c r="B18" s="283" t="s">
        <v>272</v>
      </c>
      <c r="C18" s="349"/>
      <c r="D18" s="349"/>
      <c r="E18" s="290"/>
    </row>
    <row r="19" spans="1:5" s="1" customFormat="1" ht="12" customHeight="1" thickBot="1">
      <c r="A19" s="20" t="s">
        <v>22</v>
      </c>
      <c r="B19" s="21" t="s">
        <v>273</v>
      </c>
      <c r="C19" s="346">
        <f>+C20+C21+C22+C23+C24</f>
        <v>40943513</v>
      </c>
      <c r="D19" s="346">
        <f>+D20+D21+D22+D23+D24</f>
        <v>62871644</v>
      </c>
      <c r="E19" s="286">
        <f>+E20+E21+E22+E23+E24</f>
        <v>9800000</v>
      </c>
    </row>
    <row r="20" spans="1:5" s="1" customFormat="1" ht="12" customHeight="1">
      <c r="A20" s="15" t="s">
        <v>96</v>
      </c>
      <c r="B20" s="366" t="s">
        <v>274</v>
      </c>
      <c r="C20" s="348">
        <v>0</v>
      </c>
      <c r="D20" s="348">
        <v>27611537</v>
      </c>
      <c r="E20" s="289"/>
    </row>
    <row r="21" spans="1:5" s="1" customFormat="1" ht="12" customHeight="1">
      <c r="A21" s="14" t="s">
        <v>97</v>
      </c>
      <c r="B21" s="367" t="s">
        <v>275</v>
      </c>
      <c r="C21" s="347"/>
      <c r="D21" s="347"/>
      <c r="E21" s="288"/>
    </row>
    <row r="22" spans="1:5" s="1" customFormat="1" ht="12" customHeight="1">
      <c r="A22" s="14" t="s">
        <v>98</v>
      </c>
      <c r="B22" s="367" t="s">
        <v>495</v>
      </c>
      <c r="C22" s="347"/>
      <c r="D22" s="347"/>
      <c r="E22" s="288"/>
    </row>
    <row r="23" spans="1:5" s="1" customFormat="1" ht="12" customHeight="1">
      <c r="A23" s="14" t="s">
        <v>99</v>
      </c>
      <c r="B23" s="367" t="s">
        <v>496</v>
      </c>
      <c r="C23" s="347"/>
      <c r="D23" s="347"/>
      <c r="E23" s="288"/>
    </row>
    <row r="24" spans="1:5" s="1" customFormat="1" ht="12" customHeight="1">
      <c r="A24" s="14" t="s">
        <v>175</v>
      </c>
      <c r="B24" s="367" t="s">
        <v>276</v>
      </c>
      <c r="C24" s="347">
        <v>40943513</v>
      </c>
      <c r="D24" s="347">
        <v>35260107</v>
      </c>
      <c r="E24" s="288">
        <v>9800000</v>
      </c>
    </row>
    <row r="25" spans="1:5" s="1" customFormat="1" ht="12" customHeight="1" thickBot="1">
      <c r="A25" s="16" t="s">
        <v>176</v>
      </c>
      <c r="B25" s="283" t="s">
        <v>277</v>
      </c>
      <c r="C25" s="349"/>
      <c r="D25" s="349"/>
      <c r="E25" s="290"/>
    </row>
    <row r="26" spans="1:5" s="1" customFormat="1" ht="12" customHeight="1" thickBot="1">
      <c r="A26" s="20" t="s">
        <v>177</v>
      </c>
      <c r="B26" s="21" t="s">
        <v>278</v>
      </c>
      <c r="C26" s="353">
        <f>+C27+C30+C31+C32</f>
        <v>79539692</v>
      </c>
      <c r="D26" s="353">
        <f>+D27+D30+D31+D32</f>
        <v>92510881</v>
      </c>
      <c r="E26" s="292">
        <f>+E27+E30+E31+E32</f>
        <v>60200000</v>
      </c>
    </row>
    <row r="27" spans="1:5" s="1" customFormat="1" ht="12" customHeight="1">
      <c r="A27" s="15" t="s">
        <v>279</v>
      </c>
      <c r="B27" s="366" t="s">
        <v>285</v>
      </c>
      <c r="C27" s="395">
        <f>+C28+C29</f>
        <v>69106149</v>
      </c>
      <c r="D27" s="395">
        <f>+D28+D29</f>
        <v>82344939</v>
      </c>
      <c r="E27" s="361">
        <f>+E28+E29</f>
        <v>50000000</v>
      </c>
    </row>
    <row r="28" spans="1:5" s="1" customFormat="1" ht="12" customHeight="1">
      <c r="A28" s="14" t="s">
        <v>280</v>
      </c>
      <c r="B28" s="367" t="s">
        <v>286</v>
      </c>
      <c r="C28" s="347">
        <v>10700263</v>
      </c>
      <c r="D28" s="347">
        <v>10394344</v>
      </c>
      <c r="E28" s="288">
        <v>10000000</v>
      </c>
    </row>
    <row r="29" spans="1:5" s="1" customFormat="1" ht="12" customHeight="1">
      <c r="A29" s="14" t="s">
        <v>281</v>
      </c>
      <c r="B29" s="367" t="s">
        <v>287</v>
      </c>
      <c r="C29" s="347">
        <v>58405886</v>
      </c>
      <c r="D29" s="347">
        <v>71950595</v>
      </c>
      <c r="E29" s="288">
        <v>40000000</v>
      </c>
    </row>
    <row r="30" spans="1:5" s="1" customFormat="1" ht="12" customHeight="1">
      <c r="A30" s="14" t="s">
        <v>282</v>
      </c>
      <c r="B30" s="367" t="s">
        <v>288</v>
      </c>
      <c r="C30" s="347">
        <v>4361845</v>
      </c>
      <c r="D30" s="347">
        <v>4642445</v>
      </c>
      <c r="E30" s="288">
        <v>4000000</v>
      </c>
    </row>
    <row r="31" spans="1:5" s="1" customFormat="1" ht="12" customHeight="1">
      <c r="A31" s="14" t="s">
        <v>283</v>
      </c>
      <c r="B31" s="367" t="s">
        <v>289</v>
      </c>
      <c r="C31" s="347">
        <v>2797800</v>
      </c>
      <c r="D31" s="347">
        <v>2420100</v>
      </c>
      <c r="E31" s="288">
        <v>3000000</v>
      </c>
    </row>
    <row r="32" spans="1:5" s="1" customFormat="1" ht="12" customHeight="1" thickBot="1">
      <c r="A32" s="16" t="s">
        <v>284</v>
      </c>
      <c r="B32" s="283" t="s">
        <v>290</v>
      </c>
      <c r="C32" s="349">
        <v>3273898</v>
      </c>
      <c r="D32" s="349">
        <v>3103397</v>
      </c>
      <c r="E32" s="290">
        <v>3200000</v>
      </c>
    </row>
    <row r="33" spans="1:5" s="1" customFormat="1" ht="12" customHeight="1" thickBot="1">
      <c r="A33" s="20" t="s">
        <v>24</v>
      </c>
      <c r="B33" s="21" t="s">
        <v>291</v>
      </c>
      <c r="C33" s="346">
        <f>SUM(C34:C43)</f>
        <v>36854431</v>
      </c>
      <c r="D33" s="346">
        <f>SUM(D34:D43)</f>
        <v>40226130</v>
      </c>
      <c r="E33" s="286">
        <f>SUM(E34:E43)</f>
        <v>31025876</v>
      </c>
    </row>
    <row r="34" spans="1:5" s="1" customFormat="1" ht="12" customHeight="1">
      <c r="A34" s="15" t="s">
        <v>100</v>
      </c>
      <c r="B34" s="366" t="s">
        <v>294</v>
      </c>
      <c r="C34" s="348"/>
      <c r="D34" s="348"/>
      <c r="E34" s="289"/>
    </row>
    <row r="35" spans="1:5" s="1" customFormat="1" ht="12" customHeight="1">
      <c r="A35" s="14" t="s">
        <v>101</v>
      </c>
      <c r="B35" s="367" t="s">
        <v>295</v>
      </c>
      <c r="C35" s="347">
        <f>5024890+4312257</f>
        <v>9337147</v>
      </c>
      <c r="D35" s="347">
        <f>9160053+2448801</f>
        <v>11608854</v>
      </c>
      <c r="E35" s="288">
        <v>7527571</v>
      </c>
    </row>
    <row r="36" spans="1:5" s="1" customFormat="1" ht="12" customHeight="1">
      <c r="A36" s="14" t="s">
        <v>102</v>
      </c>
      <c r="B36" s="367" t="s">
        <v>296</v>
      </c>
      <c r="C36" s="347">
        <v>4081962</v>
      </c>
      <c r="D36" s="347">
        <v>2050917</v>
      </c>
      <c r="E36" s="288">
        <v>1100000</v>
      </c>
    </row>
    <row r="37" spans="1:5" s="1" customFormat="1" ht="12" customHeight="1">
      <c r="A37" s="14" t="s">
        <v>179</v>
      </c>
      <c r="B37" s="367" t="s">
        <v>297</v>
      </c>
      <c r="C37" s="347">
        <v>4955313</v>
      </c>
      <c r="D37" s="347">
        <v>5614673</v>
      </c>
      <c r="E37" s="288">
        <v>4775711</v>
      </c>
    </row>
    <row r="38" spans="1:5" s="1" customFormat="1" ht="12" customHeight="1">
      <c r="A38" s="14" t="s">
        <v>180</v>
      </c>
      <c r="B38" s="367" t="s">
        <v>298</v>
      </c>
      <c r="C38" s="347">
        <f>1209385+7693853</f>
        <v>8903238</v>
      </c>
      <c r="D38" s="347">
        <f>61250+8413886</f>
        <v>8475136</v>
      </c>
      <c r="E38" s="288">
        <v>11900000</v>
      </c>
    </row>
    <row r="39" spans="1:5" s="1" customFormat="1" ht="12" customHeight="1">
      <c r="A39" s="14" t="s">
        <v>181</v>
      </c>
      <c r="B39" s="367" t="s">
        <v>299</v>
      </c>
      <c r="C39" s="347">
        <f>2441466+1100430</f>
        <v>3541896</v>
      </c>
      <c r="D39" s="347">
        <f>2669677+2934740</f>
        <v>5604417</v>
      </c>
      <c r="E39" s="288">
        <v>5122594</v>
      </c>
    </row>
    <row r="40" spans="1:5" s="1" customFormat="1" ht="12" customHeight="1">
      <c r="A40" s="14" t="s">
        <v>182</v>
      </c>
      <c r="B40" s="367" t="s">
        <v>300</v>
      </c>
      <c r="C40" s="347">
        <f>280715+390427</f>
        <v>671142</v>
      </c>
      <c r="D40" s="347">
        <v>2645204</v>
      </c>
      <c r="E40" s="288">
        <v>0</v>
      </c>
    </row>
    <row r="41" spans="1:5" s="1" customFormat="1" ht="12" customHeight="1">
      <c r="A41" s="14" t="s">
        <v>183</v>
      </c>
      <c r="B41" s="367" t="s">
        <v>301</v>
      </c>
      <c r="C41" s="347">
        <f>1015716+13670+9119</f>
        <v>1038505</v>
      </c>
      <c r="D41" s="347">
        <v>0</v>
      </c>
      <c r="E41" s="288">
        <v>600000</v>
      </c>
    </row>
    <row r="42" spans="1:5" s="1" customFormat="1" ht="12" customHeight="1">
      <c r="A42" s="14" t="s">
        <v>292</v>
      </c>
      <c r="B42" s="367" t="s">
        <v>302</v>
      </c>
      <c r="C42" s="350"/>
      <c r="D42" s="350"/>
      <c r="E42" s="291"/>
    </row>
    <row r="43" spans="1:5" s="1" customFormat="1" ht="12" customHeight="1" thickBot="1">
      <c r="A43" s="16" t="s">
        <v>293</v>
      </c>
      <c r="B43" s="283" t="s">
        <v>303</v>
      </c>
      <c r="C43" s="351">
        <f>3653447+58278+613503</f>
        <v>4325228</v>
      </c>
      <c r="D43" s="351">
        <f>4204215+579+22135</f>
        <v>4226929</v>
      </c>
      <c r="E43" s="352">
        <v>0</v>
      </c>
    </row>
    <row r="44" spans="1:5" s="1" customFormat="1" ht="12" customHeight="1" thickBot="1">
      <c r="A44" s="20" t="s">
        <v>25</v>
      </c>
      <c r="B44" s="21" t="s">
        <v>304</v>
      </c>
      <c r="C44" s="346">
        <f>SUM(C45:C49)</f>
        <v>804331</v>
      </c>
      <c r="D44" s="346">
        <f>SUM(D45:D49)</f>
        <v>702000</v>
      </c>
      <c r="E44" s="286">
        <f>SUM(E45:E49)</f>
        <v>0</v>
      </c>
    </row>
    <row r="45" spans="1:5" s="1" customFormat="1" ht="12" customHeight="1">
      <c r="A45" s="15" t="s">
        <v>103</v>
      </c>
      <c r="B45" s="366" t="s">
        <v>308</v>
      </c>
      <c r="C45" s="414"/>
      <c r="D45" s="414"/>
      <c r="E45" s="412"/>
    </row>
    <row r="46" spans="1:5" s="1" customFormat="1" ht="12" customHeight="1">
      <c r="A46" s="14" t="s">
        <v>104</v>
      </c>
      <c r="B46" s="367" t="s">
        <v>309</v>
      </c>
      <c r="C46" s="350">
        <v>0</v>
      </c>
      <c r="D46" s="350">
        <v>702000</v>
      </c>
      <c r="E46" s="291"/>
    </row>
    <row r="47" spans="1:5" s="1" customFormat="1" ht="12" customHeight="1">
      <c r="A47" s="14" t="s">
        <v>305</v>
      </c>
      <c r="B47" s="367" t="s">
        <v>310</v>
      </c>
      <c r="C47" s="350">
        <v>804331</v>
      </c>
      <c r="D47" s="350">
        <v>0</v>
      </c>
      <c r="E47" s="291"/>
    </row>
    <row r="48" spans="1:5" s="1" customFormat="1" ht="12" customHeight="1">
      <c r="A48" s="14" t="s">
        <v>306</v>
      </c>
      <c r="B48" s="367" t="s">
        <v>311</v>
      </c>
      <c r="C48" s="350"/>
      <c r="D48" s="350"/>
      <c r="E48" s="291"/>
    </row>
    <row r="49" spans="1:5" s="1" customFormat="1" ht="12" customHeight="1" thickBot="1">
      <c r="A49" s="16" t="s">
        <v>307</v>
      </c>
      <c r="B49" s="283" t="s">
        <v>312</v>
      </c>
      <c r="C49" s="351"/>
      <c r="D49" s="351"/>
      <c r="E49" s="352"/>
    </row>
    <row r="50" spans="1:5" s="1" customFormat="1" ht="12" customHeight="1" thickBot="1">
      <c r="A50" s="20" t="s">
        <v>184</v>
      </c>
      <c r="B50" s="21" t="s">
        <v>313</v>
      </c>
      <c r="C50" s="346">
        <f>SUM(C51:C53)</f>
        <v>290000</v>
      </c>
      <c r="D50" s="346">
        <f>SUM(D51:D53)</f>
        <v>455000</v>
      </c>
      <c r="E50" s="286">
        <f>SUM(E51:E53)</f>
        <v>0</v>
      </c>
    </row>
    <row r="51" spans="1:5" s="1" customFormat="1" ht="12" customHeight="1">
      <c r="A51" s="15" t="s">
        <v>105</v>
      </c>
      <c r="B51" s="366" t="s">
        <v>314</v>
      </c>
      <c r="C51" s="348"/>
      <c r="D51" s="348"/>
      <c r="E51" s="289"/>
    </row>
    <row r="52" spans="1:5" s="1" customFormat="1" ht="12" customHeight="1">
      <c r="A52" s="14" t="s">
        <v>106</v>
      </c>
      <c r="B52" s="367" t="s">
        <v>497</v>
      </c>
      <c r="C52" s="347"/>
      <c r="D52" s="347"/>
      <c r="E52" s="288"/>
    </row>
    <row r="53" spans="1:5" s="1" customFormat="1" ht="12" customHeight="1">
      <c r="A53" s="14" t="s">
        <v>318</v>
      </c>
      <c r="B53" s="367" t="s">
        <v>316</v>
      </c>
      <c r="C53" s="347">
        <v>290000</v>
      </c>
      <c r="D53" s="347">
        <v>455000</v>
      </c>
      <c r="E53" s="288"/>
    </row>
    <row r="54" spans="1:5" s="1" customFormat="1" ht="12" customHeight="1" thickBot="1">
      <c r="A54" s="16" t="s">
        <v>319</v>
      </c>
      <c r="B54" s="283" t="s">
        <v>317</v>
      </c>
      <c r="C54" s="349"/>
      <c r="D54" s="349"/>
      <c r="E54" s="290"/>
    </row>
    <row r="55" spans="1:5" s="1" customFormat="1" ht="12" customHeight="1" thickBot="1">
      <c r="A55" s="20" t="s">
        <v>27</v>
      </c>
      <c r="B55" s="281" t="s">
        <v>320</v>
      </c>
      <c r="C55" s="346">
        <f>SUM(C56:C58)</f>
        <v>0</v>
      </c>
      <c r="D55" s="346">
        <f>SUM(D56:D58)</f>
        <v>80000</v>
      </c>
      <c r="E55" s="286">
        <f>SUM(E56:E58)</f>
        <v>0</v>
      </c>
    </row>
    <row r="56" spans="1:5" s="1" customFormat="1" ht="12" customHeight="1">
      <c r="A56" s="14" t="s">
        <v>185</v>
      </c>
      <c r="B56" s="366" t="s">
        <v>322</v>
      </c>
      <c r="C56" s="350"/>
      <c r="D56" s="350"/>
      <c r="E56" s="291"/>
    </row>
    <row r="57" spans="1:5" s="1" customFormat="1" ht="12" customHeight="1">
      <c r="A57" s="14" t="s">
        <v>186</v>
      </c>
      <c r="B57" s="367" t="s">
        <v>498</v>
      </c>
      <c r="C57" s="350"/>
      <c r="D57" s="350"/>
      <c r="E57" s="291"/>
    </row>
    <row r="58" spans="1:5" s="1" customFormat="1" ht="12" customHeight="1">
      <c r="A58" s="14" t="s">
        <v>235</v>
      </c>
      <c r="B58" s="367" t="s">
        <v>323</v>
      </c>
      <c r="C58" s="350">
        <v>0</v>
      </c>
      <c r="D58" s="350">
        <v>80000</v>
      </c>
      <c r="E58" s="291">
        <v>0</v>
      </c>
    </row>
    <row r="59" spans="1:5" s="1" customFormat="1" ht="12" customHeight="1" thickBot="1">
      <c r="A59" s="14" t="s">
        <v>321</v>
      </c>
      <c r="B59" s="283" t="s">
        <v>324</v>
      </c>
      <c r="C59" s="350"/>
      <c r="D59" s="350"/>
      <c r="E59" s="291"/>
    </row>
    <row r="60" spans="1:5" s="1" customFormat="1" ht="12" customHeight="1" thickBot="1">
      <c r="A60" s="20" t="s">
        <v>28</v>
      </c>
      <c r="B60" s="21" t="s">
        <v>325</v>
      </c>
      <c r="C60" s="353">
        <f>+C5+C12+C19+C26+C33+C44+C50+C55</f>
        <v>325473376</v>
      </c>
      <c r="D60" s="353">
        <f>+D5+D12+D19+D26+D33+D44+D50+D55</f>
        <v>374244050</v>
      </c>
      <c r="E60" s="292">
        <f>+E5+E12+E19+E26+E33+E44+E50+E55</f>
        <v>246130027</v>
      </c>
    </row>
    <row r="61" spans="1:5" s="1" customFormat="1" ht="12" customHeight="1" thickBot="1">
      <c r="A61" s="415" t="s">
        <v>326</v>
      </c>
      <c r="B61" s="281" t="s">
        <v>327</v>
      </c>
      <c r="C61" s="346">
        <f>SUM(C62:C64)</f>
        <v>0</v>
      </c>
      <c r="D61" s="346">
        <f>SUM(D62:D64)</f>
        <v>0</v>
      </c>
      <c r="E61" s="286">
        <f>SUM(E62:E64)</f>
        <v>0</v>
      </c>
    </row>
    <row r="62" spans="1:5" s="1" customFormat="1" ht="12" customHeight="1">
      <c r="A62" s="14" t="s">
        <v>360</v>
      </c>
      <c r="B62" s="366" t="s">
        <v>328</v>
      </c>
      <c r="C62" s="350"/>
      <c r="D62" s="350"/>
      <c r="E62" s="291"/>
    </row>
    <row r="63" spans="1:5" s="1" customFormat="1" ht="12" customHeight="1">
      <c r="A63" s="14" t="s">
        <v>369</v>
      </c>
      <c r="B63" s="367" t="s">
        <v>329</v>
      </c>
      <c r="C63" s="350"/>
      <c r="D63" s="350"/>
      <c r="E63" s="291"/>
    </row>
    <row r="64" spans="1:5" s="1" customFormat="1" ht="12" customHeight="1" thickBot="1">
      <c r="A64" s="14" t="s">
        <v>370</v>
      </c>
      <c r="B64" s="445" t="s">
        <v>504</v>
      </c>
      <c r="C64" s="350"/>
      <c r="D64" s="350"/>
      <c r="E64" s="291"/>
    </row>
    <row r="65" spans="1:5" s="1" customFormat="1" ht="12" customHeight="1" thickBot="1">
      <c r="A65" s="415" t="s">
        <v>331</v>
      </c>
      <c r="B65" s="281" t="s">
        <v>332</v>
      </c>
      <c r="C65" s="346">
        <f>SUM(C66:C69)</f>
        <v>0</v>
      </c>
      <c r="D65" s="346">
        <f>SUM(D66:D69)</f>
        <v>0</v>
      </c>
      <c r="E65" s="286">
        <f>SUM(E66:E69)</f>
        <v>0</v>
      </c>
    </row>
    <row r="66" spans="1:5" s="1" customFormat="1" ht="12" customHeight="1">
      <c r="A66" s="14" t="s">
        <v>153</v>
      </c>
      <c r="B66" s="366" t="s">
        <v>333</v>
      </c>
      <c r="C66" s="350"/>
      <c r="D66" s="350"/>
      <c r="E66" s="291"/>
    </row>
    <row r="67" spans="1:5" s="1" customFormat="1" ht="12" customHeight="1">
      <c r="A67" s="14" t="s">
        <v>154</v>
      </c>
      <c r="B67" s="367" t="s">
        <v>334</v>
      </c>
      <c r="C67" s="350"/>
      <c r="D67" s="350"/>
      <c r="E67" s="291"/>
    </row>
    <row r="68" spans="1:5" s="1" customFormat="1" ht="12" customHeight="1">
      <c r="A68" s="14" t="s">
        <v>361</v>
      </c>
      <c r="B68" s="367" t="s">
        <v>335</v>
      </c>
      <c r="C68" s="350"/>
      <c r="D68" s="350"/>
      <c r="E68" s="291"/>
    </row>
    <row r="69" spans="1:7" s="1" customFormat="1" ht="17.25" customHeight="1" thickBot="1">
      <c r="A69" s="14" t="s">
        <v>362</v>
      </c>
      <c r="B69" s="283" t="s">
        <v>336</v>
      </c>
      <c r="C69" s="350"/>
      <c r="D69" s="350"/>
      <c r="E69" s="291"/>
      <c r="G69" s="39"/>
    </row>
    <row r="70" spans="1:5" s="1" customFormat="1" ht="12" customHeight="1" thickBot="1">
      <c r="A70" s="415" t="s">
        <v>337</v>
      </c>
      <c r="B70" s="281" t="s">
        <v>338</v>
      </c>
      <c r="C70" s="346">
        <f>SUM(C71:C72)</f>
        <v>181479530</v>
      </c>
      <c r="D70" s="346">
        <f>SUM(D71:D72)</f>
        <v>137983276</v>
      </c>
      <c r="E70" s="286">
        <f>SUM(E71:E72)</f>
        <v>156678969</v>
      </c>
    </row>
    <row r="71" spans="1:5" s="1" customFormat="1" ht="12" customHeight="1">
      <c r="A71" s="14" t="s">
        <v>363</v>
      </c>
      <c r="B71" s="366" t="s">
        <v>339</v>
      </c>
      <c r="C71" s="350">
        <f>179906404+977894+595232</f>
        <v>181479530</v>
      </c>
      <c r="D71" s="350">
        <f>136352618+1065891+564767</f>
        <v>137983276</v>
      </c>
      <c r="E71" s="291">
        <v>156678969</v>
      </c>
    </row>
    <row r="72" spans="1:5" s="1" customFormat="1" ht="12" customHeight="1" thickBot="1">
      <c r="A72" s="14" t="s">
        <v>364</v>
      </c>
      <c r="B72" s="283" t="s">
        <v>340</v>
      </c>
      <c r="C72" s="350"/>
      <c r="D72" s="350"/>
      <c r="E72" s="291"/>
    </row>
    <row r="73" spans="1:5" s="1" customFormat="1" ht="12" customHeight="1" thickBot="1">
      <c r="A73" s="415" t="s">
        <v>341</v>
      </c>
      <c r="B73" s="281" t="s">
        <v>342</v>
      </c>
      <c r="C73" s="346">
        <f>SUM(C74:C76)</f>
        <v>5119012</v>
      </c>
      <c r="D73" s="346">
        <f>SUM(D74:D76)</f>
        <v>4649687</v>
      </c>
      <c r="E73" s="286">
        <f>SUM(E74:E76)</f>
        <v>0</v>
      </c>
    </row>
    <row r="74" spans="1:5" s="1" customFormat="1" ht="12" customHeight="1">
      <c r="A74" s="14" t="s">
        <v>365</v>
      </c>
      <c r="B74" s="366" t="s">
        <v>343</v>
      </c>
      <c r="C74" s="350">
        <v>5119012</v>
      </c>
      <c r="D74" s="350">
        <v>4649687</v>
      </c>
      <c r="E74" s="291"/>
    </row>
    <row r="75" spans="1:5" s="1" customFormat="1" ht="12" customHeight="1">
      <c r="A75" s="14" t="s">
        <v>366</v>
      </c>
      <c r="B75" s="367" t="s">
        <v>344</v>
      </c>
      <c r="C75" s="350"/>
      <c r="D75" s="350"/>
      <c r="E75" s="291"/>
    </row>
    <row r="76" spans="1:5" s="1" customFormat="1" ht="12" customHeight="1" thickBot="1">
      <c r="A76" s="14" t="s">
        <v>367</v>
      </c>
      <c r="B76" s="283" t="s">
        <v>345</v>
      </c>
      <c r="C76" s="350"/>
      <c r="D76" s="350"/>
      <c r="E76" s="291"/>
    </row>
    <row r="77" spans="1:5" s="1" customFormat="1" ht="12" customHeight="1" thickBot="1">
      <c r="A77" s="415" t="s">
        <v>346</v>
      </c>
      <c r="B77" s="281" t="s">
        <v>368</v>
      </c>
      <c r="C77" s="346">
        <f>SUM(C78:C81)</f>
        <v>0</v>
      </c>
      <c r="D77" s="346">
        <f>SUM(D78:D81)</f>
        <v>0</v>
      </c>
      <c r="E77" s="286">
        <f>SUM(E78:E81)</f>
        <v>0</v>
      </c>
    </row>
    <row r="78" spans="1:5" s="1" customFormat="1" ht="12" customHeight="1">
      <c r="A78" s="416" t="s">
        <v>347</v>
      </c>
      <c r="B78" s="366" t="s">
        <v>348</v>
      </c>
      <c r="C78" s="350"/>
      <c r="D78" s="350"/>
      <c r="E78" s="291"/>
    </row>
    <row r="79" spans="1:5" s="1" customFormat="1" ht="12" customHeight="1">
      <c r="A79" s="417" t="s">
        <v>349</v>
      </c>
      <c r="B79" s="367" t="s">
        <v>350</v>
      </c>
      <c r="C79" s="350"/>
      <c r="D79" s="350"/>
      <c r="E79" s="291"/>
    </row>
    <row r="80" spans="1:5" s="1" customFormat="1" ht="12" customHeight="1">
      <c r="A80" s="417" t="s">
        <v>351</v>
      </c>
      <c r="B80" s="367" t="s">
        <v>352</v>
      </c>
      <c r="C80" s="350"/>
      <c r="D80" s="350"/>
      <c r="E80" s="291"/>
    </row>
    <row r="81" spans="1:5" s="1" customFormat="1" ht="12" customHeight="1" thickBot="1">
      <c r="A81" s="418" t="s">
        <v>353</v>
      </c>
      <c r="B81" s="283" t="s">
        <v>354</v>
      </c>
      <c r="C81" s="350"/>
      <c r="D81" s="350"/>
      <c r="E81" s="291"/>
    </row>
    <row r="82" spans="1:5" s="1" customFormat="1" ht="12" customHeight="1" thickBot="1">
      <c r="A82" s="415" t="s">
        <v>355</v>
      </c>
      <c r="B82" s="281" t="s">
        <v>356</v>
      </c>
      <c r="C82" s="420"/>
      <c r="D82" s="420"/>
      <c r="E82" s="413"/>
    </row>
    <row r="83" spans="1:5" s="1" customFormat="1" ht="12" customHeight="1" thickBot="1">
      <c r="A83" s="415" t="s">
        <v>357</v>
      </c>
      <c r="B83" s="443" t="s">
        <v>358</v>
      </c>
      <c r="C83" s="353">
        <f>+C61+C65+C70+C73+C77+C82</f>
        <v>186598542</v>
      </c>
      <c r="D83" s="353">
        <f>+D61+D65+D70+D73+D77+D82</f>
        <v>142632963</v>
      </c>
      <c r="E83" s="292">
        <f>+E61+E65+E70+E73+E77+E82</f>
        <v>156678969</v>
      </c>
    </row>
    <row r="84" spans="1:5" s="1" customFormat="1" ht="12" customHeight="1" thickBot="1">
      <c r="A84" s="419" t="s">
        <v>371</v>
      </c>
      <c r="B84" s="444" t="s">
        <v>359</v>
      </c>
      <c r="C84" s="353">
        <f>+C60+C83</f>
        <v>512071918</v>
      </c>
      <c r="D84" s="353">
        <f>+D60+D83</f>
        <v>516877013</v>
      </c>
      <c r="E84" s="292">
        <f>+E60+E83</f>
        <v>402808996</v>
      </c>
    </row>
    <row r="85" spans="1:5" s="1" customFormat="1" ht="12" customHeight="1">
      <c r="A85" s="324"/>
      <c r="B85" s="325"/>
      <c r="C85" s="326"/>
      <c r="D85" s="326"/>
      <c r="E85" s="327"/>
    </row>
    <row r="86" spans="1:5" s="1" customFormat="1" ht="12" customHeight="1">
      <c r="A86" s="735" t="s">
        <v>48</v>
      </c>
      <c r="B86" s="735"/>
      <c r="C86" s="735"/>
      <c r="D86" s="735"/>
      <c r="E86" s="735"/>
    </row>
    <row r="87" spans="1:5" s="1" customFormat="1" ht="12" customHeight="1" thickBot="1">
      <c r="A87" s="736" t="s">
        <v>157</v>
      </c>
      <c r="B87" s="736"/>
      <c r="C87" s="131"/>
      <c r="D87" s="131"/>
      <c r="E87" s="296" t="s">
        <v>535</v>
      </c>
    </row>
    <row r="88" spans="1:6" s="1" customFormat="1" ht="24" customHeight="1" thickBot="1">
      <c r="A88" s="23" t="s">
        <v>18</v>
      </c>
      <c r="B88" s="24" t="s">
        <v>49</v>
      </c>
      <c r="C88" s="354" t="s">
        <v>559</v>
      </c>
      <c r="D88" s="354" t="s">
        <v>560</v>
      </c>
      <c r="E88" s="154" t="s">
        <v>540</v>
      </c>
      <c r="F88" s="139"/>
    </row>
    <row r="89" spans="1:6" s="1" customFormat="1" ht="12" customHeight="1" thickBot="1">
      <c r="A89" s="32">
        <v>1</v>
      </c>
      <c r="B89" s="33">
        <v>2</v>
      </c>
      <c r="C89" s="33">
        <v>3</v>
      </c>
      <c r="D89" s="33">
        <v>4</v>
      </c>
      <c r="E89" s="34">
        <v>5</v>
      </c>
      <c r="F89" s="139"/>
    </row>
    <row r="90" spans="1:6" s="1" customFormat="1" ht="15" customHeight="1" thickBot="1">
      <c r="A90" s="22" t="s">
        <v>20</v>
      </c>
      <c r="B90" s="31" t="s">
        <v>374</v>
      </c>
      <c r="C90" s="345">
        <f>+C91+C92+C93+C94+C95</f>
        <v>248796293</v>
      </c>
      <c r="D90" s="345">
        <f>+D91+D92+D93+D94+D95</f>
        <v>266478778</v>
      </c>
      <c r="E90" s="285">
        <f>SUM(E91:E95)</f>
        <v>302579587</v>
      </c>
      <c r="F90" s="139"/>
    </row>
    <row r="91" spans="1:5" s="1" customFormat="1" ht="12.75" customHeight="1">
      <c r="A91" s="17" t="s">
        <v>107</v>
      </c>
      <c r="B91" s="10" t="s">
        <v>50</v>
      </c>
      <c r="C91" s="446">
        <f>47862153+36569343+27584493</f>
        <v>112015989</v>
      </c>
      <c r="D91" s="446">
        <f>47361547+29157453+43174331</f>
        <v>119693331</v>
      </c>
      <c r="E91" s="287">
        <v>119826392</v>
      </c>
    </row>
    <row r="92" spans="1:5" ht="16.5" customHeight="1">
      <c r="A92" s="14" t="s">
        <v>108</v>
      </c>
      <c r="B92" s="8" t="s">
        <v>187</v>
      </c>
      <c r="C92" s="347">
        <f>6324349+8274836+11034997</f>
        <v>25634182</v>
      </c>
      <c r="D92" s="347">
        <f>9063357+6001915+9142467</f>
        <v>24207739</v>
      </c>
      <c r="E92" s="288">
        <v>25470696</v>
      </c>
    </row>
    <row r="93" spans="1:5" ht="15.75">
      <c r="A93" s="14" t="s">
        <v>109</v>
      </c>
      <c r="B93" s="8" t="s">
        <v>143</v>
      </c>
      <c r="C93" s="349">
        <f>64087584+31957220+4142248</f>
        <v>100187052</v>
      </c>
      <c r="D93" s="349">
        <f>69890202+3976543+38071762</f>
        <v>111938507</v>
      </c>
      <c r="E93" s="290">
        <v>141077799</v>
      </c>
    </row>
    <row r="94" spans="1:5" s="38" customFormat="1" ht="12" customHeight="1">
      <c r="A94" s="14" t="s">
        <v>110</v>
      </c>
      <c r="B94" s="11" t="s">
        <v>188</v>
      </c>
      <c r="C94" s="349">
        <v>6784270</v>
      </c>
      <c r="D94" s="349">
        <v>4776987</v>
      </c>
      <c r="E94" s="290">
        <v>7954700</v>
      </c>
    </row>
    <row r="95" spans="1:5" ht="12" customHeight="1">
      <c r="A95" s="14" t="s">
        <v>121</v>
      </c>
      <c r="B95" s="19" t="s">
        <v>189</v>
      </c>
      <c r="C95" s="349">
        <v>4174800</v>
      </c>
      <c r="D95" s="349">
        <f>D96+D105+D100</f>
        <v>5862214</v>
      </c>
      <c r="E95" s="290">
        <v>8250000</v>
      </c>
    </row>
    <row r="96" spans="1:5" ht="12" customHeight="1">
      <c r="A96" s="14" t="s">
        <v>111</v>
      </c>
      <c r="B96" s="8" t="s">
        <v>375</v>
      </c>
      <c r="C96" s="347">
        <v>5340592</v>
      </c>
      <c r="D96" s="347">
        <v>1001109</v>
      </c>
      <c r="E96" s="290"/>
    </row>
    <row r="97" spans="1:5" ht="12" customHeight="1">
      <c r="A97" s="14" t="s">
        <v>112</v>
      </c>
      <c r="B97" s="133" t="s">
        <v>376</v>
      </c>
      <c r="C97" s="349"/>
      <c r="D97" s="349"/>
      <c r="E97" s="290"/>
    </row>
    <row r="98" spans="1:5" ht="12" customHeight="1">
      <c r="A98" s="14" t="s">
        <v>122</v>
      </c>
      <c r="B98" s="134" t="s">
        <v>377</v>
      </c>
      <c r="C98" s="349"/>
      <c r="D98" s="349"/>
      <c r="E98" s="290"/>
    </row>
    <row r="99" spans="1:5" ht="12" customHeight="1">
      <c r="A99" s="14" t="s">
        <v>123</v>
      </c>
      <c r="B99" s="134" t="s">
        <v>378</v>
      </c>
      <c r="C99" s="349"/>
      <c r="D99" s="349"/>
      <c r="E99" s="290"/>
    </row>
    <row r="100" spans="1:5" ht="12" customHeight="1">
      <c r="A100" s="14" t="s">
        <v>124</v>
      </c>
      <c r="B100" s="133" t="s">
        <v>379</v>
      </c>
      <c r="C100" s="349"/>
      <c r="D100" s="349">
        <v>1316580</v>
      </c>
      <c r="E100" s="290"/>
    </row>
    <row r="101" spans="1:5" ht="12" customHeight="1">
      <c r="A101" s="14" t="s">
        <v>125</v>
      </c>
      <c r="B101" s="133" t="s">
        <v>380</v>
      </c>
      <c r="C101" s="349"/>
      <c r="D101" s="349"/>
      <c r="E101" s="290"/>
    </row>
    <row r="102" spans="1:5" ht="12" customHeight="1">
      <c r="A102" s="14" t="s">
        <v>127</v>
      </c>
      <c r="B102" s="134" t="s">
        <v>381</v>
      </c>
      <c r="C102" s="349"/>
      <c r="D102" s="349"/>
      <c r="E102" s="290"/>
    </row>
    <row r="103" spans="1:5" ht="12" customHeight="1">
      <c r="A103" s="13" t="s">
        <v>190</v>
      </c>
      <c r="B103" s="135" t="s">
        <v>382</v>
      </c>
      <c r="C103" s="349"/>
      <c r="D103" s="349"/>
      <c r="E103" s="290"/>
    </row>
    <row r="104" spans="1:5" ht="12" customHeight="1">
      <c r="A104" s="14" t="s">
        <v>372</v>
      </c>
      <c r="B104" s="135" t="s">
        <v>383</v>
      </c>
      <c r="C104" s="349"/>
      <c r="D104" s="349"/>
      <c r="E104" s="290"/>
    </row>
    <row r="105" spans="1:5" ht="12" customHeight="1" thickBot="1">
      <c r="A105" s="18" t="s">
        <v>373</v>
      </c>
      <c r="B105" s="136" t="s">
        <v>384</v>
      </c>
      <c r="C105" s="447">
        <v>4174800</v>
      </c>
      <c r="D105" s="447">
        <v>3544525</v>
      </c>
      <c r="E105" s="294">
        <v>8250000</v>
      </c>
    </row>
    <row r="106" spans="1:5" ht="12" customHeight="1" thickBot="1">
      <c r="A106" s="20" t="s">
        <v>21</v>
      </c>
      <c r="B106" s="30" t="s">
        <v>385</v>
      </c>
      <c r="C106" s="346">
        <f>+C107+C109+C111</f>
        <v>114843267</v>
      </c>
      <c r="D106" s="346">
        <f>+D107+D109+D111</f>
        <v>90196937</v>
      </c>
      <c r="E106" s="286">
        <f>+E107+E109+E111</f>
        <v>58173656</v>
      </c>
    </row>
    <row r="107" spans="1:5" ht="12" customHeight="1">
      <c r="A107" s="15" t="s">
        <v>113</v>
      </c>
      <c r="B107" s="8" t="s">
        <v>234</v>
      </c>
      <c r="C107" s="348">
        <f>19971185+16900+178303</f>
        <v>20166388</v>
      </c>
      <c r="D107" s="348">
        <f>30545553+403423+877597</f>
        <v>31826573</v>
      </c>
      <c r="E107" s="289">
        <v>25097687</v>
      </c>
    </row>
    <row r="108" spans="1:5" ht="12" customHeight="1">
      <c r="A108" s="15" t="s">
        <v>114</v>
      </c>
      <c r="B108" s="12" t="s">
        <v>389</v>
      </c>
      <c r="C108" s="348"/>
      <c r="D108" s="348"/>
      <c r="E108" s="289"/>
    </row>
    <row r="109" spans="1:5" ht="12" customHeight="1">
      <c r="A109" s="15" t="s">
        <v>115</v>
      </c>
      <c r="B109" s="12" t="s">
        <v>191</v>
      </c>
      <c r="C109" s="347">
        <f>93876879</f>
        <v>93876879</v>
      </c>
      <c r="D109" s="347">
        <v>58170364</v>
      </c>
      <c r="E109" s="288">
        <v>30175969</v>
      </c>
    </row>
    <row r="110" spans="1:5" ht="12" customHeight="1">
      <c r="A110" s="15" t="s">
        <v>116</v>
      </c>
      <c r="B110" s="12" t="s">
        <v>390</v>
      </c>
      <c r="C110" s="347"/>
      <c r="D110" s="347"/>
      <c r="E110" s="262"/>
    </row>
    <row r="111" spans="1:5" ht="12" customHeight="1">
      <c r="A111" s="15" t="s">
        <v>117</v>
      </c>
      <c r="B111" s="283" t="s">
        <v>236</v>
      </c>
      <c r="C111" s="347">
        <v>800000</v>
      </c>
      <c r="D111" s="347">
        <v>200000</v>
      </c>
      <c r="E111" s="262">
        <v>2900000</v>
      </c>
    </row>
    <row r="112" spans="1:5" ht="12" customHeight="1">
      <c r="A112" s="15" t="s">
        <v>126</v>
      </c>
      <c r="B112" s="282" t="s">
        <v>499</v>
      </c>
      <c r="C112" s="347"/>
      <c r="D112" s="347"/>
      <c r="E112" s="262"/>
    </row>
    <row r="113" spans="1:5" ht="15.75">
      <c r="A113" s="15" t="s">
        <v>128</v>
      </c>
      <c r="B113" s="362" t="s">
        <v>395</v>
      </c>
      <c r="C113" s="347"/>
      <c r="D113" s="347"/>
      <c r="E113" s="262"/>
    </row>
    <row r="114" spans="1:5" ht="12" customHeight="1">
      <c r="A114" s="15" t="s">
        <v>192</v>
      </c>
      <c r="B114" s="134" t="s">
        <v>378</v>
      </c>
      <c r="C114" s="347"/>
      <c r="D114" s="347"/>
      <c r="E114" s="262"/>
    </row>
    <row r="115" spans="1:5" ht="12" customHeight="1">
      <c r="A115" s="15" t="s">
        <v>193</v>
      </c>
      <c r="B115" s="134" t="s">
        <v>394</v>
      </c>
      <c r="C115" s="347"/>
      <c r="D115" s="347"/>
      <c r="E115" s="262"/>
    </row>
    <row r="116" spans="1:5" ht="12" customHeight="1">
      <c r="A116" s="15" t="s">
        <v>194</v>
      </c>
      <c r="B116" s="134" t="s">
        <v>393</v>
      </c>
      <c r="C116" s="347"/>
      <c r="D116" s="347"/>
      <c r="E116" s="262"/>
    </row>
    <row r="117" spans="1:5" ht="12" customHeight="1">
      <c r="A117" s="15" t="s">
        <v>386</v>
      </c>
      <c r="B117" s="134" t="s">
        <v>381</v>
      </c>
      <c r="C117" s="347"/>
      <c r="D117" s="347"/>
      <c r="E117" s="262"/>
    </row>
    <row r="118" spans="1:5" ht="12" customHeight="1">
      <c r="A118" s="15" t="s">
        <v>387</v>
      </c>
      <c r="B118" s="134" t="s">
        <v>392</v>
      </c>
      <c r="C118" s="347"/>
      <c r="D118" s="347"/>
      <c r="E118" s="262"/>
    </row>
    <row r="119" spans="1:5" ht="12" customHeight="1" thickBot="1">
      <c r="A119" s="13" t="s">
        <v>388</v>
      </c>
      <c r="B119" s="134" t="s">
        <v>391</v>
      </c>
      <c r="C119" s="349">
        <v>800000</v>
      </c>
      <c r="D119" s="349">
        <v>200000</v>
      </c>
      <c r="E119" s="263">
        <v>2900000</v>
      </c>
    </row>
    <row r="120" spans="1:5" ht="12" customHeight="1" thickBot="1">
      <c r="A120" s="20" t="s">
        <v>22</v>
      </c>
      <c r="B120" s="119" t="s">
        <v>396</v>
      </c>
      <c r="C120" s="346">
        <f>+C121+C122</f>
        <v>0</v>
      </c>
      <c r="D120" s="346">
        <f>+D121+D122</f>
        <v>0</v>
      </c>
      <c r="E120" s="286">
        <f>+E121+E122</f>
        <v>37406066</v>
      </c>
    </row>
    <row r="121" spans="1:5" ht="12" customHeight="1">
      <c r="A121" s="15" t="s">
        <v>96</v>
      </c>
      <c r="B121" s="9" t="s">
        <v>63</v>
      </c>
      <c r="C121" s="348"/>
      <c r="D121" s="348"/>
      <c r="E121" s="289">
        <v>37406066</v>
      </c>
    </row>
    <row r="122" spans="1:5" ht="12" customHeight="1" thickBot="1">
      <c r="A122" s="16" t="s">
        <v>97</v>
      </c>
      <c r="B122" s="12" t="s">
        <v>64</v>
      </c>
      <c r="C122" s="349">
        <v>0</v>
      </c>
      <c r="D122" s="349">
        <v>0</v>
      </c>
      <c r="E122" s="290"/>
    </row>
    <row r="123" spans="1:5" ht="12" customHeight="1" thickBot="1">
      <c r="A123" s="20" t="s">
        <v>23</v>
      </c>
      <c r="B123" s="119" t="s">
        <v>397</v>
      </c>
      <c r="C123" s="346">
        <f>+C90+C106+C120</f>
        <v>363639560</v>
      </c>
      <c r="D123" s="346">
        <f>+D90+D106+D120</f>
        <v>356675715</v>
      </c>
      <c r="E123" s="286">
        <f>+E90+E106+E120</f>
        <v>398159309</v>
      </c>
    </row>
    <row r="124" spans="1:5" ht="12" customHeight="1" thickBot="1">
      <c r="A124" s="20" t="s">
        <v>24</v>
      </c>
      <c r="B124" s="119" t="s">
        <v>398</v>
      </c>
      <c r="C124" s="346">
        <f>+C125+C126+C127</f>
        <v>0</v>
      </c>
      <c r="D124" s="346">
        <f>+D125+D126+D127</f>
        <v>0</v>
      </c>
      <c r="E124" s="286">
        <f>+E125+E126+E127</f>
        <v>0</v>
      </c>
    </row>
    <row r="125" spans="1:5" ht="12" customHeight="1">
      <c r="A125" s="15" t="s">
        <v>100</v>
      </c>
      <c r="B125" s="9" t="s">
        <v>399</v>
      </c>
      <c r="C125" s="347"/>
      <c r="D125" s="347"/>
      <c r="E125" s="262"/>
    </row>
    <row r="126" spans="1:5" ht="12" customHeight="1">
      <c r="A126" s="15" t="s">
        <v>101</v>
      </c>
      <c r="B126" s="9" t="s">
        <v>400</v>
      </c>
      <c r="C126" s="347"/>
      <c r="D126" s="347"/>
      <c r="E126" s="262"/>
    </row>
    <row r="127" spans="1:5" ht="12" customHeight="1" thickBot="1">
      <c r="A127" s="13" t="s">
        <v>102</v>
      </c>
      <c r="B127" s="7" t="s">
        <v>401</v>
      </c>
      <c r="C127" s="347"/>
      <c r="D127" s="347"/>
      <c r="E127" s="262"/>
    </row>
    <row r="128" spans="1:5" ht="12" customHeight="1" thickBot="1">
      <c r="A128" s="20" t="s">
        <v>25</v>
      </c>
      <c r="B128" s="119" t="s">
        <v>458</v>
      </c>
      <c r="C128" s="346">
        <f>+C129+C130+C131+C132</f>
        <v>0</v>
      </c>
      <c r="D128" s="346">
        <f>+D129+D130+D131+D132</f>
        <v>0</v>
      </c>
      <c r="E128" s="286">
        <f>+E129+E130+E131+E132</f>
        <v>0</v>
      </c>
    </row>
    <row r="129" spans="1:5" ht="12" customHeight="1">
      <c r="A129" s="15" t="s">
        <v>103</v>
      </c>
      <c r="B129" s="9" t="s">
        <v>402</v>
      </c>
      <c r="C129" s="347"/>
      <c r="D129" s="347"/>
      <c r="E129" s="262"/>
    </row>
    <row r="130" spans="1:5" ht="12" customHeight="1">
      <c r="A130" s="15" t="s">
        <v>104</v>
      </c>
      <c r="B130" s="9" t="s">
        <v>403</v>
      </c>
      <c r="C130" s="347"/>
      <c r="D130" s="347"/>
      <c r="E130" s="262"/>
    </row>
    <row r="131" spans="1:5" ht="12" customHeight="1">
      <c r="A131" s="15" t="s">
        <v>305</v>
      </c>
      <c r="B131" s="9" t="s">
        <v>404</v>
      </c>
      <c r="C131" s="347"/>
      <c r="D131" s="347"/>
      <c r="E131" s="262"/>
    </row>
    <row r="132" spans="1:5" ht="12" customHeight="1" thickBot="1">
      <c r="A132" s="13" t="s">
        <v>306</v>
      </c>
      <c r="B132" s="7" t="s">
        <v>405</v>
      </c>
      <c r="C132" s="347"/>
      <c r="D132" s="347"/>
      <c r="E132" s="262"/>
    </row>
    <row r="133" spans="1:5" ht="12" customHeight="1" thickBot="1">
      <c r="A133" s="20" t="s">
        <v>26</v>
      </c>
      <c r="B133" s="119" t="s">
        <v>406</v>
      </c>
      <c r="C133" s="353">
        <f>+C134+C135+C136+C137</f>
        <v>4818490</v>
      </c>
      <c r="D133" s="353">
        <f>+D134+D135+D136+D137</f>
        <v>5119012</v>
      </c>
      <c r="E133" s="292">
        <f>+E134+E135+E136+E137</f>
        <v>4649687</v>
      </c>
    </row>
    <row r="134" spans="1:5" ht="12" customHeight="1">
      <c r="A134" s="15" t="s">
        <v>105</v>
      </c>
      <c r="B134" s="9" t="s">
        <v>407</v>
      </c>
      <c r="C134" s="347"/>
      <c r="D134" s="347"/>
      <c r="E134" s="262"/>
    </row>
    <row r="135" spans="1:5" ht="12" customHeight="1">
      <c r="A135" s="15" t="s">
        <v>106</v>
      </c>
      <c r="B135" s="9" t="s">
        <v>417</v>
      </c>
      <c r="C135" s="347">
        <v>4818490</v>
      </c>
      <c r="D135" s="347">
        <v>5119012</v>
      </c>
      <c r="E135" s="262">
        <v>4649687</v>
      </c>
    </row>
    <row r="136" spans="1:5" ht="12" customHeight="1">
      <c r="A136" s="15" t="s">
        <v>318</v>
      </c>
      <c r="B136" s="9" t="s">
        <v>408</v>
      </c>
      <c r="C136" s="347"/>
      <c r="D136" s="347"/>
      <c r="E136" s="262"/>
    </row>
    <row r="137" spans="1:5" ht="12" customHeight="1" thickBot="1">
      <c r="A137" s="13" t="s">
        <v>319</v>
      </c>
      <c r="B137" s="7" t="s">
        <v>409</v>
      </c>
      <c r="C137" s="347"/>
      <c r="D137" s="347"/>
      <c r="E137" s="262"/>
    </row>
    <row r="138" spans="1:5" ht="12" customHeight="1" thickBot="1">
      <c r="A138" s="20" t="s">
        <v>27</v>
      </c>
      <c r="B138" s="119" t="s">
        <v>410</v>
      </c>
      <c r="C138" s="448">
        <f>+C139+C140+C141+C142</f>
        <v>0</v>
      </c>
      <c r="D138" s="448">
        <f>+D139+D140+D141+D142</f>
        <v>0</v>
      </c>
      <c r="E138" s="295">
        <f>+E139+E140+E141+E142</f>
        <v>0</v>
      </c>
    </row>
    <row r="139" spans="1:5" ht="12" customHeight="1">
      <c r="A139" s="15" t="s">
        <v>185</v>
      </c>
      <c r="B139" s="9" t="s">
        <v>411</v>
      </c>
      <c r="C139" s="347"/>
      <c r="D139" s="347"/>
      <c r="E139" s="262"/>
    </row>
    <row r="140" spans="1:5" ht="12" customHeight="1">
      <c r="A140" s="15" t="s">
        <v>186</v>
      </c>
      <c r="B140" s="9" t="s">
        <v>412</v>
      </c>
      <c r="C140" s="347"/>
      <c r="D140" s="347"/>
      <c r="E140" s="262"/>
    </row>
    <row r="141" spans="1:5" ht="12" customHeight="1">
      <c r="A141" s="15" t="s">
        <v>235</v>
      </c>
      <c r="B141" s="9" t="s">
        <v>413</v>
      </c>
      <c r="C141" s="347"/>
      <c r="D141" s="347"/>
      <c r="E141" s="262"/>
    </row>
    <row r="142" spans="1:5" ht="12" customHeight="1" thickBot="1">
      <c r="A142" s="15" t="s">
        <v>321</v>
      </c>
      <c r="B142" s="9" t="s">
        <v>414</v>
      </c>
      <c r="C142" s="347"/>
      <c r="D142" s="347"/>
      <c r="E142" s="262"/>
    </row>
    <row r="143" spans="1:5" ht="12" customHeight="1" thickBot="1">
      <c r="A143" s="20" t="s">
        <v>28</v>
      </c>
      <c r="B143" s="119" t="s">
        <v>415</v>
      </c>
      <c r="C143" s="449">
        <f>+C124+C128+C133+C138</f>
        <v>4818490</v>
      </c>
      <c r="D143" s="449">
        <f>+D124+D128+D133+D138</f>
        <v>5119012</v>
      </c>
      <c r="E143" s="378">
        <f>+E124+E128+E133+E138</f>
        <v>4649687</v>
      </c>
    </row>
    <row r="144" spans="1:5" ht="12" customHeight="1" thickBot="1">
      <c r="A144" s="284" t="s">
        <v>29</v>
      </c>
      <c r="B144" s="332" t="s">
        <v>416</v>
      </c>
      <c r="C144" s="449">
        <f>+C123+C143</f>
        <v>368458050</v>
      </c>
      <c r="D144" s="449">
        <f>+D123+D143</f>
        <v>361794727</v>
      </c>
      <c r="E144" s="378">
        <f>+E123+E143</f>
        <v>402808996</v>
      </c>
    </row>
    <row r="145" ht="12" customHeight="1"/>
    <row r="146" ht="12" customHeight="1"/>
    <row r="147" ht="12" customHeight="1"/>
    <row r="148" ht="12" customHeight="1"/>
    <row r="149" ht="12" customHeight="1"/>
    <row r="150" spans="3:6" ht="15" customHeight="1">
      <c r="C150" s="120"/>
      <c r="D150" s="120"/>
      <c r="E150" s="120"/>
      <c r="F150" s="120"/>
    </row>
    <row r="151" s="1" customFormat="1" ht="12.75" customHeight="1"/>
    <row r="155" ht="16.5" customHeight="1"/>
  </sheetData>
  <sheetProtection/>
  <mergeCells count="4">
    <mergeCell ref="A1:E1"/>
    <mergeCell ref="A86:E86"/>
    <mergeCell ref="A87:B87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Tengelic Község  Önkormányzat
2019.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1"/>
  <sheetViews>
    <sheetView zoomScaleSheetLayoutView="100" workbookViewId="0" topLeftCell="A1">
      <selection activeCell="O1" sqref="O1:Q1"/>
    </sheetView>
  </sheetViews>
  <sheetFormatPr defaultColWidth="9.00390625" defaultRowHeight="12.75"/>
  <cols>
    <col min="1" max="1" width="9.50390625" style="482" customWidth="1"/>
    <col min="2" max="2" width="66.625" style="482" customWidth="1"/>
    <col min="3" max="3" width="15.875" style="560" customWidth="1"/>
    <col min="4" max="4" width="17.375" style="560" hidden="1" customWidth="1"/>
    <col min="5" max="5" width="19.00390625" style="560" hidden="1" customWidth="1"/>
    <col min="6" max="6" width="17.375" style="560" hidden="1" customWidth="1"/>
    <col min="7" max="7" width="16.375" style="560" hidden="1" customWidth="1"/>
    <col min="8" max="8" width="16.125" style="560" hidden="1" customWidth="1"/>
    <col min="9" max="9" width="18.00390625" style="560" hidden="1" customWidth="1"/>
    <col min="10" max="10" width="17.375" style="560" hidden="1" customWidth="1"/>
    <col min="11" max="11" width="18.00390625" style="560" hidden="1" customWidth="1"/>
    <col min="12" max="12" width="17.375" style="560" hidden="1" customWidth="1"/>
    <col min="13" max="13" width="19.00390625" style="560" hidden="1" customWidth="1"/>
    <col min="14" max="14" width="17.375" style="560" hidden="1" customWidth="1"/>
    <col min="15" max="15" width="19.00390625" style="560" customWidth="1"/>
    <col min="16" max="16" width="15.375" style="560" customWidth="1"/>
    <col min="17" max="17" width="19.00390625" style="560" customWidth="1"/>
    <col min="18" max="16384" width="9.375" style="482" customWidth="1"/>
  </cols>
  <sheetData>
    <row r="1" spans="1:17" s="478" customFormat="1" ht="12.75">
      <c r="A1" s="475"/>
      <c r="B1" s="476"/>
      <c r="C1" s="477"/>
      <c r="D1" s="477"/>
      <c r="E1" s="244"/>
      <c r="F1" s="477"/>
      <c r="G1" s="244"/>
      <c r="H1" s="477"/>
      <c r="I1" s="244"/>
      <c r="J1" s="477"/>
      <c r="K1" s="244"/>
      <c r="L1" s="477"/>
      <c r="M1" s="244"/>
      <c r="N1" s="477"/>
      <c r="O1" s="813" t="s">
        <v>616</v>
      </c>
      <c r="P1" s="813"/>
      <c r="Q1" s="813"/>
    </row>
    <row r="2" spans="1:17" s="481" customFormat="1" ht="16.5" customHeight="1">
      <c r="A2" s="479"/>
      <c r="B2" s="480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 t="s">
        <v>590</v>
      </c>
    </row>
    <row r="3" spans="1:17" ht="15.75" customHeight="1">
      <c r="A3" s="728" t="s">
        <v>17</v>
      </c>
      <c r="B3" s="728"/>
      <c r="C3" s="728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/>
      <c r="Q3"/>
    </row>
    <row r="4" spans="1:17" ht="15.75" customHeight="1" thickBot="1">
      <c r="A4" s="730" t="s">
        <v>156</v>
      </c>
      <c r="B4" s="730"/>
      <c r="C4" s="483"/>
      <c r="D4" s="483"/>
      <c r="E4" s="483" t="s">
        <v>535</v>
      </c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 t="s">
        <v>535</v>
      </c>
    </row>
    <row r="5" spans="1:17" ht="37.5" customHeight="1" thickBot="1">
      <c r="A5" s="484" t="s">
        <v>76</v>
      </c>
      <c r="B5" s="485" t="s">
        <v>19</v>
      </c>
      <c r="C5" s="486" t="s">
        <v>540</v>
      </c>
      <c r="D5" s="486" t="s">
        <v>580</v>
      </c>
      <c r="E5" s="486" t="s">
        <v>581</v>
      </c>
      <c r="F5" s="486" t="s">
        <v>591</v>
      </c>
      <c r="G5" s="486" t="s">
        <v>581</v>
      </c>
      <c r="H5" s="486" t="s">
        <v>595</v>
      </c>
      <c r="I5" s="486" t="s">
        <v>581</v>
      </c>
      <c r="J5" s="486" t="s">
        <v>599</v>
      </c>
      <c r="K5" s="486" t="s">
        <v>581</v>
      </c>
      <c r="L5" s="486" t="s">
        <v>602</v>
      </c>
      <c r="M5" s="486" t="s">
        <v>581</v>
      </c>
      <c r="N5" s="486" t="s">
        <v>606</v>
      </c>
      <c r="O5" s="486" t="s">
        <v>581</v>
      </c>
      <c r="P5" s="486" t="s">
        <v>615</v>
      </c>
      <c r="Q5" s="486" t="s">
        <v>581</v>
      </c>
    </row>
    <row r="6" spans="1:17" s="490" customFormat="1" ht="12" customHeight="1" thickBot="1">
      <c r="A6" s="487">
        <v>1</v>
      </c>
      <c r="B6" s="488">
        <v>2</v>
      </c>
      <c r="C6" s="489">
        <v>3</v>
      </c>
      <c r="D6" s="489">
        <v>4</v>
      </c>
      <c r="E6" s="489">
        <v>5</v>
      </c>
      <c r="F6" s="489">
        <v>4</v>
      </c>
      <c r="G6" s="489">
        <v>4</v>
      </c>
      <c r="H6" s="489">
        <v>5</v>
      </c>
      <c r="I6" s="489">
        <v>4</v>
      </c>
      <c r="J6" s="489">
        <v>5</v>
      </c>
      <c r="K6" s="489">
        <v>4</v>
      </c>
      <c r="L6" s="489">
        <v>5</v>
      </c>
      <c r="M6" s="489">
        <v>4</v>
      </c>
      <c r="N6" s="489">
        <v>5</v>
      </c>
      <c r="O6" s="489">
        <v>4</v>
      </c>
      <c r="P6" s="489">
        <v>5</v>
      </c>
      <c r="Q6" s="489">
        <v>6</v>
      </c>
    </row>
    <row r="7" spans="1:17" s="494" customFormat="1" ht="12" customHeight="1" thickBot="1">
      <c r="A7" s="491" t="s">
        <v>20</v>
      </c>
      <c r="B7" s="492" t="s">
        <v>261</v>
      </c>
      <c r="C7" s="493">
        <f aca="true" t="shared" si="0" ref="C7:Q7">+C8+C9+C10+C11+C12+C13</f>
        <v>129283891</v>
      </c>
      <c r="D7" s="493">
        <f t="shared" si="0"/>
        <v>0</v>
      </c>
      <c r="E7" s="493">
        <f t="shared" si="0"/>
        <v>129283891</v>
      </c>
      <c r="F7" s="493">
        <f t="shared" si="0"/>
        <v>0</v>
      </c>
      <c r="G7" s="493">
        <f t="shared" si="0"/>
        <v>129283891</v>
      </c>
      <c r="H7" s="493">
        <f t="shared" si="0"/>
        <v>10147793</v>
      </c>
      <c r="I7" s="493">
        <f t="shared" si="0"/>
        <v>139431684</v>
      </c>
      <c r="J7" s="493">
        <f t="shared" si="0"/>
        <v>3202208</v>
      </c>
      <c r="K7" s="493">
        <f t="shared" si="0"/>
        <v>142633892</v>
      </c>
      <c r="L7" s="493">
        <f t="shared" si="0"/>
        <v>0</v>
      </c>
      <c r="M7" s="493">
        <f t="shared" si="0"/>
        <v>142633892</v>
      </c>
      <c r="N7" s="493">
        <f t="shared" si="0"/>
        <v>-672993</v>
      </c>
      <c r="O7" s="493">
        <f t="shared" si="0"/>
        <v>141960899</v>
      </c>
      <c r="P7" s="493">
        <f t="shared" si="0"/>
        <v>254503</v>
      </c>
      <c r="Q7" s="493">
        <f t="shared" si="0"/>
        <v>142215402</v>
      </c>
    </row>
    <row r="8" spans="1:17" s="494" customFormat="1" ht="12" customHeight="1">
      <c r="A8" s="495" t="s">
        <v>107</v>
      </c>
      <c r="B8" s="496" t="s">
        <v>262</v>
      </c>
      <c r="C8" s="497">
        <v>48805752</v>
      </c>
      <c r="D8" s="497"/>
      <c r="E8" s="497">
        <f>C8+D8</f>
        <v>48805752</v>
      </c>
      <c r="F8" s="497"/>
      <c r="G8" s="497">
        <f>E8+F8</f>
        <v>48805752</v>
      </c>
      <c r="H8" s="497">
        <v>1813000</v>
      </c>
      <c r="I8" s="497">
        <f>G8+H8</f>
        <v>50618752</v>
      </c>
      <c r="J8" s="497"/>
      <c r="K8" s="497">
        <f>I8+J8</f>
        <v>50618752</v>
      </c>
      <c r="L8" s="497"/>
      <c r="M8" s="497">
        <f>K8+L8</f>
        <v>50618752</v>
      </c>
      <c r="N8" s="497">
        <v>361042</v>
      </c>
      <c r="O8" s="497">
        <f>M8+N8</f>
        <v>50979794</v>
      </c>
      <c r="P8" s="497"/>
      <c r="Q8" s="497">
        <f aca="true" t="shared" si="1" ref="Q8:Q13">O8+P8</f>
        <v>50979794</v>
      </c>
    </row>
    <row r="9" spans="1:17" s="494" customFormat="1" ht="12" customHeight="1">
      <c r="A9" s="498" t="s">
        <v>108</v>
      </c>
      <c r="B9" s="499" t="s">
        <v>263</v>
      </c>
      <c r="C9" s="500">
        <v>39125150</v>
      </c>
      <c r="D9" s="500"/>
      <c r="E9" s="497">
        <f>C9+D9</f>
        <v>39125150</v>
      </c>
      <c r="F9" s="500"/>
      <c r="G9" s="497">
        <f>E9+F9</f>
        <v>39125150</v>
      </c>
      <c r="H9" s="500">
        <v>585000</v>
      </c>
      <c r="I9" s="497">
        <f>G9+H9</f>
        <v>39710150</v>
      </c>
      <c r="J9" s="500">
        <v>1619499</v>
      </c>
      <c r="K9" s="497">
        <f>I9+J9</f>
        <v>41329649</v>
      </c>
      <c r="L9" s="500"/>
      <c r="M9" s="497">
        <f>K9+L9</f>
        <v>41329649</v>
      </c>
      <c r="N9" s="500">
        <v>-421300</v>
      </c>
      <c r="O9" s="497">
        <f>M9+N9</f>
        <v>40908349</v>
      </c>
      <c r="P9" s="500"/>
      <c r="Q9" s="497">
        <f t="shared" si="1"/>
        <v>40908349</v>
      </c>
    </row>
    <row r="10" spans="1:17" s="494" customFormat="1" ht="12" customHeight="1">
      <c r="A10" s="498" t="s">
        <v>109</v>
      </c>
      <c r="B10" s="499" t="s">
        <v>264</v>
      </c>
      <c r="C10" s="500">
        <v>38652269</v>
      </c>
      <c r="D10" s="500"/>
      <c r="E10" s="497">
        <f>C10+D10</f>
        <v>38652269</v>
      </c>
      <c r="F10" s="500"/>
      <c r="G10" s="497">
        <f>E10+F10</f>
        <v>38652269</v>
      </c>
      <c r="H10" s="500">
        <v>2748193</v>
      </c>
      <c r="I10" s="497">
        <f>G10+H10</f>
        <v>41400462</v>
      </c>
      <c r="J10" s="500">
        <v>1223161</v>
      </c>
      <c r="K10" s="497">
        <f>I10+J10</f>
        <v>42623623</v>
      </c>
      <c r="L10" s="500"/>
      <c r="M10" s="497">
        <f>K10+L10</f>
        <v>42623623</v>
      </c>
      <c r="N10" s="500">
        <v>-1005823</v>
      </c>
      <c r="O10" s="497">
        <f>M10+N10</f>
        <v>41617800</v>
      </c>
      <c r="P10" s="500"/>
      <c r="Q10" s="497">
        <f t="shared" si="1"/>
        <v>41617800</v>
      </c>
    </row>
    <row r="11" spans="1:17" s="494" customFormat="1" ht="12" customHeight="1">
      <c r="A11" s="498" t="s">
        <v>110</v>
      </c>
      <c r="B11" s="499" t="s">
        <v>265</v>
      </c>
      <c r="C11" s="500">
        <v>2700720</v>
      </c>
      <c r="D11" s="500"/>
      <c r="E11" s="497">
        <f>C11+D11</f>
        <v>2700720</v>
      </c>
      <c r="F11" s="500"/>
      <c r="G11" s="497">
        <f>E11+F11</f>
        <v>2700720</v>
      </c>
      <c r="H11" s="500">
        <v>92000</v>
      </c>
      <c r="I11" s="497">
        <f>G11+H11</f>
        <v>2792720</v>
      </c>
      <c r="J11" s="500">
        <v>359548</v>
      </c>
      <c r="K11" s="497">
        <f>I11+J11</f>
        <v>3152268</v>
      </c>
      <c r="L11" s="500"/>
      <c r="M11" s="497">
        <f>K11+L11</f>
        <v>3152268</v>
      </c>
      <c r="N11" s="500">
        <v>393088</v>
      </c>
      <c r="O11" s="497">
        <f>M11+N11</f>
        <v>3545356</v>
      </c>
      <c r="P11" s="500"/>
      <c r="Q11" s="497">
        <f t="shared" si="1"/>
        <v>3545356</v>
      </c>
    </row>
    <row r="12" spans="1:17" s="494" customFormat="1" ht="12" customHeight="1">
      <c r="A12" s="498" t="s">
        <v>152</v>
      </c>
      <c r="B12" s="499" t="s">
        <v>266</v>
      </c>
      <c r="C12" s="500"/>
      <c r="D12" s="500"/>
      <c r="E12" s="497">
        <f>C12+D12</f>
        <v>0</v>
      </c>
      <c r="F12" s="500"/>
      <c r="G12" s="497">
        <f>E12+F12</f>
        <v>0</v>
      </c>
      <c r="H12" s="500">
        <v>4909600</v>
      </c>
      <c r="I12" s="497">
        <f>G12+H12</f>
        <v>4909600</v>
      </c>
      <c r="J12" s="500"/>
      <c r="K12" s="497">
        <f>I12+J12</f>
        <v>4909600</v>
      </c>
      <c r="L12" s="500"/>
      <c r="M12" s="497">
        <f>K12+L12</f>
        <v>4909600</v>
      </c>
      <c r="N12" s="500"/>
      <c r="O12" s="497">
        <f>M12+N12</f>
        <v>4909600</v>
      </c>
      <c r="P12" s="500"/>
      <c r="Q12" s="497">
        <f t="shared" si="1"/>
        <v>4909600</v>
      </c>
    </row>
    <row r="13" spans="1:17" s="494" customFormat="1" ht="12" customHeight="1" thickBot="1">
      <c r="A13" s="501" t="s">
        <v>111</v>
      </c>
      <c r="B13" s="502" t="s">
        <v>267</v>
      </c>
      <c r="C13" s="500">
        <v>0</v>
      </c>
      <c r="D13" s="500">
        <v>0</v>
      </c>
      <c r="E13" s="500">
        <v>0</v>
      </c>
      <c r="F13" s="500">
        <v>0</v>
      </c>
      <c r="G13" s="500">
        <v>0</v>
      </c>
      <c r="H13" s="500">
        <v>0</v>
      </c>
      <c r="I13" s="500">
        <v>0</v>
      </c>
      <c r="J13" s="500">
        <v>0</v>
      </c>
      <c r="K13" s="500">
        <v>0</v>
      </c>
      <c r="L13" s="500">
        <v>0</v>
      </c>
      <c r="M13" s="500">
        <v>0</v>
      </c>
      <c r="N13" s="500">
        <v>0</v>
      </c>
      <c r="O13" s="500">
        <v>0</v>
      </c>
      <c r="P13" s="500">
        <v>254503</v>
      </c>
      <c r="Q13" s="497">
        <f t="shared" si="1"/>
        <v>254503</v>
      </c>
    </row>
    <row r="14" spans="1:17" s="494" customFormat="1" ht="12" customHeight="1" thickBot="1">
      <c r="A14" s="491" t="s">
        <v>21</v>
      </c>
      <c r="B14" s="503" t="s">
        <v>268</v>
      </c>
      <c r="C14" s="493">
        <f aca="true" t="shared" si="2" ref="C14:Q14">+C15+C16+C17+C18+C19</f>
        <v>15820260</v>
      </c>
      <c r="D14" s="493">
        <f t="shared" si="2"/>
        <v>0</v>
      </c>
      <c r="E14" s="493">
        <f t="shared" si="2"/>
        <v>15820260</v>
      </c>
      <c r="F14" s="493">
        <f t="shared" si="2"/>
        <v>1154708</v>
      </c>
      <c r="G14" s="493">
        <f t="shared" si="2"/>
        <v>16974968</v>
      </c>
      <c r="H14" s="493">
        <f t="shared" si="2"/>
        <v>4245083</v>
      </c>
      <c r="I14" s="493">
        <f t="shared" si="2"/>
        <v>21220051</v>
      </c>
      <c r="J14" s="493">
        <f t="shared" si="2"/>
        <v>4511368</v>
      </c>
      <c r="K14" s="493">
        <f t="shared" si="2"/>
        <v>25731419</v>
      </c>
      <c r="L14" s="493">
        <f t="shared" si="2"/>
        <v>745536</v>
      </c>
      <c r="M14" s="493">
        <f t="shared" si="2"/>
        <v>26476955</v>
      </c>
      <c r="N14" s="493">
        <f t="shared" si="2"/>
        <v>814547</v>
      </c>
      <c r="O14" s="493">
        <f t="shared" si="2"/>
        <v>27291502</v>
      </c>
      <c r="P14" s="493">
        <f t="shared" si="2"/>
        <v>0</v>
      </c>
      <c r="Q14" s="493">
        <f t="shared" si="2"/>
        <v>27291502</v>
      </c>
    </row>
    <row r="15" spans="1:17" s="494" customFormat="1" ht="12" customHeight="1">
      <c r="A15" s="495" t="s">
        <v>113</v>
      </c>
      <c r="B15" s="496" t="s">
        <v>269</v>
      </c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7"/>
    </row>
    <row r="16" spans="1:17" s="494" customFormat="1" ht="12" customHeight="1">
      <c r="A16" s="498" t="s">
        <v>114</v>
      </c>
      <c r="B16" s="499" t="s">
        <v>270</v>
      </c>
      <c r="C16" s="500"/>
      <c r="D16" s="500"/>
      <c r="E16" s="500"/>
      <c r="F16" s="500"/>
      <c r="G16" s="500"/>
      <c r="H16" s="500"/>
      <c r="I16" s="500"/>
      <c r="J16" s="500"/>
      <c r="K16" s="500"/>
      <c r="L16" s="500"/>
      <c r="M16" s="500"/>
      <c r="N16" s="500"/>
      <c r="O16" s="500"/>
      <c r="P16" s="500"/>
      <c r="Q16" s="500"/>
    </row>
    <row r="17" spans="1:17" s="494" customFormat="1" ht="12" customHeight="1">
      <c r="A17" s="498" t="s">
        <v>115</v>
      </c>
      <c r="B17" s="499" t="s">
        <v>493</v>
      </c>
      <c r="C17" s="500"/>
      <c r="D17" s="500"/>
      <c r="E17" s="500"/>
      <c r="F17" s="500"/>
      <c r="G17" s="500"/>
      <c r="H17" s="500"/>
      <c r="I17" s="500"/>
      <c r="J17" s="500"/>
      <c r="K17" s="500"/>
      <c r="L17" s="500"/>
      <c r="M17" s="500"/>
      <c r="N17" s="500"/>
      <c r="O17" s="500"/>
      <c r="P17" s="500"/>
      <c r="Q17" s="500"/>
    </row>
    <row r="18" spans="1:17" s="494" customFormat="1" ht="12" customHeight="1">
      <c r="A18" s="498" t="s">
        <v>116</v>
      </c>
      <c r="B18" s="499" t="s">
        <v>494</v>
      </c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500"/>
      <c r="Q18" s="500"/>
    </row>
    <row r="19" spans="1:17" s="494" customFormat="1" ht="12" customHeight="1">
      <c r="A19" s="498" t="s">
        <v>117</v>
      </c>
      <c r="B19" s="499" t="s">
        <v>271</v>
      </c>
      <c r="C19" s="500">
        <v>15820260</v>
      </c>
      <c r="D19" s="500"/>
      <c r="E19" s="500">
        <f>C19+D19</f>
        <v>15820260</v>
      </c>
      <c r="F19" s="500">
        <v>1154708</v>
      </c>
      <c r="G19" s="500">
        <f>E19+F19</f>
        <v>16974968</v>
      </c>
      <c r="H19" s="500">
        <f>4204708+40375</f>
        <v>4245083</v>
      </c>
      <c r="I19" s="500">
        <f>G19+H19</f>
        <v>21220051</v>
      </c>
      <c r="J19" s="500">
        <f>3438725+1342643-270000</f>
        <v>4511368</v>
      </c>
      <c r="K19" s="500">
        <f>I19+J19</f>
        <v>25731419</v>
      </c>
      <c r="L19" s="500">
        <f>590337+155199</f>
        <v>745536</v>
      </c>
      <c r="M19" s="500">
        <f>K19+L19</f>
        <v>26476955</v>
      </c>
      <c r="N19" s="500">
        <f>964547+120000-270000</f>
        <v>814547</v>
      </c>
      <c r="O19" s="500">
        <f>M19+N19</f>
        <v>27291502</v>
      </c>
      <c r="P19" s="500"/>
      <c r="Q19" s="500">
        <f>O19+P19</f>
        <v>27291502</v>
      </c>
    </row>
    <row r="20" spans="1:17" s="494" customFormat="1" ht="12" customHeight="1" thickBot="1">
      <c r="A20" s="501" t="s">
        <v>126</v>
      </c>
      <c r="B20" s="502" t="s">
        <v>272</v>
      </c>
      <c r="C20" s="504"/>
      <c r="D20" s="504"/>
      <c r="E20" s="504"/>
      <c r="F20" s="504"/>
      <c r="G20" s="504"/>
      <c r="H20" s="504"/>
      <c r="I20" s="504"/>
      <c r="J20" s="504"/>
      <c r="K20" s="504"/>
      <c r="L20" s="504"/>
      <c r="M20" s="504"/>
      <c r="N20" s="504"/>
      <c r="O20" s="504"/>
      <c r="P20" s="504"/>
      <c r="Q20" s="504"/>
    </row>
    <row r="21" spans="1:17" s="494" customFormat="1" ht="12" customHeight="1" thickBot="1">
      <c r="A21" s="491" t="s">
        <v>22</v>
      </c>
      <c r="B21" s="492" t="s">
        <v>273</v>
      </c>
      <c r="C21" s="493">
        <f aca="true" t="shared" si="3" ref="C21:Q21">+C22+C23+C24+C25+C26</f>
        <v>9800000</v>
      </c>
      <c r="D21" s="493">
        <f t="shared" si="3"/>
        <v>0</v>
      </c>
      <c r="E21" s="493">
        <f t="shared" si="3"/>
        <v>9800000</v>
      </c>
      <c r="F21" s="493">
        <f t="shared" si="3"/>
        <v>0</v>
      </c>
      <c r="G21" s="493">
        <f t="shared" si="3"/>
        <v>9800000</v>
      </c>
      <c r="H21" s="493">
        <f t="shared" si="3"/>
        <v>2926115</v>
      </c>
      <c r="I21" s="493">
        <f t="shared" si="3"/>
        <v>12726115</v>
      </c>
      <c r="J21" s="493">
        <f t="shared" si="3"/>
        <v>12746471</v>
      </c>
      <c r="K21" s="493">
        <f t="shared" si="3"/>
        <v>25472586</v>
      </c>
      <c r="L21" s="493">
        <f t="shared" si="3"/>
        <v>4999863</v>
      </c>
      <c r="M21" s="493">
        <f t="shared" si="3"/>
        <v>30472449</v>
      </c>
      <c r="N21" s="493">
        <f t="shared" si="3"/>
        <v>40819387</v>
      </c>
      <c r="O21" s="493">
        <f t="shared" si="3"/>
        <v>71291836</v>
      </c>
      <c r="P21" s="493">
        <f t="shared" si="3"/>
        <v>0</v>
      </c>
      <c r="Q21" s="493">
        <f t="shared" si="3"/>
        <v>71291836</v>
      </c>
    </row>
    <row r="22" spans="1:17" s="494" customFormat="1" ht="12" customHeight="1">
      <c r="A22" s="495" t="s">
        <v>96</v>
      </c>
      <c r="B22" s="496" t="s">
        <v>274</v>
      </c>
      <c r="C22" s="497">
        <v>0</v>
      </c>
      <c r="D22" s="497">
        <v>0</v>
      </c>
      <c r="E22" s="497">
        <v>0</v>
      </c>
      <c r="F22" s="497">
        <v>0</v>
      </c>
      <c r="G22" s="497">
        <v>0</v>
      </c>
      <c r="H22" s="497">
        <v>0</v>
      </c>
      <c r="I22" s="497">
        <v>0</v>
      </c>
      <c r="J22" s="497">
        <v>0</v>
      </c>
      <c r="K22" s="497">
        <v>0</v>
      </c>
      <c r="L22" s="497">
        <v>0</v>
      </c>
      <c r="M22" s="497">
        <v>0</v>
      </c>
      <c r="N22" s="497">
        <v>0</v>
      </c>
      <c r="O22" s="497">
        <v>0</v>
      </c>
      <c r="P22" s="497">
        <v>0</v>
      </c>
      <c r="Q22" s="497">
        <v>0</v>
      </c>
    </row>
    <row r="23" spans="1:17" s="494" customFormat="1" ht="12" customHeight="1">
      <c r="A23" s="498" t="s">
        <v>97</v>
      </c>
      <c r="B23" s="499" t="s">
        <v>275</v>
      </c>
      <c r="C23" s="500"/>
      <c r="D23" s="500"/>
      <c r="E23" s="500"/>
      <c r="F23" s="500"/>
      <c r="G23" s="500"/>
      <c r="H23" s="500"/>
      <c r="I23" s="500"/>
      <c r="J23" s="500"/>
      <c r="K23" s="500"/>
      <c r="L23" s="500"/>
      <c r="M23" s="500"/>
      <c r="N23" s="500"/>
      <c r="O23" s="500"/>
      <c r="P23" s="500"/>
      <c r="Q23" s="500"/>
    </row>
    <row r="24" spans="1:17" s="494" customFormat="1" ht="12" customHeight="1">
      <c r="A24" s="498" t="s">
        <v>98</v>
      </c>
      <c r="B24" s="499" t="s">
        <v>495</v>
      </c>
      <c r="C24" s="500"/>
      <c r="D24" s="500"/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</row>
    <row r="25" spans="1:17" s="494" customFormat="1" ht="12" customHeight="1">
      <c r="A25" s="498" t="s">
        <v>99</v>
      </c>
      <c r="B25" s="499" t="s">
        <v>496</v>
      </c>
      <c r="C25" s="500"/>
      <c r="D25" s="500"/>
      <c r="E25" s="500"/>
      <c r="F25" s="500"/>
      <c r="G25" s="500"/>
      <c r="H25" s="500"/>
      <c r="I25" s="500"/>
      <c r="J25" s="500"/>
      <c r="K25" s="500"/>
      <c r="L25" s="500"/>
      <c r="M25" s="500"/>
      <c r="N25" s="500"/>
      <c r="O25" s="500"/>
      <c r="P25" s="500"/>
      <c r="Q25" s="500"/>
    </row>
    <row r="26" spans="1:17" s="494" customFormat="1" ht="12" customHeight="1">
      <c r="A26" s="498" t="s">
        <v>175</v>
      </c>
      <c r="B26" s="499" t="s">
        <v>276</v>
      </c>
      <c r="C26" s="500">
        <v>9800000</v>
      </c>
      <c r="D26" s="500"/>
      <c r="E26" s="500">
        <f>C26+D26</f>
        <v>9800000</v>
      </c>
      <c r="F26" s="500"/>
      <c r="G26" s="500">
        <f>E26+F26</f>
        <v>9800000</v>
      </c>
      <c r="H26" s="500">
        <v>2926115</v>
      </c>
      <c r="I26" s="500">
        <f>G26+H26</f>
        <v>12726115</v>
      </c>
      <c r="J26" s="500">
        <v>12746471</v>
      </c>
      <c r="K26" s="500">
        <f>I26+J26</f>
        <v>25472586</v>
      </c>
      <c r="L26" s="500">
        <v>4999863</v>
      </c>
      <c r="M26" s="500">
        <f>K26+L26</f>
        <v>30472449</v>
      </c>
      <c r="N26" s="500">
        <v>40819387</v>
      </c>
      <c r="O26" s="500">
        <f>M26+N26</f>
        <v>71291836</v>
      </c>
      <c r="P26" s="500"/>
      <c r="Q26" s="500">
        <f>O26+P26</f>
        <v>71291836</v>
      </c>
    </row>
    <row r="27" spans="1:17" s="494" customFormat="1" ht="12" customHeight="1" thickBot="1">
      <c r="A27" s="501" t="s">
        <v>176</v>
      </c>
      <c r="B27" s="502" t="s">
        <v>277</v>
      </c>
      <c r="C27" s="504"/>
      <c r="D27" s="504"/>
      <c r="E27" s="504"/>
      <c r="F27" s="504"/>
      <c r="G27" s="504"/>
      <c r="H27" s="504"/>
      <c r="I27" s="504"/>
      <c r="J27" s="504"/>
      <c r="K27" s="504"/>
      <c r="L27" s="504"/>
      <c r="M27" s="504"/>
      <c r="N27" s="504"/>
      <c r="O27" s="504"/>
      <c r="P27" s="504"/>
      <c r="Q27" s="504"/>
    </row>
    <row r="28" spans="1:17" s="494" customFormat="1" ht="12" customHeight="1" thickBot="1">
      <c r="A28" s="491" t="s">
        <v>177</v>
      </c>
      <c r="B28" s="492" t="s">
        <v>278</v>
      </c>
      <c r="C28" s="505">
        <f aca="true" t="shared" si="4" ref="C28:Q28">+C29+C32+C33+C34</f>
        <v>60200000</v>
      </c>
      <c r="D28" s="505">
        <f t="shared" si="4"/>
        <v>-2500000</v>
      </c>
      <c r="E28" s="505">
        <f t="shared" si="4"/>
        <v>57700000</v>
      </c>
      <c r="F28" s="505">
        <f t="shared" si="4"/>
        <v>0</v>
      </c>
      <c r="G28" s="505">
        <f t="shared" si="4"/>
        <v>57700000</v>
      </c>
      <c r="H28" s="505">
        <f t="shared" si="4"/>
        <v>0</v>
      </c>
      <c r="I28" s="505">
        <f t="shared" si="4"/>
        <v>57700000</v>
      </c>
      <c r="J28" s="505">
        <f t="shared" si="4"/>
        <v>0</v>
      </c>
      <c r="K28" s="505">
        <f t="shared" si="4"/>
        <v>57700000</v>
      </c>
      <c r="L28" s="505">
        <f t="shared" si="4"/>
        <v>11255764</v>
      </c>
      <c r="M28" s="505">
        <f t="shared" si="4"/>
        <v>68955764</v>
      </c>
      <c r="N28" s="505">
        <f t="shared" si="4"/>
        <v>24111367</v>
      </c>
      <c r="O28" s="505">
        <f t="shared" si="4"/>
        <v>93067131</v>
      </c>
      <c r="P28" s="505">
        <f t="shared" si="4"/>
        <v>0</v>
      </c>
      <c r="Q28" s="505">
        <f t="shared" si="4"/>
        <v>93067131</v>
      </c>
    </row>
    <row r="29" spans="1:17" s="494" customFormat="1" ht="12" customHeight="1">
      <c r="A29" s="495" t="s">
        <v>279</v>
      </c>
      <c r="B29" s="496" t="s">
        <v>285</v>
      </c>
      <c r="C29" s="506">
        <f aca="true" t="shared" si="5" ref="C29:Q29">+C30+C31</f>
        <v>50000000</v>
      </c>
      <c r="D29" s="506">
        <f t="shared" si="5"/>
        <v>0</v>
      </c>
      <c r="E29" s="506">
        <f t="shared" si="5"/>
        <v>50000000</v>
      </c>
      <c r="F29" s="506">
        <f t="shared" si="5"/>
        <v>0</v>
      </c>
      <c r="G29" s="506">
        <f t="shared" si="5"/>
        <v>50000000</v>
      </c>
      <c r="H29" s="506">
        <f t="shared" si="5"/>
        <v>0</v>
      </c>
      <c r="I29" s="506">
        <f t="shared" si="5"/>
        <v>50000000</v>
      </c>
      <c r="J29" s="506">
        <f t="shared" si="5"/>
        <v>0</v>
      </c>
      <c r="K29" s="506">
        <f t="shared" si="5"/>
        <v>50000000</v>
      </c>
      <c r="L29" s="506">
        <f t="shared" si="5"/>
        <v>11255764</v>
      </c>
      <c r="M29" s="506">
        <f t="shared" si="5"/>
        <v>61255764</v>
      </c>
      <c r="N29" s="506">
        <f t="shared" si="5"/>
        <v>23228887</v>
      </c>
      <c r="O29" s="506">
        <f t="shared" si="5"/>
        <v>84484651</v>
      </c>
      <c r="P29" s="506">
        <f t="shared" si="5"/>
        <v>0</v>
      </c>
      <c r="Q29" s="506">
        <f t="shared" si="5"/>
        <v>84484651</v>
      </c>
    </row>
    <row r="30" spans="1:17" s="494" customFormat="1" ht="12" customHeight="1">
      <c r="A30" s="498" t="s">
        <v>280</v>
      </c>
      <c r="B30" s="499" t="s">
        <v>286</v>
      </c>
      <c r="C30" s="500">
        <v>10000000</v>
      </c>
      <c r="D30" s="500"/>
      <c r="E30" s="500">
        <f>C30+D30</f>
        <v>10000000</v>
      </c>
      <c r="F30" s="500"/>
      <c r="G30" s="500">
        <f>E30+F30</f>
        <v>10000000</v>
      </c>
      <c r="H30" s="500"/>
      <c r="I30" s="500">
        <f>G30+H30</f>
        <v>10000000</v>
      </c>
      <c r="J30" s="500"/>
      <c r="K30" s="500">
        <f>I30+J30</f>
        <v>10000000</v>
      </c>
      <c r="L30" s="500"/>
      <c r="M30" s="500">
        <f>K30+L30</f>
        <v>10000000</v>
      </c>
      <c r="N30" s="500">
        <v>445250</v>
      </c>
      <c r="O30" s="500">
        <f>M30+N30</f>
        <v>10445250</v>
      </c>
      <c r="P30" s="500"/>
      <c r="Q30" s="500">
        <f>O30+P30</f>
        <v>10445250</v>
      </c>
    </row>
    <row r="31" spans="1:17" s="494" customFormat="1" ht="12" customHeight="1">
      <c r="A31" s="498" t="s">
        <v>281</v>
      </c>
      <c r="B31" s="499" t="s">
        <v>287</v>
      </c>
      <c r="C31" s="500">
        <v>40000000</v>
      </c>
      <c r="D31" s="500"/>
      <c r="E31" s="500">
        <f>C31+D31</f>
        <v>40000000</v>
      </c>
      <c r="F31" s="500"/>
      <c r="G31" s="500">
        <f>E31+F31</f>
        <v>40000000</v>
      </c>
      <c r="H31" s="500"/>
      <c r="I31" s="500">
        <f>G31+H31</f>
        <v>40000000</v>
      </c>
      <c r="J31" s="500"/>
      <c r="K31" s="500">
        <f>I31+J31</f>
        <v>40000000</v>
      </c>
      <c r="L31" s="500">
        <v>11255764</v>
      </c>
      <c r="M31" s="500">
        <f>K31+L31</f>
        <v>51255764</v>
      </c>
      <c r="N31" s="500">
        <v>22783637</v>
      </c>
      <c r="O31" s="500">
        <f>M31+N31</f>
        <v>74039401</v>
      </c>
      <c r="P31" s="500"/>
      <c r="Q31" s="500">
        <f>O31+P31</f>
        <v>74039401</v>
      </c>
    </row>
    <row r="32" spans="1:17" s="494" customFormat="1" ht="12" customHeight="1">
      <c r="A32" s="498" t="s">
        <v>282</v>
      </c>
      <c r="B32" s="499" t="s">
        <v>288</v>
      </c>
      <c r="C32" s="500">
        <v>4000000</v>
      </c>
      <c r="D32" s="500"/>
      <c r="E32" s="500">
        <f>C32+D32</f>
        <v>4000000</v>
      </c>
      <c r="F32" s="500"/>
      <c r="G32" s="500">
        <f>E32+F32</f>
        <v>4000000</v>
      </c>
      <c r="H32" s="500"/>
      <c r="I32" s="500">
        <f>G32+H32</f>
        <v>4000000</v>
      </c>
      <c r="J32" s="500"/>
      <c r="K32" s="500">
        <f>I32+J32</f>
        <v>4000000</v>
      </c>
      <c r="L32" s="500"/>
      <c r="M32" s="500">
        <f>K32+L32</f>
        <v>4000000</v>
      </c>
      <c r="N32" s="500">
        <v>1166439</v>
      </c>
      <c r="O32" s="500">
        <f>M32+N32</f>
        <v>5166439</v>
      </c>
      <c r="P32" s="500"/>
      <c r="Q32" s="500">
        <f>O32+P32</f>
        <v>5166439</v>
      </c>
    </row>
    <row r="33" spans="1:17" s="494" customFormat="1" ht="12" customHeight="1">
      <c r="A33" s="498" t="s">
        <v>283</v>
      </c>
      <c r="B33" s="499" t="s">
        <v>289</v>
      </c>
      <c r="C33" s="500">
        <v>3000000</v>
      </c>
      <c r="D33" s="500"/>
      <c r="E33" s="500">
        <f>C33+D33</f>
        <v>3000000</v>
      </c>
      <c r="F33" s="500"/>
      <c r="G33" s="500">
        <f>E33+F33</f>
        <v>3000000</v>
      </c>
      <c r="H33" s="500"/>
      <c r="I33" s="500">
        <f>G33+H33</f>
        <v>3000000</v>
      </c>
      <c r="J33" s="500"/>
      <c r="K33" s="500">
        <f>I33+J33</f>
        <v>3000000</v>
      </c>
      <c r="L33" s="500"/>
      <c r="M33" s="500">
        <f>K33+L33</f>
        <v>3000000</v>
      </c>
      <c r="N33" s="500">
        <v>-717900</v>
      </c>
      <c r="O33" s="500">
        <f>M33+N33</f>
        <v>2282100</v>
      </c>
      <c r="P33" s="500"/>
      <c r="Q33" s="500">
        <f>O33+P33</f>
        <v>2282100</v>
      </c>
    </row>
    <row r="34" spans="1:17" s="494" customFormat="1" ht="12" customHeight="1" thickBot="1">
      <c r="A34" s="501" t="s">
        <v>284</v>
      </c>
      <c r="B34" s="502" t="s">
        <v>290</v>
      </c>
      <c r="C34" s="504">
        <v>3200000</v>
      </c>
      <c r="D34" s="504">
        <v>-2500000</v>
      </c>
      <c r="E34" s="500">
        <f>C34+D34</f>
        <v>700000</v>
      </c>
      <c r="F34" s="504"/>
      <c r="G34" s="500">
        <f>E34+F34</f>
        <v>700000</v>
      </c>
      <c r="H34" s="504"/>
      <c r="I34" s="500">
        <f>G34+H34</f>
        <v>700000</v>
      </c>
      <c r="J34" s="504"/>
      <c r="K34" s="500">
        <f>I34+J34</f>
        <v>700000</v>
      </c>
      <c r="L34" s="504"/>
      <c r="M34" s="500">
        <f>K34+L34</f>
        <v>700000</v>
      </c>
      <c r="N34" s="504">
        <v>433941</v>
      </c>
      <c r="O34" s="500">
        <f>M34+N34</f>
        <v>1133941</v>
      </c>
      <c r="P34" s="504"/>
      <c r="Q34" s="500">
        <f>O34+P34</f>
        <v>1133941</v>
      </c>
    </row>
    <row r="35" spans="1:17" s="494" customFormat="1" ht="12" customHeight="1" thickBot="1">
      <c r="A35" s="491" t="s">
        <v>24</v>
      </c>
      <c r="B35" s="492" t="s">
        <v>291</v>
      </c>
      <c r="C35" s="493">
        <f aca="true" t="shared" si="6" ref="C35:Q35">SUM(C36:C45)</f>
        <v>31025876</v>
      </c>
      <c r="D35" s="493">
        <f t="shared" si="6"/>
        <v>0</v>
      </c>
      <c r="E35" s="493">
        <f t="shared" si="6"/>
        <v>31025876</v>
      </c>
      <c r="F35" s="493">
        <f t="shared" si="6"/>
        <v>501000</v>
      </c>
      <c r="G35" s="493">
        <f t="shared" si="6"/>
        <v>31526876</v>
      </c>
      <c r="H35" s="493">
        <f t="shared" si="6"/>
        <v>1287000</v>
      </c>
      <c r="I35" s="493">
        <f t="shared" si="6"/>
        <v>32813876</v>
      </c>
      <c r="J35" s="493">
        <f t="shared" si="6"/>
        <v>594000</v>
      </c>
      <c r="K35" s="493">
        <f t="shared" si="6"/>
        <v>33407876</v>
      </c>
      <c r="L35" s="493">
        <f t="shared" si="6"/>
        <v>0</v>
      </c>
      <c r="M35" s="493">
        <f t="shared" si="6"/>
        <v>33407876</v>
      </c>
      <c r="N35" s="493">
        <f t="shared" si="6"/>
        <v>12056809</v>
      </c>
      <c r="O35" s="493">
        <f t="shared" si="6"/>
        <v>45464685</v>
      </c>
      <c r="P35" s="493">
        <f t="shared" si="6"/>
        <v>-9</v>
      </c>
      <c r="Q35" s="493">
        <f t="shared" si="6"/>
        <v>45464676</v>
      </c>
    </row>
    <row r="36" spans="1:17" s="494" customFormat="1" ht="12" customHeight="1">
      <c r="A36" s="495" t="s">
        <v>100</v>
      </c>
      <c r="B36" s="496" t="s">
        <v>294</v>
      </c>
      <c r="C36" s="497"/>
      <c r="D36" s="497"/>
      <c r="E36" s="497"/>
      <c r="F36" s="497"/>
      <c r="G36" s="497"/>
      <c r="H36" s="497"/>
      <c r="I36" s="497"/>
      <c r="J36" s="497"/>
      <c r="K36" s="497"/>
      <c r="L36" s="497"/>
      <c r="M36" s="497"/>
      <c r="N36" s="497"/>
      <c r="O36" s="497"/>
      <c r="P36" s="497"/>
      <c r="Q36" s="497"/>
    </row>
    <row r="37" spans="1:17" s="494" customFormat="1" ht="12" customHeight="1">
      <c r="A37" s="498" t="s">
        <v>101</v>
      </c>
      <c r="B37" s="499" t="s">
        <v>295</v>
      </c>
      <c r="C37" s="500">
        <v>7527571</v>
      </c>
      <c r="D37" s="500"/>
      <c r="E37" s="500">
        <f>C37+D37</f>
        <v>7527571</v>
      </c>
      <c r="F37" s="500"/>
      <c r="G37" s="500">
        <f>E37+F37</f>
        <v>7527571</v>
      </c>
      <c r="H37" s="500"/>
      <c r="I37" s="500">
        <f>G37+H37</f>
        <v>7527571</v>
      </c>
      <c r="J37" s="500"/>
      <c r="K37" s="500">
        <f>I37+J37</f>
        <v>7527571</v>
      </c>
      <c r="L37" s="500"/>
      <c r="M37" s="500">
        <f>K37+L37</f>
        <v>7527571</v>
      </c>
      <c r="N37" s="500">
        <f>3714872+4971529</f>
        <v>8686401</v>
      </c>
      <c r="O37" s="500">
        <f>M37+N37</f>
        <v>16213972</v>
      </c>
      <c r="P37" s="500">
        <v>-9</v>
      </c>
      <c r="Q37" s="500">
        <f>O37+P37</f>
        <v>16213963</v>
      </c>
    </row>
    <row r="38" spans="1:17" s="494" customFormat="1" ht="12" customHeight="1">
      <c r="A38" s="498" t="s">
        <v>102</v>
      </c>
      <c r="B38" s="499" t="s">
        <v>296</v>
      </c>
      <c r="C38" s="500">
        <v>1100000</v>
      </c>
      <c r="D38" s="500"/>
      <c r="E38" s="500">
        <f aca="true" t="shared" si="7" ref="E38:E44">C38+D38</f>
        <v>1100000</v>
      </c>
      <c r="F38" s="500"/>
      <c r="G38" s="500">
        <f aca="true" t="shared" si="8" ref="G38:G45">E38+F38</f>
        <v>1100000</v>
      </c>
      <c r="H38" s="500"/>
      <c r="I38" s="500">
        <f aca="true" t="shared" si="9" ref="I38:I45">G38+H38</f>
        <v>1100000</v>
      </c>
      <c r="J38" s="500"/>
      <c r="K38" s="500">
        <f aca="true" t="shared" si="10" ref="K38:K45">I38+J38</f>
        <v>1100000</v>
      </c>
      <c r="L38" s="500"/>
      <c r="M38" s="500">
        <f aca="true" t="shared" si="11" ref="M38:M45">K38+L38</f>
        <v>1100000</v>
      </c>
      <c r="N38" s="500">
        <v>750178</v>
      </c>
      <c r="O38" s="500">
        <f aca="true" t="shared" si="12" ref="O38:O45">M38+N38</f>
        <v>1850178</v>
      </c>
      <c r="P38" s="500"/>
      <c r="Q38" s="500">
        <f aca="true" t="shared" si="13" ref="Q38:Q45">O38+P38</f>
        <v>1850178</v>
      </c>
    </row>
    <row r="39" spans="1:17" s="494" customFormat="1" ht="12" customHeight="1">
      <c r="A39" s="498" t="s">
        <v>179</v>
      </c>
      <c r="B39" s="499" t="s">
        <v>297</v>
      </c>
      <c r="C39" s="500">
        <v>4775711</v>
      </c>
      <c r="D39" s="500"/>
      <c r="E39" s="500">
        <f t="shared" si="7"/>
        <v>4775711</v>
      </c>
      <c r="F39" s="500"/>
      <c r="G39" s="500">
        <f t="shared" si="8"/>
        <v>4775711</v>
      </c>
      <c r="H39" s="500"/>
      <c r="I39" s="500">
        <f t="shared" si="9"/>
        <v>4775711</v>
      </c>
      <c r="J39" s="500"/>
      <c r="K39" s="500">
        <f t="shared" si="10"/>
        <v>4775711</v>
      </c>
      <c r="L39" s="500"/>
      <c r="M39" s="500">
        <f t="shared" si="11"/>
        <v>4775711</v>
      </c>
      <c r="N39" s="500">
        <v>-1177212</v>
      </c>
      <c r="O39" s="500">
        <f t="shared" si="12"/>
        <v>3598499</v>
      </c>
      <c r="P39" s="500"/>
      <c r="Q39" s="500">
        <f t="shared" si="13"/>
        <v>3598499</v>
      </c>
    </row>
    <row r="40" spans="1:17" s="494" customFormat="1" ht="12" customHeight="1">
      <c r="A40" s="498" t="s">
        <v>180</v>
      </c>
      <c r="B40" s="499" t="s">
        <v>298</v>
      </c>
      <c r="C40" s="500">
        <v>11900000</v>
      </c>
      <c r="D40" s="500"/>
      <c r="E40" s="500">
        <f t="shared" si="7"/>
        <v>11900000</v>
      </c>
      <c r="F40" s="500"/>
      <c r="G40" s="500">
        <f t="shared" si="8"/>
        <v>11900000</v>
      </c>
      <c r="H40" s="500"/>
      <c r="I40" s="500">
        <f t="shared" si="9"/>
        <v>11900000</v>
      </c>
      <c r="J40" s="500"/>
      <c r="K40" s="500">
        <f t="shared" si="10"/>
        <v>11900000</v>
      </c>
      <c r="L40" s="500"/>
      <c r="M40" s="500">
        <f t="shared" si="11"/>
        <v>11900000</v>
      </c>
      <c r="N40" s="500">
        <f>274306-3854199</f>
        <v>-3579893</v>
      </c>
      <c r="O40" s="500">
        <f t="shared" si="12"/>
        <v>8320107</v>
      </c>
      <c r="P40" s="500"/>
      <c r="Q40" s="500">
        <f t="shared" si="13"/>
        <v>8320107</v>
      </c>
    </row>
    <row r="41" spans="1:17" s="494" customFormat="1" ht="12" customHeight="1">
      <c r="A41" s="498" t="s">
        <v>181</v>
      </c>
      <c r="B41" s="499" t="s">
        <v>299</v>
      </c>
      <c r="C41" s="500">
        <f>1909594+3213000</f>
        <v>5122594</v>
      </c>
      <c r="D41" s="500"/>
      <c r="E41" s="500">
        <f t="shared" si="7"/>
        <v>5122594</v>
      </c>
      <c r="F41" s="500"/>
      <c r="G41" s="500">
        <f t="shared" si="8"/>
        <v>5122594</v>
      </c>
      <c r="H41" s="500"/>
      <c r="I41" s="500">
        <f t="shared" si="9"/>
        <v>5122594</v>
      </c>
      <c r="J41" s="500"/>
      <c r="K41" s="500">
        <f t="shared" si="10"/>
        <v>5122594</v>
      </c>
      <c r="L41" s="500"/>
      <c r="M41" s="500">
        <f t="shared" si="11"/>
        <v>5122594</v>
      </c>
      <c r="N41" s="500">
        <f>565770+288175</f>
        <v>853945</v>
      </c>
      <c r="O41" s="500">
        <f t="shared" si="12"/>
        <v>5976539</v>
      </c>
      <c r="P41" s="500"/>
      <c r="Q41" s="500">
        <f t="shared" si="13"/>
        <v>5976539</v>
      </c>
    </row>
    <row r="42" spans="1:17" s="494" customFormat="1" ht="12" customHeight="1">
      <c r="A42" s="498" t="s">
        <v>182</v>
      </c>
      <c r="B42" s="499" t="s">
        <v>300</v>
      </c>
      <c r="C42" s="500">
        <v>0</v>
      </c>
      <c r="D42" s="500"/>
      <c r="E42" s="500">
        <f t="shared" si="7"/>
        <v>0</v>
      </c>
      <c r="F42" s="500">
        <v>378000</v>
      </c>
      <c r="G42" s="500">
        <f t="shared" si="8"/>
        <v>378000</v>
      </c>
      <c r="H42" s="500">
        <v>908000</v>
      </c>
      <c r="I42" s="500">
        <f t="shared" si="9"/>
        <v>1286000</v>
      </c>
      <c r="J42" s="500">
        <v>594000</v>
      </c>
      <c r="K42" s="500">
        <f t="shared" si="10"/>
        <v>1880000</v>
      </c>
      <c r="L42" s="500"/>
      <c r="M42" s="500">
        <f t="shared" si="11"/>
        <v>1880000</v>
      </c>
      <c r="N42" s="500">
        <v>2048000</v>
      </c>
      <c r="O42" s="500">
        <f t="shared" si="12"/>
        <v>3928000</v>
      </c>
      <c r="P42" s="500"/>
      <c r="Q42" s="500">
        <f t="shared" si="13"/>
        <v>3928000</v>
      </c>
    </row>
    <row r="43" spans="1:17" s="494" customFormat="1" ht="12" customHeight="1">
      <c r="A43" s="498" t="s">
        <v>183</v>
      </c>
      <c r="B43" s="499" t="s">
        <v>301</v>
      </c>
      <c r="C43" s="500">
        <v>600000</v>
      </c>
      <c r="D43" s="500"/>
      <c r="E43" s="500">
        <f t="shared" si="7"/>
        <v>600000</v>
      </c>
      <c r="F43" s="500"/>
      <c r="G43" s="500">
        <f t="shared" si="8"/>
        <v>600000</v>
      </c>
      <c r="H43" s="500"/>
      <c r="I43" s="500">
        <f t="shared" si="9"/>
        <v>600000</v>
      </c>
      <c r="J43" s="500"/>
      <c r="K43" s="500">
        <f t="shared" si="10"/>
        <v>600000</v>
      </c>
      <c r="L43" s="500"/>
      <c r="M43" s="500">
        <f t="shared" si="11"/>
        <v>600000</v>
      </c>
      <c r="N43" s="500"/>
      <c r="O43" s="500">
        <f t="shared" si="12"/>
        <v>600000</v>
      </c>
      <c r="P43" s="500"/>
      <c r="Q43" s="500">
        <f t="shared" si="13"/>
        <v>600000</v>
      </c>
    </row>
    <row r="44" spans="1:17" s="494" customFormat="1" ht="12" customHeight="1">
      <c r="A44" s="498" t="s">
        <v>292</v>
      </c>
      <c r="B44" s="499" t="s">
        <v>302</v>
      </c>
      <c r="C44" s="507"/>
      <c r="D44" s="507"/>
      <c r="E44" s="500">
        <f t="shared" si="7"/>
        <v>0</v>
      </c>
      <c r="F44" s="507"/>
      <c r="G44" s="500">
        <f t="shared" si="8"/>
        <v>0</v>
      </c>
      <c r="H44" s="507"/>
      <c r="I44" s="500">
        <f t="shared" si="9"/>
        <v>0</v>
      </c>
      <c r="J44" s="507"/>
      <c r="K44" s="500">
        <f t="shared" si="10"/>
        <v>0</v>
      </c>
      <c r="L44" s="507"/>
      <c r="M44" s="500">
        <f t="shared" si="11"/>
        <v>0</v>
      </c>
      <c r="N44" s="507"/>
      <c r="O44" s="500">
        <f t="shared" si="12"/>
        <v>0</v>
      </c>
      <c r="P44" s="507"/>
      <c r="Q44" s="500">
        <f t="shared" si="13"/>
        <v>0</v>
      </c>
    </row>
    <row r="45" spans="1:17" s="494" customFormat="1" ht="12" customHeight="1" thickBot="1">
      <c r="A45" s="501" t="s">
        <v>293</v>
      </c>
      <c r="B45" s="502" t="s">
        <v>303</v>
      </c>
      <c r="C45" s="508">
        <v>0</v>
      </c>
      <c r="D45" s="508">
        <v>0</v>
      </c>
      <c r="E45" s="508">
        <v>0</v>
      </c>
      <c r="F45" s="508">
        <v>123000</v>
      </c>
      <c r="G45" s="500">
        <f t="shared" si="8"/>
        <v>123000</v>
      </c>
      <c r="H45" s="508">
        <v>379000</v>
      </c>
      <c r="I45" s="500">
        <f t="shared" si="9"/>
        <v>502000</v>
      </c>
      <c r="J45" s="508"/>
      <c r="K45" s="500">
        <f t="shared" si="10"/>
        <v>502000</v>
      </c>
      <c r="L45" s="508"/>
      <c r="M45" s="500">
        <f t="shared" si="11"/>
        <v>502000</v>
      </c>
      <c r="N45" s="508">
        <f>3238199+1237191</f>
        <v>4475390</v>
      </c>
      <c r="O45" s="500">
        <f t="shared" si="12"/>
        <v>4977390</v>
      </c>
      <c r="P45" s="508"/>
      <c r="Q45" s="500">
        <f t="shared" si="13"/>
        <v>4977390</v>
      </c>
    </row>
    <row r="46" spans="1:17" s="494" customFormat="1" ht="12" customHeight="1" thickBot="1">
      <c r="A46" s="491" t="s">
        <v>25</v>
      </c>
      <c r="B46" s="492" t="s">
        <v>304</v>
      </c>
      <c r="C46" s="493">
        <f aca="true" t="shared" si="14" ref="C46:Q46">SUM(C47:C51)</f>
        <v>0</v>
      </c>
      <c r="D46" s="493">
        <f t="shared" si="14"/>
        <v>0</v>
      </c>
      <c r="E46" s="493">
        <f t="shared" si="14"/>
        <v>0</v>
      </c>
      <c r="F46" s="493">
        <f t="shared" si="14"/>
        <v>0</v>
      </c>
      <c r="G46" s="493">
        <f t="shared" si="14"/>
        <v>0</v>
      </c>
      <c r="H46" s="493">
        <f t="shared" si="14"/>
        <v>0</v>
      </c>
      <c r="I46" s="493">
        <f t="shared" si="14"/>
        <v>0</v>
      </c>
      <c r="J46" s="493">
        <f t="shared" si="14"/>
        <v>0</v>
      </c>
      <c r="K46" s="493">
        <f t="shared" si="14"/>
        <v>0</v>
      </c>
      <c r="L46" s="493">
        <f t="shared" si="14"/>
        <v>0</v>
      </c>
      <c r="M46" s="493">
        <f t="shared" si="14"/>
        <v>0</v>
      </c>
      <c r="N46" s="493">
        <f t="shared" si="14"/>
        <v>14000000</v>
      </c>
      <c r="O46" s="493">
        <f t="shared" si="14"/>
        <v>0</v>
      </c>
      <c r="P46" s="493">
        <f t="shared" si="14"/>
        <v>0</v>
      </c>
      <c r="Q46" s="493">
        <f t="shared" si="14"/>
        <v>0</v>
      </c>
    </row>
    <row r="47" spans="1:17" s="494" customFormat="1" ht="12" customHeight="1">
      <c r="A47" s="495" t="s">
        <v>103</v>
      </c>
      <c r="B47" s="496" t="s">
        <v>308</v>
      </c>
      <c r="C47" s="509"/>
      <c r="D47" s="509"/>
      <c r="E47" s="509"/>
      <c r="F47" s="509"/>
      <c r="G47" s="509"/>
      <c r="H47" s="509"/>
      <c r="I47" s="509"/>
      <c r="J47" s="509"/>
      <c r="K47" s="509"/>
      <c r="L47" s="509"/>
      <c r="M47" s="509"/>
      <c r="N47" s="509"/>
      <c r="O47" s="509"/>
      <c r="P47" s="509"/>
      <c r="Q47" s="509"/>
    </row>
    <row r="48" spans="1:17" s="494" customFormat="1" ht="12" customHeight="1">
      <c r="A48" s="498" t="s">
        <v>104</v>
      </c>
      <c r="B48" s="499" t="s">
        <v>309</v>
      </c>
      <c r="C48" s="507"/>
      <c r="D48" s="507"/>
      <c r="E48" s="507"/>
      <c r="F48" s="507"/>
      <c r="G48" s="507"/>
      <c r="H48" s="507"/>
      <c r="I48" s="507"/>
      <c r="J48" s="507"/>
      <c r="K48" s="507"/>
      <c r="L48" s="507"/>
      <c r="M48" s="507"/>
      <c r="N48" s="507">
        <v>14000000</v>
      </c>
      <c r="O48" s="507"/>
      <c r="P48" s="507"/>
      <c r="Q48" s="507"/>
    </row>
    <row r="49" spans="1:17" s="494" customFormat="1" ht="12" customHeight="1">
      <c r="A49" s="498" t="s">
        <v>305</v>
      </c>
      <c r="B49" s="499" t="s">
        <v>310</v>
      </c>
      <c r="C49" s="507"/>
      <c r="D49" s="507"/>
      <c r="E49" s="507"/>
      <c r="F49" s="507"/>
      <c r="G49" s="507"/>
      <c r="H49" s="507"/>
      <c r="I49" s="507"/>
      <c r="J49" s="507"/>
      <c r="K49" s="507"/>
      <c r="L49" s="507"/>
      <c r="M49" s="507"/>
      <c r="N49" s="507"/>
      <c r="O49" s="507"/>
      <c r="P49" s="507"/>
      <c r="Q49" s="507"/>
    </row>
    <row r="50" spans="1:17" s="494" customFormat="1" ht="12" customHeight="1">
      <c r="A50" s="498" t="s">
        <v>306</v>
      </c>
      <c r="B50" s="499" t="s">
        <v>311</v>
      </c>
      <c r="C50" s="507"/>
      <c r="D50" s="507"/>
      <c r="E50" s="507"/>
      <c r="F50" s="507"/>
      <c r="G50" s="507"/>
      <c r="H50" s="507"/>
      <c r="I50" s="507"/>
      <c r="J50" s="507"/>
      <c r="K50" s="507"/>
      <c r="L50" s="507"/>
      <c r="M50" s="507"/>
      <c r="N50" s="507"/>
      <c r="O50" s="507"/>
      <c r="P50" s="507"/>
      <c r="Q50" s="507"/>
    </row>
    <row r="51" spans="1:17" s="494" customFormat="1" ht="12" customHeight="1" thickBot="1">
      <c r="A51" s="501" t="s">
        <v>307</v>
      </c>
      <c r="B51" s="502" t="s">
        <v>312</v>
      </c>
      <c r="C51" s="508"/>
      <c r="D51" s="508"/>
      <c r="E51" s="508"/>
      <c r="F51" s="508"/>
      <c r="G51" s="508"/>
      <c r="H51" s="508"/>
      <c r="I51" s="508"/>
      <c r="J51" s="508"/>
      <c r="K51" s="508"/>
      <c r="L51" s="508"/>
      <c r="M51" s="508"/>
      <c r="N51" s="508"/>
      <c r="O51" s="508"/>
      <c r="P51" s="508"/>
      <c r="Q51" s="508"/>
    </row>
    <row r="52" spans="1:17" s="494" customFormat="1" ht="12" customHeight="1" thickBot="1">
      <c r="A52" s="491" t="s">
        <v>184</v>
      </c>
      <c r="B52" s="492" t="s">
        <v>313</v>
      </c>
      <c r="C52" s="493">
        <f aca="true" t="shared" si="15" ref="C52:Q52">SUM(C53:C55)</f>
        <v>0</v>
      </c>
      <c r="D52" s="493">
        <f t="shared" si="15"/>
        <v>0</v>
      </c>
      <c r="E52" s="493">
        <f t="shared" si="15"/>
        <v>0</v>
      </c>
      <c r="F52" s="493">
        <f t="shared" si="15"/>
        <v>0</v>
      </c>
      <c r="G52" s="493">
        <f t="shared" si="15"/>
        <v>0</v>
      </c>
      <c r="H52" s="493">
        <f t="shared" si="15"/>
        <v>0</v>
      </c>
      <c r="I52" s="493">
        <f t="shared" si="15"/>
        <v>0</v>
      </c>
      <c r="J52" s="493">
        <f t="shared" si="15"/>
        <v>0</v>
      </c>
      <c r="K52" s="493">
        <f t="shared" si="15"/>
        <v>0</v>
      </c>
      <c r="L52" s="493">
        <f t="shared" si="15"/>
        <v>0</v>
      </c>
      <c r="M52" s="493">
        <f t="shared" si="15"/>
        <v>0</v>
      </c>
      <c r="N52" s="493">
        <f t="shared" si="15"/>
        <v>0</v>
      </c>
      <c r="O52" s="493">
        <f t="shared" si="15"/>
        <v>0</v>
      </c>
      <c r="P52" s="493">
        <f t="shared" si="15"/>
        <v>0</v>
      </c>
      <c r="Q52" s="493">
        <f t="shared" si="15"/>
        <v>0</v>
      </c>
    </row>
    <row r="53" spans="1:17" s="494" customFormat="1" ht="12" customHeight="1">
      <c r="A53" s="495" t="s">
        <v>105</v>
      </c>
      <c r="B53" s="496" t="s">
        <v>314</v>
      </c>
      <c r="C53" s="497"/>
      <c r="D53" s="497"/>
      <c r="E53" s="497"/>
      <c r="F53" s="497"/>
      <c r="G53" s="497"/>
      <c r="H53" s="497"/>
      <c r="I53" s="497"/>
      <c r="J53" s="497"/>
      <c r="K53" s="497"/>
      <c r="L53" s="497"/>
      <c r="M53" s="497"/>
      <c r="N53" s="497"/>
      <c r="O53" s="497"/>
      <c r="P53" s="497"/>
      <c r="Q53" s="497"/>
    </row>
    <row r="54" spans="1:17" s="494" customFormat="1" ht="12" customHeight="1">
      <c r="A54" s="498" t="s">
        <v>106</v>
      </c>
      <c r="B54" s="499" t="s">
        <v>315</v>
      </c>
      <c r="C54" s="500"/>
      <c r="D54" s="500"/>
      <c r="E54" s="500"/>
      <c r="F54" s="500"/>
      <c r="G54" s="500"/>
      <c r="H54" s="500"/>
      <c r="I54" s="500"/>
      <c r="J54" s="500"/>
      <c r="K54" s="500"/>
      <c r="L54" s="500"/>
      <c r="M54" s="500"/>
      <c r="N54" s="500"/>
      <c r="O54" s="500"/>
      <c r="P54" s="500"/>
      <c r="Q54" s="500"/>
    </row>
    <row r="55" spans="1:17" s="494" customFormat="1" ht="12" customHeight="1">
      <c r="A55" s="498" t="s">
        <v>318</v>
      </c>
      <c r="B55" s="499" t="s">
        <v>316</v>
      </c>
      <c r="C55" s="500"/>
      <c r="D55" s="500"/>
      <c r="E55" s="500"/>
      <c r="F55" s="500"/>
      <c r="G55" s="500"/>
      <c r="H55" s="500"/>
      <c r="I55" s="500"/>
      <c r="J55" s="500"/>
      <c r="K55" s="500"/>
      <c r="L55" s="500"/>
      <c r="M55" s="500"/>
      <c r="N55" s="500"/>
      <c r="O55" s="500"/>
      <c r="P55" s="500"/>
      <c r="Q55" s="500"/>
    </row>
    <row r="56" spans="1:17" s="494" customFormat="1" ht="12" customHeight="1" thickBot="1">
      <c r="A56" s="501" t="s">
        <v>319</v>
      </c>
      <c r="B56" s="502" t="s">
        <v>317</v>
      </c>
      <c r="C56" s="504"/>
      <c r="D56" s="504"/>
      <c r="E56" s="504"/>
      <c r="F56" s="504"/>
      <c r="G56" s="504"/>
      <c r="H56" s="504"/>
      <c r="I56" s="504"/>
      <c r="J56" s="504"/>
      <c r="K56" s="504"/>
      <c r="L56" s="504"/>
      <c r="M56" s="504"/>
      <c r="N56" s="504"/>
      <c r="O56" s="504"/>
      <c r="P56" s="504"/>
      <c r="Q56" s="504"/>
    </row>
    <row r="57" spans="1:17" s="494" customFormat="1" ht="12" customHeight="1" thickBot="1">
      <c r="A57" s="491" t="s">
        <v>27</v>
      </c>
      <c r="B57" s="503" t="s">
        <v>320</v>
      </c>
      <c r="C57" s="493">
        <f aca="true" t="shared" si="16" ref="C57:Q57">SUM(C58:C60)</f>
        <v>0</v>
      </c>
      <c r="D57" s="493">
        <f t="shared" si="16"/>
        <v>0</v>
      </c>
      <c r="E57" s="493">
        <f t="shared" si="16"/>
        <v>0</v>
      </c>
      <c r="F57" s="493">
        <f t="shared" si="16"/>
        <v>0</v>
      </c>
      <c r="G57" s="493">
        <f t="shared" si="16"/>
        <v>0</v>
      </c>
      <c r="H57" s="493">
        <f t="shared" si="16"/>
        <v>0</v>
      </c>
      <c r="I57" s="493">
        <f t="shared" si="16"/>
        <v>0</v>
      </c>
      <c r="J57" s="493">
        <f t="shared" si="16"/>
        <v>0</v>
      </c>
      <c r="K57" s="493">
        <f t="shared" si="16"/>
        <v>0</v>
      </c>
      <c r="L57" s="493">
        <f t="shared" si="16"/>
        <v>0</v>
      </c>
      <c r="M57" s="493">
        <f t="shared" si="16"/>
        <v>0</v>
      </c>
      <c r="N57" s="493">
        <f t="shared" si="16"/>
        <v>0</v>
      </c>
      <c r="O57" s="493">
        <f t="shared" si="16"/>
        <v>0</v>
      </c>
      <c r="P57" s="493">
        <f t="shared" si="16"/>
        <v>0</v>
      </c>
      <c r="Q57" s="493">
        <f t="shared" si="16"/>
        <v>0</v>
      </c>
    </row>
    <row r="58" spans="1:17" s="494" customFormat="1" ht="12" customHeight="1">
      <c r="A58" s="495" t="s">
        <v>185</v>
      </c>
      <c r="B58" s="496" t="s">
        <v>322</v>
      </c>
      <c r="C58" s="507"/>
      <c r="D58" s="507"/>
      <c r="E58" s="507"/>
      <c r="F58" s="507"/>
      <c r="G58" s="507"/>
      <c r="H58" s="507"/>
      <c r="I58" s="507"/>
      <c r="J58" s="507"/>
      <c r="K58" s="507"/>
      <c r="L58" s="507"/>
      <c r="M58" s="507"/>
      <c r="N58" s="507"/>
      <c r="O58" s="507"/>
      <c r="P58" s="507"/>
      <c r="Q58" s="507"/>
    </row>
    <row r="59" spans="1:17" s="494" customFormat="1" ht="12" customHeight="1">
      <c r="A59" s="498" t="s">
        <v>186</v>
      </c>
      <c r="B59" s="499" t="s">
        <v>498</v>
      </c>
      <c r="C59" s="507"/>
      <c r="D59" s="507"/>
      <c r="E59" s="507"/>
      <c r="F59" s="507"/>
      <c r="G59" s="507"/>
      <c r="H59" s="507"/>
      <c r="I59" s="507"/>
      <c r="J59" s="507"/>
      <c r="K59" s="507"/>
      <c r="L59" s="507"/>
      <c r="M59" s="507"/>
      <c r="N59" s="507"/>
      <c r="O59" s="507"/>
      <c r="P59" s="507"/>
      <c r="Q59" s="507"/>
    </row>
    <row r="60" spans="1:17" s="494" customFormat="1" ht="12" customHeight="1">
      <c r="A60" s="498" t="s">
        <v>235</v>
      </c>
      <c r="B60" s="499" t="s">
        <v>323</v>
      </c>
      <c r="C60" s="507">
        <v>0</v>
      </c>
      <c r="D60" s="507">
        <v>0</v>
      </c>
      <c r="E60" s="507">
        <v>0</v>
      </c>
      <c r="F60" s="507">
        <v>0</v>
      </c>
      <c r="G60" s="507">
        <v>0</v>
      </c>
      <c r="H60" s="507">
        <v>0</v>
      </c>
      <c r="I60" s="507">
        <v>0</v>
      </c>
      <c r="J60" s="507">
        <v>0</v>
      </c>
      <c r="K60" s="507">
        <v>0</v>
      </c>
      <c r="L60" s="507">
        <v>0</v>
      </c>
      <c r="M60" s="507">
        <v>0</v>
      </c>
      <c r="N60" s="507">
        <v>0</v>
      </c>
      <c r="O60" s="507">
        <v>0</v>
      </c>
      <c r="P60" s="507">
        <v>0</v>
      </c>
      <c r="Q60" s="507">
        <v>0</v>
      </c>
    </row>
    <row r="61" spans="1:17" s="494" customFormat="1" ht="12" customHeight="1" thickBot="1">
      <c r="A61" s="501" t="s">
        <v>321</v>
      </c>
      <c r="B61" s="502" t="s">
        <v>324</v>
      </c>
      <c r="C61" s="507"/>
      <c r="D61" s="507"/>
      <c r="E61" s="507"/>
      <c r="F61" s="507"/>
      <c r="G61" s="507"/>
      <c r="H61" s="507"/>
      <c r="I61" s="507"/>
      <c r="J61" s="507"/>
      <c r="K61" s="507"/>
      <c r="L61" s="507"/>
      <c r="M61" s="507"/>
      <c r="N61" s="507"/>
      <c r="O61" s="507"/>
      <c r="P61" s="507"/>
      <c r="Q61" s="507"/>
    </row>
    <row r="62" spans="1:17" s="494" customFormat="1" ht="12" customHeight="1" thickBot="1">
      <c r="A62" s="491" t="s">
        <v>28</v>
      </c>
      <c r="B62" s="492" t="s">
        <v>325</v>
      </c>
      <c r="C62" s="505">
        <f aca="true" t="shared" si="17" ref="C62:Q62">+C7+C14+C21+C28+C35+C46+C52+C57</f>
        <v>246130027</v>
      </c>
      <c r="D62" s="505">
        <f t="shared" si="17"/>
        <v>-2500000</v>
      </c>
      <c r="E62" s="505">
        <f t="shared" si="17"/>
        <v>243630027</v>
      </c>
      <c r="F62" s="505">
        <f t="shared" si="17"/>
        <v>1655708</v>
      </c>
      <c r="G62" s="505">
        <f t="shared" si="17"/>
        <v>245285735</v>
      </c>
      <c r="H62" s="505">
        <f t="shared" si="17"/>
        <v>18605991</v>
      </c>
      <c r="I62" s="505">
        <f t="shared" si="17"/>
        <v>263891726</v>
      </c>
      <c r="J62" s="505">
        <f t="shared" si="17"/>
        <v>21054047</v>
      </c>
      <c r="K62" s="505">
        <f t="shared" si="17"/>
        <v>284945773</v>
      </c>
      <c r="L62" s="505">
        <f t="shared" si="17"/>
        <v>17001163</v>
      </c>
      <c r="M62" s="505">
        <f t="shared" si="17"/>
        <v>301946936</v>
      </c>
      <c r="N62" s="505">
        <f t="shared" si="17"/>
        <v>91129117</v>
      </c>
      <c r="O62" s="505">
        <f t="shared" si="17"/>
        <v>379076053</v>
      </c>
      <c r="P62" s="505">
        <f t="shared" si="17"/>
        <v>254494</v>
      </c>
      <c r="Q62" s="505">
        <f t="shared" si="17"/>
        <v>379330547</v>
      </c>
    </row>
    <row r="63" spans="1:17" s="494" customFormat="1" ht="12" customHeight="1" thickBot="1">
      <c r="A63" s="510" t="s">
        <v>326</v>
      </c>
      <c r="B63" s="503" t="s">
        <v>327</v>
      </c>
      <c r="C63" s="493">
        <f aca="true" t="shared" si="18" ref="C63:Q63">SUM(C64:C66)</f>
        <v>0</v>
      </c>
      <c r="D63" s="493">
        <f t="shared" si="18"/>
        <v>0</v>
      </c>
      <c r="E63" s="493">
        <f t="shared" si="18"/>
        <v>0</v>
      </c>
      <c r="F63" s="493">
        <f t="shared" si="18"/>
        <v>0</v>
      </c>
      <c r="G63" s="493">
        <f t="shared" si="18"/>
        <v>0</v>
      </c>
      <c r="H63" s="493">
        <f t="shared" si="18"/>
        <v>0</v>
      </c>
      <c r="I63" s="493">
        <f t="shared" si="18"/>
        <v>0</v>
      </c>
      <c r="J63" s="493">
        <f t="shared" si="18"/>
        <v>0</v>
      </c>
      <c r="K63" s="493">
        <f t="shared" si="18"/>
        <v>0</v>
      </c>
      <c r="L63" s="493">
        <f t="shared" si="18"/>
        <v>0</v>
      </c>
      <c r="M63" s="493">
        <f t="shared" si="18"/>
        <v>0</v>
      </c>
      <c r="N63" s="493">
        <f t="shared" si="18"/>
        <v>0</v>
      </c>
      <c r="O63" s="493">
        <f t="shared" si="18"/>
        <v>0</v>
      </c>
      <c r="P63" s="493">
        <f t="shared" si="18"/>
        <v>0</v>
      </c>
      <c r="Q63" s="493">
        <f t="shared" si="18"/>
        <v>0</v>
      </c>
    </row>
    <row r="64" spans="1:17" s="494" customFormat="1" ht="12" customHeight="1">
      <c r="A64" s="495" t="s">
        <v>360</v>
      </c>
      <c r="B64" s="496" t="s">
        <v>328</v>
      </c>
      <c r="C64" s="507"/>
      <c r="D64" s="507"/>
      <c r="E64" s="507"/>
      <c r="F64" s="507"/>
      <c r="G64" s="507"/>
      <c r="H64" s="507"/>
      <c r="I64" s="507"/>
      <c r="J64" s="507"/>
      <c r="K64" s="507"/>
      <c r="L64" s="507"/>
      <c r="M64" s="507"/>
      <c r="N64" s="507"/>
      <c r="O64" s="507"/>
      <c r="P64" s="507"/>
      <c r="Q64" s="507"/>
    </row>
    <row r="65" spans="1:17" s="494" customFormat="1" ht="12" customHeight="1">
      <c r="A65" s="498" t="s">
        <v>369</v>
      </c>
      <c r="B65" s="499" t="s">
        <v>329</v>
      </c>
      <c r="C65" s="507"/>
      <c r="D65" s="507"/>
      <c r="E65" s="507"/>
      <c r="F65" s="507"/>
      <c r="G65" s="507"/>
      <c r="H65" s="507"/>
      <c r="I65" s="507"/>
      <c r="J65" s="507"/>
      <c r="K65" s="507"/>
      <c r="L65" s="507"/>
      <c r="M65" s="507"/>
      <c r="N65" s="507"/>
      <c r="O65" s="507"/>
      <c r="P65" s="507"/>
      <c r="Q65" s="507"/>
    </row>
    <row r="66" spans="1:17" s="494" customFormat="1" ht="12" customHeight="1" thickBot="1">
      <c r="A66" s="501" t="s">
        <v>370</v>
      </c>
      <c r="B66" s="511" t="s">
        <v>330</v>
      </c>
      <c r="C66" s="507"/>
      <c r="D66" s="507"/>
      <c r="E66" s="507"/>
      <c r="F66" s="507"/>
      <c r="G66" s="507"/>
      <c r="H66" s="507"/>
      <c r="I66" s="507"/>
      <c r="J66" s="507"/>
      <c r="K66" s="507"/>
      <c r="L66" s="507"/>
      <c r="M66" s="507"/>
      <c r="N66" s="507"/>
      <c r="O66" s="507"/>
      <c r="P66" s="507"/>
      <c r="Q66" s="507"/>
    </row>
    <row r="67" spans="1:17" s="494" customFormat="1" ht="12" customHeight="1" thickBot="1">
      <c r="A67" s="510" t="s">
        <v>331</v>
      </c>
      <c r="B67" s="503" t="s">
        <v>332</v>
      </c>
      <c r="C67" s="493">
        <f aca="true" t="shared" si="19" ref="C67:Q67">SUM(C68:C71)</f>
        <v>0</v>
      </c>
      <c r="D67" s="493">
        <f t="shared" si="19"/>
        <v>0</v>
      </c>
      <c r="E67" s="493">
        <f t="shared" si="19"/>
        <v>0</v>
      </c>
      <c r="F67" s="493">
        <f t="shared" si="19"/>
        <v>0</v>
      </c>
      <c r="G67" s="493">
        <f t="shared" si="19"/>
        <v>0</v>
      </c>
      <c r="H67" s="493">
        <f t="shared" si="19"/>
        <v>0</v>
      </c>
      <c r="I67" s="493">
        <f t="shared" si="19"/>
        <v>0</v>
      </c>
      <c r="J67" s="493">
        <f t="shared" si="19"/>
        <v>0</v>
      </c>
      <c r="K67" s="493">
        <f t="shared" si="19"/>
        <v>0</v>
      </c>
      <c r="L67" s="493">
        <f t="shared" si="19"/>
        <v>0</v>
      </c>
      <c r="M67" s="493">
        <f t="shared" si="19"/>
        <v>0</v>
      </c>
      <c r="N67" s="493">
        <f t="shared" si="19"/>
        <v>0</v>
      </c>
      <c r="O67" s="493">
        <f t="shared" si="19"/>
        <v>0</v>
      </c>
      <c r="P67" s="493">
        <f t="shared" si="19"/>
        <v>0</v>
      </c>
      <c r="Q67" s="493">
        <f t="shared" si="19"/>
        <v>0</v>
      </c>
    </row>
    <row r="68" spans="1:17" s="494" customFormat="1" ht="12" customHeight="1">
      <c r="A68" s="495" t="s">
        <v>153</v>
      </c>
      <c r="B68" s="496" t="s">
        <v>333</v>
      </c>
      <c r="C68" s="507"/>
      <c r="D68" s="507"/>
      <c r="E68" s="507"/>
      <c r="F68" s="507"/>
      <c r="G68" s="507"/>
      <c r="H68" s="507"/>
      <c r="I68" s="507"/>
      <c r="J68" s="507"/>
      <c r="K68" s="507"/>
      <c r="L68" s="507"/>
      <c r="M68" s="507"/>
      <c r="N68" s="507"/>
      <c r="O68" s="507"/>
      <c r="P68" s="507"/>
      <c r="Q68" s="507"/>
    </row>
    <row r="69" spans="1:17" s="494" customFormat="1" ht="12" customHeight="1">
      <c r="A69" s="498" t="s">
        <v>154</v>
      </c>
      <c r="B69" s="499" t="s">
        <v>334</v>
      </c>
      <c r="C69" s="507"/>
      <c r="D69" s="507"/>
      <c r="E69" s="507"/>
      <c r="F69" s="507"/>
      <c r="G69" s="507"/>
      <c r="H69" s="507"/>
      <c r="I69" s="507"/>
      <c r="J69" s="507"/>
      <c r="K69" s="507"/>
      <c r="L69" s="507"/>
      <c r="M69" s="507"/>
      <c r="N69" s="507"/>
      <c r="O69" s="507"/>
      <c r="P69" s="507"/>
      <c r="Q69" s="507"/>
    </row>
    <row r="70" spans="1:17" s="494" customFormat="1" ht="12" customHeight="1">
      <c r="A70" s="498" t="s">
        <v>361</v>
      </c>
      <c r="B70" s="499" t="s">
        <v>335</v>
      </c>
      <c r="C70" s="507"/>
      <c r="D70" s="507"/>
      <c r="E70" s="507"/>
      <c r="F70" s="507"/>
      <c r="G70" s="507"/>
      <c r="H70" s="507"/>
      <c r="I70" s="507"/>
      <c r="J70" s="507"/>
      <c r="K70" s="507"/>
      <c r="L70" s="507"/>
      <c r="M70" s="507"/>
      <c r="N70" s="507"/>
      <c r="O70" s="507"/>
      <c r="P70" s="507"/>
      <c r="Q70" s="507"/>
    </row>
    <row r="71" spans="1:17" s="494" customFormat="1" ht="12" customHeight="1" thickBot="1">
      <c r="A71" s="501" t="s">
        <v>362</v>
      </c>
      <c r="B71" s="502" t="s">
        <v>336</v>
      </c>
      <c r="C71" s="507"/>
      <c r="D71" s="507"/>
      <c r="E71" s="507"/>
      <c r="F71" s="507"/>
      <c r="G71" s="507"/>
      <c r="H71" s="507"/>
      <c r="I71" s="507"/>
      <c r="J71" s="507"/>
      <c r="K71" s="507"/>
      <c r="L71" s="507"/>
      <c r="M71" s="507"/>
      <c r="N71" s="507"/>
      <c r="O71" s="507"/>
      <c r="P71" s="507"/>
      <c r="Q71" s="507"/>
    </row>
    <row r="72" spans="1:17" s="494" customFormat="1" ht="12" customHeight="1" thickBot="1">
      <c r="A72" s="510" t="s">
        <v>337</v>
      </c>
      <c r="B72" s="503" t="s">
        <v>338</v>
      </c>
      <c r="C72" s="493">
        <f aca="true" t="shared" si="20" ref="C72:Q72">SUM(C73:C74)</f>
        <v>156678969</v>
      </c>
      <c r="D72" s="493">
        <f t="shared" si="20"/>
        <v>-9361300</v>
      </c>
      <c r="E72" s="493">
        <f t="shared" si="20"/>
        <v>147317669</v>
      </c>
      <c r="F72" s="493">
        <f t="shared" si="20"/>
        <v>-1381723</v>
      </c>
      <c r="G72" s="493">
        <f t="shared" si="20"/>
        <v>145935946</v>
      </c>
      <c r="H72" s="493">
        <f t="shared" si="20"/>
        <v>-60000</v>
      </c>
      <c r="I72" s="493">
        <f t="shared" si="20"/>
        <v>145875946</v>
      </c>
      <c r="J72" s="493">
        <f t="shared" si="20"/>
        <v>0</v>
      </c>
      <c r="K72" s="493">
        <f t="shared" si="20"/>
        <v>145875946</v>
      </c>
      <c r="L72" s="493">
        <f t="shared" si="20"/>
        <v>0</v>
      </c>
      <c r="M72" s="493">
        <f t="shared" si="20"/>
        <v>145875946</v>
      </c>
      <c r="N72" s="493">
        <f t="shared" si="20"/>
        <v>0</v>
      </c>
      <c r="O72" s="493">
        <f t="shared" si="20"/>
        <v>145875946</v>
      </c>
      <c r="P72" s="493">
        <f t="shared" si="20"/>
        <v>0</v>
      </c>
      <c r="Q72" s="493">
        <f t="shared" si="20"/>
        <v>145875946</v>
      </c>
    </row>
    <row r="73" spans="1:17" s="494" customFormat="1" ht="12" customHeight="1">
      <c r="A73" s="495" t="s">
        <v>363</v>
      </c>
      <c r="B73" s="496" t="s">
        <v>339</v>
      </c>
      <c r="C73" s="507">
        <f>155465622+1033680+179667</f>
        <v>156678969</v>
      </c>
      <c r="D73" s="507">
        <v>-9361300</v>
      </c>
      <c r="E73" s="507">
        <f>C73+D73</f>
        <v>147317669</v>
      </c>
      <c r="F73" s="507">
        <v>-1381723</v>
      </c>
      <c r="G73" s="507">
        <f>E73+F73</f>
        <v>145935946</v>
      </c>
      <c r="H73" s="507">
        <v>-60000</v>
      </c>
      <c r="I73" s="507">
        <f>G73+H73</f>
        <v>145875946</v>
      </c>
      <c r="J73" s="507"/>
      <c r="K73" s="507">
        <f>I73+J73</f>
        <v>145875946</v>
      </c>
      <c r="L73" s="507"/>
      <c r="M73" s="507">
        <f>K73+L73</f>
        <v>145875946</v>
      </c>
      <c r="N73" s="507"/>
      <c r="O73" s="507">
        <f>M73+N73</f>
        <v>145875946</v>
      </c>
      <c r="P73" s="507"/>
      <c r="Q73" s="507">
        <f>O73+P73</f>
        <v>145875946</v>
      </c>
    </row>
    <row r="74" spans="1:17" s="494" customFormat="1" ht="12" customHeight="1" thickBot="1">
      <c r="A74" s="501" t="s">
        <v>364</v>
      </c>
      <c r="B74" s="502" t="s">
        <v>340</v>
      </c>
      <c r="C74" s="507"/>
      <c r="D74" s="507"/>
      <c r="E74" s="507"/>
      <c r="F74" s="507"/>
      <c r="G74" s="507"/>
      <c r="H74" s="507"/>
      <c r="I74" s="507"/>
      <c r="J74" s="507"/>
      <c r="K74" s="507"/>
      <c r="L74" s="507"/>
      <c r="M74" s="507"/>
      <c r="N74" s="507"/>
      <c r="O74" s="507"/>
      <c r="P74" s="507"/>
      <c r="Q74" s="507"/>
    </row>
    <row r="75" spans="1:17" s="494" customFormat="1" ht="12" customHeight="1" thickBot="1">
      <c r="A75" s="510" t="s">
        <v>341</v>
      </c>
      <c r="B75" s="503" t="s">
        <v>342</v>
      </c>
      <c r="C75" s="493">
        <f aca="true" t="shared" si="21" ref="C75:Q75">SUM(C76:C78)</f>
        <v>0</v>
      </c>
      <c r="D75" s="493">
        <f t="shared" si="21"/>
        <v>0</v>
      </c>
      <c r="E75" s="493">
        <f t="shared" si="21"/>
        <v>0</v>
      </c>
      <c r="F75" s="493">
        <f t="shared" si="21"/>
        <v>0</v>
      </c>
      <c r="G75" s="493">
        <f t="shared" si="21"/>
        <v>0</v>
      </c>
      <c r="H75" s="493">
        <f t="shared" si="21"/>
        <v>0</v>
      </c>
      <c r="I75" s="493">
        <f t="shared" si="21"/>
        <v>0</v>
      </c>
      <c r="J75" s="493">
        <f t="shared" si="21"/>
        <v>0</v>
      </c>
      <c r="K75" s="493">
        <f t="shared" si="21"/>
        <v>0</v>
      </c>
      <c r="L75" s="493">
        <f t="shared" si="21"/>
        <v>0</v>
      </c>
      <c r="M75" s="493">
        <f t="shared" si="21"/>
        <v>0</v>
      </c>
      <c r="N75" s="493">
        <f t="shared" si="21"/>
        <v>0</v>
      </c>
      <c r="O75" s="493">
        <f t="shared" si="21"/>
        <v>0</v>
      </c>
      <c r="P75" s="493">
        <f t="shared" si="21"/>
        <v>0</v>
      </c>
      <c r="Q75" s="493">
        <f t="shared" si="21"/>
        <v>0</v>
      </c>
    </row>
    <row r="76" spans="1:17" s="494" customFormat="1" ht="12" customHeight="1">
      <c r="A76" s="495" t="s">
        <v>365</v>
      </c>
      <c r="B76" s="496" t="s">
        <v>343</v>
      </c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507"/>
      <c r="O76" s="507"/>
      <c r="P76" s="507"/>
      <c r="Q76" s="507"/>
    </row>
    <row r="77" spans="1:17" s="494" customFormat="1" ht="12" customHeight="1">
      <c r="A77" s="498" t="s">
        <v>366</v>
      </c>
      <c r="B77" s="499" t="s">
        <v>344</v>
      </c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507"/>
      <c r="O77" s="507"/>
      <c r="P77" s="507"/>
      <c r="Q77" s="507"/>
    </row>
    <row r="78" spans="1:17" s="494" customFormat="1" ht="12" customHeight="1" thickBot="1">
      <c r="A78" s="501" t="s">
        <v>367</v>
      </c>
      <c r="B78" s="502" t="s">
        <v>345</v>
      </c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N78" s="507"/>
      <c r="O78" s="507"/>
      <c r="P78" s="507"/>
      <c r="Q78" s="507"/>
    </row>
    <row r="79" spans="1:17" s="494" customFormat="1" ht="12" customHeight="1" thickBot="1">
      <c r="A79" s="510" t="s">
        <v>346</v>
      </c>
      <c r="B79" s="503" t="s">
        <v>368</v>
      </c>
      <c r="C79" s="493">
        <f aca="true" t="shared" si="22" ref="C79:Q79">SUM(C80:C83)</f>
        <v>0</v>
      </c>
      <c r="D79" s="493">
        <f t="shared" si="22"/>
        <v>0</v>
      </c>
      <c r="E79" s="493">
        <f t="shared" si="22"/>
        <v>0</v>
      </c>
      <c r="F79" s="493">
        <f t="shared" si="22"/>
        <v>0</v>
      </c>
      <c r="G79" s="493">
        <f t="shared" si="22"/>
        <v>0</v>
      </c>
      <c r="H79" s="493">
        <f t="shared" si="22"/>
        <v>0</v>
      </c>
      <c r="I79" s="493">
        <f t="shared" si="22"/>
        <v>0</v>
      </c>
      <c r="J79" s="493">
        <f t="shared" si="22"/>
        <v>0</v>
      </c>
      <c r="K79" s="493">
        <f t="shared" si="22"/>
        <v>0</v>
      </c>
      <c r="L79" s="493">
        <f t="shared" si="22"/>
        <v>0</v>
      </c>
      <c r="M79" s="493">
        <f t="shared" si="22"/>
        <v>0</v>
      </c>
      <c r="N79" s="493">
        <f t="shared" si="22"/>
        <v>0</v>
      </c>
      <c r="O79" s="493">
        <f t="shared" si="22"/>
        <v>0</v>
      </c>
      <c r="P79" s="493">
        <f t="shared" si="22"/>
        <v>0</v>
      </c>
      <c r="Q79" s="493">
        <f t="shared" si="22"/>
        <v>0</v>
      </c>
    </row>
    <row r="80" spans="1:17" s="494" customFormat="1" ht="12" customHeight="1">
      <c r="A80" s="512" t="s">
        <v>347</v>
      </c>
      <c r="B80" s="496" t="s">
        <v>348</v>
      </c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7"/>
      <c r="O80" s="507"/>
      <c r="P80" s="507"/>
      <c r="Q80" s="507"/>
    </row>
    <row r="81" spans="1:17" s="494" customFormat="1" ht="12" customHeight="1">
      <c r="A81" s="513" t="s">
        <v>349</v>
      </c>
      <c r="B81" s="499" t="s">
        <v>350</v>
      </c>
      <c r="C81" s="507"/>
      <c r="D81" s="507"/>
      <c r="E81" s="507"/>
      <c r="F81" s="507"/>
      <c r="G81" s="507"/>
      <c r="H81" s="507"/>
      <c r="I81" s="507"/>
      <c r="J81" s="507"/>
      <c r="K81" s="507"/>
      <c r="L81" s="507"/>
      <c r="M81" s="507"/>
      <c r="N81" s="507"/>
      <c r="O81" s="507"/>
      <c r="P81" s="507"/>
      <c r="Q81" s="507"/>
    </row>
    <row r="82" spans="1:17" s="494" customFormat="1" ht="12" customHeight="1">
      <c r="A82" s="513" t="s">
        <v>351</v>
      </c>
      <c r="B82" s="499" t="s">
        <v>352</v>
      </c>
      <c r="C82" s="507"/>
      <c r="D82" s="507"/>
      <c r="E82" s="507"/>
      <c r="F82" s="507"/>
      <c r="G82" s="507"/>
      <c r="H82" s="507"/>
      <c r="I82" s="507"/>
      <c r="J82" s="507"/>
      <c r="K82" s="507"/>
      <c r="L82" s="507"/>
      <c r="M82" s="507"/>
      <c r="N82" s="507"/>
      <c r="O82" s="507"/>
      <c r="P82" s="507"/>
      <c r="Q82" s="507"/>
    </row>
    <row r="83" spans="1:17" s="494" customFormat="1" ht="12" customHeight="1" thickBot="1">
      <c r="A83" s="514" t="s">
        <v>353</v>
      </c>
      <c r="B83" s="502" t="s">
        <v>354</v>
      </c>
      <c r="C83" s="507"/>
      <c r="D83" s="507"/>
      <c r="E83" s="507"/>
      <c r="F83" s="507"/>
      <c r="G83" s="507"/>
      <c r="H83" s="507"/>
      <c r="I83" s="507"/>
      <c r="J83" s="507"/>
      <c r="K83" s="507"/>
      <c r="L83" s="507"/>
      <c r="M83" s="507"/>
      <c r="N83" s="507"/>
      <c r="O83" s="507"/>
      <c r="P83" s="507"/>
      <c r="Q83" s="507"/>
    </row>
    <row r="84" spans="1:17" s="494" customFormat="1" ht="13.5" customHeight="1" thickBot="1">
      <c r="A84" s="510" t="s">
        <v>355</v>
      </c>
      <c r="B84" s="503" t="s">
        <v>356</v>
      </c>
      <c r="C84" s="515"/>
      <c r="D84" s="515"/>
      <c r="E84" s="515"/>
      <c r="F84" s="515"/>
      <c r="G84" s="515"/>
      <c r="H84" s="515"/>
      <c r="I84" s="515"/>
      <c r="J84" s="515"/>
      <c r="K84" s="515"/>
      <c r="L84" s="515"/>
      <c r="M84" s="515"/>
      <c r="N84" s="515"/>
      <c r="O84" s="515"/>
      <c r="P84" s="515"/>
      <c r="Q84" s="515"/>
    </row>
    <row r="85" spans="1:17" s="494" customFormat="1" ht="15.75" customHeight="1" thickBot="1">
      <c r="A85" s="510" t="s">
        <v>357</v>
      </c>
      <c r="B85" s="516" t="s">
        <v>358</v>
      </c>
      <c r="C85" s="505">
        <f aca="true" t="shared" si="23" ref="C85:Q85">+C63+C67+C72+C75+C79+C84</f>
        <v>156678969</v>
      </c>
      <c r="D85" s="505">
        <f t="shared" si="23"/>
        <v>-9361300</v>
      </c>
      <c r="E85" s="505">
        <f t="shared" si="23"/>
        <v>147317669</v>
      </c>
      <c r="F85" s="505">
        <f t="shared" si="23"/>
        <v>-1381723</v>
      </c>
      <c r="G85" s="505">
        <f t="shared" si="23"/>
        <v>145935946</v>
      </c>
      <c r="H85" s="505">
        <f t="shared" si="23"/>
        <v>-60000</v>
      </c>
      <c r="I85" s="505">
        <f t="shared" si="23"/>
        <v>145875946</v>
      </c>
      <c r="J85" s="505">
        <f t="shared" si="23"/>
        <v>0</v>
      </c>
      <c r="K85" s="505">
        <f t="shared" si="23"/>
        <v>145875946</v>
      </c>
      <c r="L85" s="505">
        <f t="shared" si="23"/>
        <v>0</v>
      </c>
      <c r="M85" s="505">
        <f t="shared" si="23"/>
        <v>145875946</v>
      </c>
      <c r="N85" s="505">
        <f t="shared" si="23"/>
        <v>0</v>
      </c>
      <c r="O85" s="505">
        <f t="shared" si="23"/>
        <v>145875946</v>
      </c>
      <c r="P85" s="505">
        <f t="shared" si="23"/>
        <v>0</v>
      </c>
      <c r="Q85" s="505">
        <f t="shared" si="23"/>
        <v>145875946</v>
      </c>
    </row>
    <row r="86" spans="1:17" s="494" customFormat="1" ht="16.5" customHeight="1" thickBot="1">
      <c r="A86" s="517" t="s">
        <v>371</v>
      </c>
      <c r="B86" s="518" t="s">
        <v>359</v>
      </c>
      <c r="C86" s="505">
        <f aca="true" t="shared" si="24" ref="C86:Q86">+C62+C85</f>
        <v>402808996</v>
      </c>
      <c r="D86" s="505">
        <f t="shared" si="24"/>
        <v>-11861300</v>
      </c>
      <c r="E86" s="505">
        <f t="shared" si="24"/>
        <v>390947696</v>
      </c>
      <c r="F86" s="505">
        <f t="shared" si="24"/>
        <v>273985</v>
      </c>
      <c r="G86" s="505">
        <f>+G62+G85</f>
        <v>391221681</v>
      </c>
      <c r="H86" s="505">
        <f t="shared" si="24"/>
        <v>18545991</v>
      </c>
      <c r="I86" s="505">
        <f t="shared" si="24"/>
        <v>409767672</v>
      </c>
      <c r="J86" s="505">
        <f t="shared" si="24"/>
        <v>21054047</v>
      </c>
      <c r="K86" s="505">
        <f t="shared" si="24"/>
        <v>430821719</v>
      </c>
      <c r="L86" s="505">
        <f t="shared" si="24"/>
        <v>17001163</v>
      </c>
      <c r="M86" s="505">
        <f t="shared" si="24"/>
        <v>447822882</v>
      </c>
      <c r="N86" s="505">
        <f t="shared" si="24"/>
        <v>91129117</v>
      </c>
      <c r="O86" s="505">
        <f t="shared" si="24"/>
        <v>524951999</v>
      </c>
      <c r="P86" s="505">
        <f t="shared" si="24"/>
        <v>254494</v>
      </c>
      <c r="Q86" s="505">
        <f t="shared" si="24"/>
        <v>525206493</v>
      </c>
    </row>
    <row r="87" spans="1:17" s="494" customFormat="1" ht="83.25" customHeight="1">
      <c r="A87" s="519"/>
      <c r="B87" s="520"/>
      <c r="C87" s="521"/>
      <c r="D87" s="521"/>
      <c r="E87" s="521"/>
      <c r="F87" s="521"/>
      <c r="G87" s="521"/>
      <c r="H87" s="521"/>
      <c r="I87" s="521"/>
      <c r="J87" s="521"/>
      <c r="K87" s="521"/>
      <c r="L87" s="521"/>
      <c r="M87" s="521"/>
      <c r="N87" s="521"/>
      <c r="O87" s="521"/>
      <c r="P87" s="521"/>
      <c r="Q87" s="521"/>
    </row>
    <row r="88" spans="1:17" ht="16.5" customHeight="1">
      <c r="A88" s="728" t="s">
        <v>48</v>
      </c>
      <c r="B88" s="728"/>
      <c r="C88" s="728"/>
      <c r="D88" s="729"/>
      <c r="E88" s="729"/>
      <c r="F88" s="729"/>
      <c r="G88" s="729"/>
      <c r="H88" s="729"/>
      <c r="I88" s="729"/>
      <c r="J88" s="729"/>
      <c r="K88" s="729"/>
      <c r="L88" s="729"/>
      <c r="M88" s="729"/>
      <c r="N88" s="729"/>
      <c r="O88" s="729"/>
      <c r="P88"/>
      <c r="Q88"/>
    </row>
    <row r="89" spans="1:17" ht="16.5" customHeight="1" thickBot="1">
      <c r="A89" s="731" t="s">
        <v>157</v>
      </c>
      <c r="B89" s="731"/>
      <c r="C89" s="522"/>
      <c r="D89" s="522"/>
      <c r="E89" s="522" t="s">
        <v>535</v>
      </c>
      <c r="F89" s="522"/>
      <c r="G89" s="522"/>
      <c r="H89" s="522"/>
      <c r="I89" s="522"/>
      <c r="J89" s="522"/>
      <c r="K89" s="522"/>
      <c r="L89" s="522"/>
      <c r="M89" s="522"/>
      <c r="N89" s="522"/>
      <c r="O89" s="522"/>
      <c r="P89" s="522"/>
      <c r="Q89" s="522" t="s">
        <v>535</v>
      </c>
    </row>
    <row r="90" spans="1:17" ht="37.5" customHeight="1" thickBot="1">
      <c r="A90" s="484" t="s">
        <v>76</v>
      </c>
      <c r="B90" s="485" t="s">
        <v>49</v>
      </c>
      <c r="C90" s="486" t="s">
        <v>540</v>
      </c>
      <c r="D90" s="486" t="s">
        <v>580</v>
      </c>
      <c r="E90" s="486" t="s">
        <v>581</v>
      </c>
      <c r="F90" s="486" t="s">
        <v>591</v>
      </c>
      <c r="G90" s="486" t="s">
        <v>581</v>
      </c>
      <c r="H90" s="486" t="s">
        <v>595</v>
      </c>
      <c r="I90" s="486" t="s">
        <v>581</v>
      </c>
      <c r="J90" s="486" t="s">
        <v>599</v>
      </c>
      <c r="K90" s="486" t="s">
        <v>581</v>
      </c>
      <c r="L90" s="486" t="s">
        <v>602</v>
      </c>
      <c r="M90" s="486" t="s">
        <v>581</v>
      </c>
      <c r="N90" s="486" t="s">
        <v>606</v>
      </c>
      <c r="O90" s="486" t="s">
        <v>581</v>
      </c>
      <c r="P90" s="486" t="s">
        <v>615</v>
      </c>
      <c r="Q90" s="486" t="s">
        <v>581</v>
      </c>
    </row>
    <row r="91" spans="1:17" s="490" customFormat="1" ht="12" customHeight="1" thickBot="1">
      <c r="A91" s="523">
        <v>1</v>
      </c>
      <c r="B91" s="524">
        <v>2</v>
      </c>
      <c r="C91" s="525">
        <v>3</v>
      </c>
      <c r="D91" s="525">
        <v>4</v>
      </c>
      <c r="E91" s="525">
        <v>5</v>
      </c>
      <c r="F91" s="525">
        <v>4</v>
      </c>
      <c r="G91" s="525">
        <v>4</v>
      </c>
      <c r="H91" s="525">
        <v>5</v>
      </c>
      <c r="I91" s="525">
        <v>4</v>
      </c>
      <c r="J91" s="525">
        <v>5</v>
      </c>
      <c r="K91" s="525">
        <v>4</v>
      </c>
      <c r="L91" s="525">
        <v>5</v>
      </c>
      <c r="M91" s="525">
        <v>4</v>
      </c>
      <c r="N91" s="525">
        <v>5</v>
      </c>
      <c r="O91" s="525">
        <v>4</v>
      </c>
      <c r="P91" s="525">
        <v>5</v>
      </c>
      <c r="Q91" s="525">
        <v>6</v>
      </c>
    </row>
    <row r="92" spans="1:17" ht="12" customHeight="1" thickBot="1">
      <c r="A92" s="526" t="s">
        <v>20</v>
      </c>
      <c r="B92" s="527" t="s">
        <v>374</v>
      </c>
      <c r="C92" s="528">
        <f aca="true" t="shared" si="25" ref="C92:Q92">SUM(C93:C97)</f>
        <v>302579587</v>
      </c>
      <c r="D92" s="528">
        <f t="shared" si="25"/>
        <v>-10461300</v>
      </c>
      <c r="E92" s="528">
        <f t="shared" si="25"/>
        <v>292118287</v>
      </c>
      <c r="F92" s="528">
        <f t="shared" si="25"/>
        <v>2392233</v>
      </c>
      <c r="G92" s="528">
        <f t="shared" si="25"/>
        <v>294510520</v>
      </c>
      <c r="H92" s="528">
        <f t="shared" si="25"/>
        <v>15679876</v>
      </c>
      <c r="I92" s="528">
        <f t="shared" si="25"/>
        <v>310190396</v>
      </c>
      <c r="J92" s="528">
        <f t="shared" si="25"/>
        <v>8307576</v>
      </c>
      <c r="K92" s="528">
        <f t="shared" si="25"/>
        <v>318497972</v>
      </c>
      <c r="L92" s="528">
        <f t="shared" si="25"/>
        <v>974738</v>
      </c>
      <c r="M92" s="528">
        <f t="shared" si="25"/>
        <v>319472710</v>
      </c>
      <c r="N92" s="528">
        <f t="shared" si="25"/>
        <v>4832250</v>
      </c>
      <c r="O92" s="528">
        <f t="shared" si="25"/>
        <v>324304960</v>
      </c>
      <c r="P92" s="528">
        <f t="shared" si="25"/>
        <v>-129211</v>
      </c>
      <c r="Q92" s="528">
        <f t="shared" si="25"/>
        <v>324175749</v>
      </c>
    </row>
    <row r="93" spans="1:17" ht="12" customHeight="1">
      <c r="A93" s="529" t="s">
        <v>107</v>
      </c>
      <c r="B93" s="530" t="s">
        <v>50</v>
      </c>
      <c r="C93" s="531">
        <f>43467732+44980308+31378352</f>
        <v>119826392</v>
      </c>
      <c r="D93" s="531">
        <v>-4967000</v>
      </c>
      <c r="E93" s="532">
        <f>C93+D93</f>
        <v>114859392</v>
      </c>
      <c r="F93" s="531">
        <v>835200</v>
      </c>
      <c r="G93" s="532">
        <f>E93+F93</f>
        <v>115694592</v>
      </c>
      <c r="H93" s="531">
        <f>5252689+5659287+489500</f>
        <v>11401476</v>
      </c>
      <c r="I93" s="532">
        <f>G93+H93</f>
        <v>127096068</v>
      </c>
      <c r="J93" s="531">
        <f>2769548+1104000+1366000-270000</f>
        <v>4969548</v>
      </c>
      <c r="K93" s="532">
        <f>I93+J93</f>
        <v>132065616</v>
      </c>
      <c r="L93" s="531">
        <f>590337+155199</f>
        <v>745536</v>
      </c>
      <c r="M93" s="532">
        <f>K93+L93</f>
        <v>132811152</v>
      </c>
      <c r="N93" s="531">
        <f>1594540-182560-421300-230000</f>
        <v>760680</v>
      </c>
      <c r="O93" s="532">
        <f>M93+N93</f>
        <v>133571832</v>
      </c>
      <c r="P93" s="531"/>
      <c r="Q93" s="532">
        <f>O93+P93</f>
        <v>133571832</v>
      </c>
    </row>
    <row r="94" spans="1:17" ht="12" customHeight="1">
      <c r="A94" s="498" t="s">
        <v>108</v>
      </c>
      <c r="B94" s="533" t="s">
        <v>187</v>
      </c>
      <c r="C94" s="500">
        <f>9861093+9349824+6259779</f>
        <v>25470696</v>
      </c>
      <c r="D94" s="500">
        <v>-974300</v>
      </c>
      <c r="E94" s="534">
        <f>C94+D94</f>
        <v>24496396</v>
      </c>
      <c r="F94" s="500">
        <v>170978</v>
      </c>
      <c r="G94" s="534">
        <f>E94+F94</f>
        <v>24667374</v>
      </c>
      <c r="H94" s="500">
        <f>1024712+1103688+95500</f>
        <v>2223900</v>
      </c>
      <c r="I94" s="534">
        <f>G94+H94</f>
        <v>26891274</v>
      </c>
      <c r="J94" s="500">
        <f>396225+45326+253499</f>
        <v>695050</v>
      </c>
      <c r="K94" s="534">
        <f>I94+J94</f>
        <v>27586324</v>
      </c>
      <c r="L94" s="500"/>
      <c r="M94" s="534">
        <f>K94+L94</f>
        <v>27586324</v>
      </c>
      <c r="N94" s="500">
        <f>201635-71000-40000</f>
        <v>90635</v>
      </c>
      <c r="O94" s="534">
        <f>M94+N94</f>
        <v>27676959</v>
      </c>
      <c r="P94" s="500"/>
      <c r="Q94" s="534">
        <f>O94+P94</f>
        <v>27676959</v>
      </c>
    </row>
    <row r="95" spans="1:17" ht="12" customHeight="1">
      <c r="A95" s="498" t="s">
        <v>109</v>
      </c>
      <c r="B95" s="533" t="s">
        <v>143</v>
      </c>
      <c r="C95" s="504">
        <f>92347859+43032500+5697440</f>
        <v>141077799</v>
      </c>
      <c r="D95" s="504">
        <v>-270000</v>
      </c>
      <c r="E95" s="534">
        <f>C95+D95</f>
        <v>140807799</v>
      </c>
      <c r="F95" s="504">
        <v>619866</v>
      </c>
      <c r="G95" s="534">
        <f>E95+F95</f>
        <v>141427665</v>
      </c>
      <c r="H95" s="504">
        <f>400000+1287000</f>
        <v>1687000</v>
      </c>
      <c r="I95" s="534">
        <f>G95+H95</f>
        <v>143114665</v>
      </c>
      <c r="J95" s="504">
        <f>1000000+2010478</f>
        <v>3010478</v>
      </c>
      <c r="K95" s="534">
        <f>I95+J95</f>
        <v>146125143</v>
      </c>
      <c r="L95" s="504">
        <v>100000</v>
      </c>
      <c r="M95" s="534">
        <f>K95+L95</f>
        <v>146225143</v>
      </c>
      <c r="N95" s="504">
        <f>3860935+120000</f>
        <v>3980935</v>
      </c>
      <c r="O95" s="534">
        <f>M95+N95</f>
        <v>150206078</v>
      </c>
      <c r="P95" s="504">
        <v>-9</v>
      </c>
      <c r="Q95" s="534">
        <f>O95+P95</f>
        <v>150206069</v>
      </c>
    </row>
    <row r="96" spans="1:17" ht="12" customHeight="1">
      <c r="A96" s="498" t="s">
        <v>110</v>
      </c>
      <c r="B96" s="535" t="s">
        <v>188</v>
      </c>
      <c r="C96" s="504">
        <v>7954700</v>
      </c>
      <c r="D96" s="504"/>
      <c r="E96" s="534">
        <f>C96+D96</f>
        <v>7954700</v>
      </c>
      <c r="F96" s="504"/>
      <c r="G96" s="534">
        <f>E96+F96</f>
        <v>7954700</v>
      </c>
      <c r="H96" s="504">
        <v>367500</v>
      </c>
      <c r="I96" s="534">
        <f>G96+H96</f>
        <v>8322200</v>
      </c>
      <c r="J96" s="504">
        <v>-367500</v>
      </c>
      <c r="K96" s="534">
        <f>I96+J96</f>
        <v>7954700</v>
      </c>
      <c r="L96" s="504"/>
      <c r="M96" s="534">
        <f>K96+L96</f>
        <v>7954700</v>
      </c>
      <c r="N96" s="504"/>
      <c r="O96" s="534">
        <f>M96+N96</f>
        <v>7954700</v>
      </c>
      <c r="P96" s="504"/>
      <c r="Q96" s="534">
        <f>O96+P96</f>
        <v>7954700</v>
      </c>
    </row>
    <row r="97" spans="1:17" ht="12" customHeight="1">
      <c r="A97" s="498" t="s">
        <v>121</v>
      </c>
      <c r="B97" s="536" t="s">
        <v>189</v>
      </c>
      <c r="C97" s="504">
        <f aca="true" t="shared" si="26" ref="C97:Q97">SUM(C98:C107)</f>
        <v>8250000</v>
      </c>
      <c r="D97" s="504">
        <f t="shared" si="26"/>
        <v>-4250000</v>
      </c>
      <c r="E97" s="504">
        <f t="shared" si="26"/>
        <v>4000000</v>
      </c>
      <c r="F97" s="504">
        <f t="shared" si="26"/>
        <v>766189</v>
      </c>
      <c r="G97" s="504">
        <f t="shared" si="26"/>
        <v>4766189</v>
      </c>
      <c r="H97" s="504">
        <f t="shared" si="26"/>
        <v>0</v>
      </c>
      <c r="I97" s="504">
        <f t="shared" si="26"/>
        <v>4766189</v>
      </c>
      <c r="J97" s="504">
        <f t="shared" si="26"/>
        <v>0</v>
      </c>
      <c r="K97" s="504">
        <f t="shared" si="26"/>
        <v>4766189</v>
      </c>
      <c r="L97" s="504">
        <f t="shared" si="26"/>
        <v>129202</v>
      </c>
      <c r="M97" s="504">
        <f t="shared" si="26"/>
        <v>4895391</v>
      </c>
      <c r="N97" s="504">
        <f t="shared" si="26"/>
        <v>0</v>
      </c>
      <c r="O97" s="504">
        <f t="shared" si="26"/>
        <v>4895391</v>
      </c>
      <c r="P97" s="504">
        <f t="shared" si="26"/>
        <v>-129202</v>
      </c>
      <c r="Q97" s="504">
        <f t="shared" si="26"/>
        <v>4766189</v>
      </c>
    </row>
    <row r="98" spans="1:17" ht="12" customHeight="1">
      <c r="A98" s="498" t="s">
        <v>111</v>
      </c>
      <c r="B98" s="533" t="s">
        <v>375</v>
      </c>
      <c r="C98" s="504"/>
      <c r="D98" s="504"/>
      <c r="E98" s="504"/>
      <c r="F98" s="504">
        <v>766189</v>
      </c>
      <c r="G98" s="504">
        <v>766189</v>
      </c>
      <c r="H98" s="504"/>
      <c r="I98" s="504">
        <v>766189</v>
      </c>
      <c r="J98" s="504"/>
      <c r="K98" s="504">
        <v>766189</v>
      </c>
      <c r="L98" s="504">
        <v>129202</v>
      </c>
      <c r="M98" s="504">
        <f>K98+L98</f>
        <v>895391</v>
      </c>
      <c r="N98" s="504"/>
      <c r="O98" s="504">
        <f>M98+N98</f>
        <v>895391</v>
      </c>
      <c r="P98" s="504">
        <v>-129202</v>
      </c>
      <c r="Q98" s="504">
        <f>O98+P98</f>
        <v>766189</v>
      </c>
    </row>
    <row r="99" spans="1:17" ht="12" customHeight="1">
      <c r="A99" s="498" t="s">
        <v>112</v>
      </c>
      <c r="B99" s="537" t="s">
        <v>376</v>
      </c>
      <c r="C99" s="504"/>
      <c r="D99" s="504"/>
      <c r="E99" s="504"/>
      <c r="F99" s="504"/>
      <c r="G99" s="504"/>
      <c r="H99" s="504"/>
      <c r="I99" s="504"/>
      <c r="J99" s="504"/>
      <c r="K99" s="504"/>
      <c r="L99" s="504"/>
      <c r="M99" s="504"/>
      <c r="N99" s="504"/>
      <c r="O99" s="504"/>
      <c r="P99" s="504"/>
      <c r="Q99" s="504"/>
    </row>
    <row r="100" spans="1:17" ht="12" customHeight="1">
      <c r="A100" s="498" t="s">
        <v>122</v>
      </c>
      <c r="B100" s="538" t="s">
        <v>377</v>
      </c>
      <c r="C100" s="504"/>
      <c r="D100" s="504"/>
      <c r="E100" s="504"/>
      <c r="F100" s="504"/>
      <c r="G100" s="504"/>
      <c r="H100" s="504"/>
      <c r="I100" s="504"/>
      <c r="J100" s="504"/>
      <c r="K100" s="504"/>
      <c r="L100" s="504"/>
      <c r="M100" s="504"/>
      <c r="N100" s="504"/>
      <c r="O100" s="504"/>
      <c r="P100" s="504"/>
      <c r="Q100" s="504"/>
    </row>
    <row r="101" spans="1:17" ht="12" customHeight="1">
      <c r="A101" s="498" t="s">
        <v>123</v>
      </c>
      <c r="B101" s="538" t="s">
        <v>378</v>
      </c>
      <c r="C101" s="504"/>
      <c r="D101" s="504"/>
      <c r="E101" s="504"/>
      <c r="F101" s="504"/>
      <c r="G101" s="504"/>
      <c r="H101" s="504"/>
      <c r="I101" s="504"/>
      <c r="J101" s="504"/>
      <c r="K101" s="504"/>
      <c r="L101" s="504"/>
      <c r="M101" s="504"/>
      <c r="N101" s="504"/>
      <c r="O101" s="504"/>
      <c r="P101" s="504"/>
      <c r="Q101" s="504"/>
    </row>
    <row r="102" spans="1:17" ht="12" customHeight="1">
      <c r="A102" s="498" t="s">
        <v>124</v>
      </c>
      <c r="B102" s="537" t="s">
        <v>379</v>
      </c>
      <c r="C102" s="504"/>
      <c r="D102" s="504"/>
      <c r="E102" s="504"/>
      <c r="F102" s="504"/>
      <c r="G102" s="504"/>
      <c r="H102" s="504"/>
      <c r="I102" s="504"/>
      <c r="J102" s="504"/>
      <c r="K102" s="504"/>
      <c r="L102" s="504"/>
      <c r="M102" s="504"/>
      <c r="N102" s="504"/>
      <c r="O102" s="504"/>
      <c r="P102" s="504"/>
      <c r="Q102" s="504"/>
    </row>
    <row r="103" spans="1:17" ht="12" customHeight="1">
      <c r="A103" s="498" t="s">
        <v>125</v>
      </c>
      <c r="B103" s="537" t="s">
        <v>380</v>
      </c>
      <c r="C103" s="504"/>
      <c r="D103" s="504"/>
      <c r="E103" s="504"/>
      <c r="F103" s="504"/>
      <c r="G103" s="504"/>
      <c r="H103" s="504"/>
      <c r="I103" s="504"/>
      <c r="J103" s="504"/>
      <c r="K103" s="504"/>
      <c r="L103" s="504"/>
      <c r="M103" s="504"/>
      <c r="N103" s="504"/>
      <c r="O103" s="504"/>
      <c r="P103" s="504"/>
      <c r="Q103" s="504"/>
    </row>
    <row r="104" spans="1:17" ht="12" customHeight="1">
      <c r="A104" s="498" t="s">
        <v>127</v>
      </c>
      <c r="B104" s="538" t="s">
        <v>381</v>
      </c>
      <c r="C104" s="504"/>
      <c r="D104" s="504"/>
      <c r="E104" s="504"/>
      <c r="F104" s="504"/>
      <c r="G104" s="504"/>
      <c r="H104" s="504"/>
      <c r="I104" s="504"/>
      <c r="J104" s="504"/>
      <c r="K104" s="504"/>
      <c r="L104" s="504"/>
      <c r="M104" s="504"/>
      <c r="N104" s="504"/>
      <c r="O104" s="504"/>
      <c r="P104" s="504"/>
      <c r="Q104" s="504"/>
    </row>
    <row r="105" spans="1:17" ht="12" customHeight="1">
      <c r="A105" s="539" t="s">
        <v>190</v>
      </c>
      <c r="B105" s="540" t="s">
        <v>382</v>
      </c>
      <c r="C105" s="504"/>
      <c r="D105" s="504"/>
      <c r="E105" s="504"/>
      <c r="F105" s="504"/>
      <c r="G105" s="504"/>
      <c r="H105" s="504"/>
      <c r="I105" s="504"/>
      <c r="J105" s="504"/>
      <c r="K105" s="504"/>
      <c r="L105" s="504"/>
      <c r="M105" s="504"/>
      <c r="N105" s="504"/>
      <c r="O105" s="504"/>
      <c r="P105" s="504"/>
      <c r="Q105" s="504"/>
    </row>
    <row r="106" spans="1:17" ht="12" customHeight="1">
      <c r="A106" s="498" t="s">
        <v>372</v>
      </c>
      <c r="B106" s="540" t="s">
        <v>383</v>
      </c>
      <c r="C106" s="504"/>
      <c r="D106" s="504"/>
      <c r="E106" s="504"/>
      <c r="F106" s="504"/>
      <c r="G106" s="504"/>
      <c r="H106" s="504"/>
      <c r="I106" s="504"/>
      <c r="J106" s="504"/>
      <c r="K106" s="504"/>
      <c r="L106" s="504"/>
      <c r="M106" s="504"/>
      <c r="N106" s="504"/>
      <c r="O106" s="504"/>
      <c r="P106" s="504"/>
      <c r="Q106" s="504"/>
    </row>
    <row r="107" spans="1:17" ht="12" customHeight="1" thickBot="1">
      <c r="A107" s="541" t="s">
        <v>373</v>
      </c>
      <c r="B107" s="542" t="s">
        <v>384</v>
      </c>
      <c r="C107" s="543">
        <v>8250000</v>
      </c>
      <c r="D107" s="543">
        <v>-4250000</v>
      </c>
      <c r="E107" s="543">
        <f>C107+D107</f>
        <v>4000000</v>
      </c>
      <c r="F107" s="543"/>
      <c r="G107" s="543">
        <f>E107+F107</f>
        <v>4000000</v>
      </c>
      <c r="H107" s="543"/>
      <c r="I107" s="543">
        <f>G107+H107</f>
        <v>4000000</v>
      </c>
      <c r="J107" s="543"/>
      <c r="K107" s="543">
        <f>I107+J107</f>
        <v>4000000</v>
      </c>
      <c r="L107" s="543"/>
      <c r="M107" s="543">
        <f>K107+L107</f>
        <v>4000000</v>
      </c>
      <c r="N107" s="543"/>
      <c r="O107" s="543">
        <f>M107+N107</f>
        <v>4000000</v>
      </c>
      <c r="P107" s="543"/>
      <c r="Q107" s="543">
        <f>O107+P107</f>
        <v>4000000</v>
      </c>
    </row>
    <row r="108" spans="1:17" ht="12" customHeight="1" thickBot="1">
      <c r="A108" s="491" t="s">
        <v>21</v>
      </c>
      <c r="B108" s="544" t="s">
        <v>385</v>
      </c>
      <c r="C108" s="493">
        <f aca="true" t="shared" si="27" ref="C108:Q108">+C109+C111+C113</f>
        <v>58173656</v>
      </c>
      <c r="D108" s="493">
        <f t="shared" si="27"/>
        <v>-1400000</v>
      </c>
      <c r="E108" s="493">
        <f t="shared" si="27"/>
        <v>56773656</v>
      </c>
      <c r="F108" s="493">
        <f t="shared" si="27"/>
        <v>0</v>
      </c>
      <c r="G108" s="493">
        <f t="shared" si="27"/>
        <v>56773656</v>
      </c>
      <c r="H108" s="493">
        <f t="shared" si="27"/>
        <v>2926115</v>
      </c>
      <c r="I108" s="493">
        <f t="shared" si="27"/>
        <v>59699771</v>
      </c>
      <c r="J108" s="493">
        <f t="shared" si="27"/>
        <v>43037197</v>
      </c>
      <c r="K108" s="493">
        <f t="shared" si="27"/>
        <v>102736968</v>
      </c>
      <c r="L108" s="493">
        <f t="shared" si="27"/>
        <v>16834113</v>
      </c>
      <c r="M108" s="493">
        <f t="shared" si="27"/>
        <v>119571081</v>
      </c>
      <c r="N108" s="493">
        <f t="shared" si="27"/>
        <v>7635621</v>
      </c>
      <c r="O108" s="493">
        <f t="shared" si="27"/>
        <v>127206702</v>
      </c>
      <c r="P108" s="493">
        <f t="shared" si="27"/>
        <v>0</v>
      </c>
      <c r="Q108" s="493">
        <f t="shared" si="27"/>
        <v>127206702</v>
      </c>
    </row>
    <row r="109" spans="1:17" ht="12" customHeight="1">
      <c r="A109" s="495" t="s">
        <v>113</v>
      </c>
      <c r="B109" s="533" t="s">
        <v>234</v>
      </c>
      <c r="C109" s="497">
        <f>24092687+600000+405000</f>
        <v>25097687</v>
      </c>
      <c r="D109" s="497"/>
      <c r="E109" s="497">
        <f>C109+D109</f>
        <v>25097687</v>
      </c>
      <c r="F109" s="497"/>
      <c r="G109" s="497">
        <f>E109+F109</f>
        <v>25097687</v>
      </c>
      <c r="H109" s="497">
        <v>2926115</v>
      </c>
      <c r="I109" s="497">
        <f>G109+H109</f>
        <v>28023802</v>
      </c>
      <c r="J109" s="497">
        <v>-18000000</v>
      </c>
      <c r="K109" s="497">
        <f>I109+J109</f>
        <v>10023802</v>
      </c>
      <c r="L109" s="497">
        <f>500000-100000</f>
        <v>400000</v>
      </c>
      <c r="M109" s="497">
        <f>K109+L109</f>
        <v>10423802</v>
      </c>
      <c r="N109" s="497">
        <v>4999863</v>
      </c>
      <c r="O109" s="497">
        <f>M109+N109</f>
        <v>15423665</v>
      </c>
      <c r="P109" s="497"/>
      <c r="Q109" s="497">
        <f>O109+P109</f>
        <v>15423665</v>
      </c>
    </row>
    <row r="110" spans="1:17" ht="12" customHeight="1">
      <c r="A110" s="495" t="s">
        <v>114</v>
      </c>
      <c r="B110" s="545" t="s">
        <v>389</v>
      </c>
      <c r="C110" s="497"/>
      <c r="D110" s="497"/>
      <c r="E110" s="497">
        <f aca="true" t="shared" si="28" ref="E110:E121">C110+D110</f>
        <v>0</v>
      </c>
      <c r="F110" s="497"/>
      <c r="G110" s="497">
        <f>E110+F110</f>
        <v>0</v>
      </c>
      <c r="H110" s="497"/>
      <c r="I110" s="497">
        <f>G110+H110</f>
        <v>0</v>
      </c>
      <c r="J110" s="497"/>
      <c r="K110" s="497">
        <f>I110+J110</f>
        <v>0</v>
      </c>
      <c r="L110" s="497"/>
      <c r="M110" s="497">
        <f>K110+L110</f>
        <v>0</v>
      </c>
      <c r="N110" s="497"/>
      <c r="O110" s="497">
        <f>M110+N110</f>
        <v>0</v>
      </c>
      <c r="P110" s="497"/>
      <c r="Q110" s="497">
        <f>O110+P110</f>
        <v>0</v>
      </c>
    </row>
    <row r="111" spans="1:17" ht="12" customHeight="1">
      <c r="A111" s="495" t="s">
        <v>115</v>
      </c>
      <c r="B111" s="545" t="s">
        <v>191</v>
      </c>
      <c r="C111" s="500">
        <v>30175969</v>
      </c>
      <c r="D111" s="500"/>
      <c r="E111" s="497">
        <f t="shared" si="28"/>
        <v>30175969</v>
      </c>
      <c r="F111" s="500"/>
      <c r="G111" s="497">
        <f>E111+F111</f>
        <v>30175969</v>
      </c>
      <c r="H111" s="500"/>
      <c r="I111" s="497">
        <f>G111+H111</f>
        <v>30175969</v>
      </c>
      <c r="J111" s="500">
        <v>61037197</v>
      </c>
      <c r="K111" s="497">
        <f>I111+J111</f>
        <v>91213166</v>
      </c>
      <c r="L111" s="500">
        <v>16934113</v>
      </c>
      <c r="M111" s="497">
        <f>K111+L111</f>
        <v>108147279</v>
      </c>
      <c r="N111" s="500">
        <v>2635758</v>
      </c>
      <c r="O111" s="497">
        <f>M111+N111</f>
        <v>110783037</v>
      </c>
      <c r="P111" s="500"/>
      <c r="Q111" s="497">
        <f>O111+P111</f>
        <v>110783037</v>
      </c>
    </row>
    <row r="112" spans="1:17" ht="12" customHeight="1">
      <c r="A112" s="495" t="s">
        <v>116</v>
      </c>
      <c r="B112" s="545" t="s">
        <v>390</v>
      </c>
      <c r="C112" s="546"/>
      <c r="D112" s="546"/>
      <c r="E112" s="497">
        <f t="shared" si="28"/>
        <v>0</v>
      </c>
      <c r="F112" s="546"/>
      <c r="G112" s="497">
        <f>E112+F112</f>
        <v>0</v>
      </c>
      <c r="H112" s="546"/>
      <c r="I112" s="497">
        <f>G112+H112</f>
        <v>0</v>
      </c>
      <c r="J112" s="546"/>
      <c r="K112" s="497">
        <f>I112+J112</f>
        <v>0</v>
      </c>
      <c r="L112" s="546"/>
      <c r="M112" s="497">
        <f>K112+L112</f>
        <v>0</v>
      </c>
      <c r="N112" s="546"/>
      <c r="O112" s="497">
        <f>M112+N112</f>
        <v>0</v>
      </c>
      <c r="P112" s="546"/>
      <c r="Q112" s="497">
        <f>O112+P112</f>
        <v>0</v>
      </c>
    </row>
    <row r="113" spans="1:17" ht="12" customHeight="1">
      <c r="A113" s="495" t="s">
        <v>117</v>
      </c>
      <c r="B113" s="547" t="s">
        <v>236</v>
      </c>
      <c r="C113" s="546">
        <v>2900000</v>
      </c>
      <c r="D113" s="546">
        <f>D121</f>
        <v>-1400000</v>
      </c>
      <c r="E113" s="497">
        <f>C113+D113</f>
        <v>1500000</v>
      </c>
      <c r="F113" s="546">
        <f>F121</f>
        <v>0</v>
      </c>
      <c r="G113" s="497">
        <f>E113+F113</f>
        <v>1500000</v>
      </c>
      <c r="H113" s="546">
        <f>H121</f>
        <v>0</v>
      </c>
      <c r="I113" s="497">
        <f>G113+H113</f>
        <v>1500000</v>
      </c>
      <c r="J113" s="546">
        <f>J121</f>
        <v>0</v>
      </c>
      <c r="K113" s="497">
        <f>I113+J113</f>
        <v>1500000</v>
      </c>
      <c r="L113" s="546">
        <f>L121</f>
        <v>-500000</v>
      </c>
      <c r="M113" s="497">
        <f>K113+L113</f>
        <v>1000000</v>
      </c>
      <c r="N113" s="546">
        <f>N121</f>
        <v>0</v>
      </c>
      <c r="O113" s="497">
        <f>M113+N113</f>
        <v>1000000</v>
      </c>
      <c r="P113" s="546">
        <f>P121</f>
        <v>0</v>
      </c>
      <c r="Q113" s="497">
        <f>O113+P113</f>
        <v>1000000</v>
      </c>
    </row>
    <row r="114" spans="1:17" ht="12" customHeight="1">
      <c r="A114" s="495" t="s">
        <v>126</v>
      </c>
      <c r="B114" s="548" t="s">
        <v>499</v>
      </c>
      <c r="C114" s="546"/>
      <c r="D114" s="546"/>
      <c r="E114" s="497">
        <f t="shared" si="28"/>
        <v>0</v>
      </c>
      <c r="F114" s="546"/>
      <c r="G114" s="497">
        <f aca="true" t="shared" si="29" ref="G114:G121">E114+F114</f>
        <v>0</v>
      </c>
      <c r="H114" s="546"/>
      <c r="I114" s="497">
        <f aca="true" t="shared" si="30" ref="I114:I121">G114+H114</f>
        <v>0</v>
      </c>
      <c r="J114" s="546"/>
      <c r="K114" s="497">
        <f aca="true" t="shared" si="31" ref="K114:K121">I114+J114</f>
        <v>0</v>
      </c>
      <c r="L114" s="546"/>
      <c r="M114" s="497">
        <f aca="true" t="shared" si="32" ref="M114:M121">K114+L114</f>
        <v>0</v>
      </c>
      <c r="N114" s="546"/>
      <c r="O114" s="497">
        <f aca="true" t="shared" si="33" ref="O114:O121">M114+N114</f>
        <v>0</v>
      </c>
      <c r="P114" s="546"/>
      <c r="Q114" s="497">
        <f aca="true" t="shared" si="34" ref="Q114:Q121">O114+P114</f>
        <v>0</v>
      </c>
    </row>
    <row r="115" spans="1:17" ht="12" customHeight="1">
      <c r="A115" s="495" t="s">
        <v>128</v>
      </c>
      <c r="B115" s="549" t="s">
        <v>395</v>
      </c>
      <c r="C115" s="546"/>
      <c r="D115" s="546"/>
      <c r="E115" s="497">
        <f t="shared" si="28"/>
        <v>0</v>
      </c>
      <c r="F115" s="546"/>
      <c r="G115" s="497">
        <f t="shared" si="29"/>
        <v>0</v>
      </c>
      <c r="H115" s="546"/>
      <c r="I115" s="497">
        <f t="shared" si="30"/>
        <v>0</v>
      </c>
      <c r="J115" s="546"/>
      <c r="K115" s="497">
        <f t="shared" si="31"/>
        <v>0</v>
      </c>
      <c r="L115" s="546"/>
      <c r="M115" s="497">
        <f t="shared" si="32"/>
        <v>0</v>
      </c>
      <c r="N115" s="546"/>
      <c r="O115" s="497">
        <f t="shared" si="33"/>
        <v>0</v>
      </c>
      <c r="P115" s="546"/>
      <c r="Q115" s="497">
        <f t="shared" si="34"/>
        <v>0</v>
      </c>
    </row>
    <row r="116" spans="1:17" ht="15.75">
      <c r="A116" s="495" t="s">
        <v>192</v>
      </c>
      <c r="B116" s="538" t="s">
        <v>378</v>
      </c>
      <c r="C116" s="546"/>
      <c r="D116" s="546"/>
      <c r="E116" s="497">
        <f t="shared" si="28"/>
        <v>0</v>
      </c>
      <c r="F116" s="546"/>
      <c r="G116" s="497">
        <f t="shared" si="29"/>
        <v>0</v>
      </c>
      <c r="H116" s="546"/>
      <c r="I116" s="497">
        <f t="shared" si="30"/>
        <v>0</v>
      </c>
      <c r="J116" s="546"/>
      <c r="K116" s="497">
        <f t="shared" si="31"/>
        <v>0</v>
      </c>
      <c r="L116" s="546"/>
      <c r="M116" s="497">
        <f t="shared" si="32"/>
        <v>0</v>
      </c>
      <c r="N116" s="546"/>
      <c r="O116" s="497">
        <f t="shared" si="33"/>
        <v>0</v>
      </c>
      <c r="P116" s="546"/>
      <c r="Q116" s="497">
        <f t="shared" si="34"/>
        <v>0</v>
      </c>
    </row>
    <row r="117" spans="1:17" ht="12" customHeight="1">
      <c r="A117" s="495" t="s">
        <v>193</v>
      </c>
      <c r="B117" s="538" t="s">
        <v>394</v>
      </c>
      <c r="C117" s="546"/>
      <c r="D117" s="546"/>
      <c r="E117" s="497">
        <f t="shared" si="28"/>
        <v>0</v>
      </c>
      <c r="F117" s="546"/>
      <c r="G117" s="497">
        <f t="shared" si="29"/>
        <v>0</v>
      </c>
      <c r="H117" s="546"/>
      <c r="I117" s="497">
        <f t="shared" si="30"/>
        <v>0</v>
      </c>
      <c r="J117" s="546"/>
      <c r="K117" s="497">
        <f t="shared" si="31"/>
        <v>0</v>
      </c>
      <c r="L117" s="546"/>
      <c r="M117" s="497">
        <f t="shared" si="32"/>
        <v>0</v>
      </c>
      <c r="N117" s="546"/>
      <c r="O117" s="497">
        <f t="shared" si="33"/>
        <v>0</v>
      </c>
      <c r="P117" s="546"/>
      <c r="Q117" s="497">
        <f t="shared" si="34"/>
        <v>0</v>
      </c>
    </row>
    <row r="118" spans="1:17" ht="12" customHeight="1">
      <c r="A118" s="495" t="s">
        <v>194</v>
      </c>
      <c r="B118" s="538" t="s">
        <v>393</v>
      </c>
      <c r="C118" s="546"/>
      <c r="D118" s="546"/>
      <c r="E118" s="497">
        <f t="shared" si="28"/>
        <v>0</v>
      </c>
      <c r="F118" s="546"/>
      <c r="G118" s="497">
        <f t="shared" si="29"/>
        <v>0</v>
      </c>
      <c r="H118" s="546"/>
      <c r="I118" s="497">
        <f t="shared" si="30"/>
        <v>0</v>
      </c>
      <c r="J118" s="546"/>
      <c r="K118" s="497">
        <f t="shared" si="31"/>
        <v>0</v>
      </c>
      <c r="L118" s="546"/>
      <c r="M118" s="497">
        <f t="shared" si="32"/>
        <v>0</v>
      </c>
      <c r="N118" s="546"/>
      <c r="O118" s="497">
        <f t="shared" si="33"/>
        <v>0</v>
      </c>
      <c r="P118" s="546"/>
      <c r="Q118" s="497">
        <f t="shared" si="34"/>
        <v>0</v>
      </c>
    </row>
    <row r="119" spans="1:17" ht="12" customHeight="1">
      <c r="A119" s="495" t="s">
        <v>386</v>
      </c>
      <c r="B119" s="538" t="s">
        <v>381</v>
      </c>
      <c r="C119" s="546"/>
      <c r="D119" s="546"/>
      <c r="E119" s="497">
        <f t="shared" si="28"/>
        <v>0</v>
      </c>
      <c r="F119" s="546"/>
      <c r="G119" s="497">
        <f t="shared" si="29"/>
        <v>0</v>
      </c>
      <c r="H119" s="546"/>
      <c r="I119" s="497">
        <f t="shared" si="30"/>
        <v>0</v>
      </c>
      <c r="J119" s="546"/>
      <c r="K119" s="497">
        <f t="shared" si="31"/>
        <v>0</v>
      </c>
      <c r="L119" s="546"/>
      <c r="M119" s="497">
        <f t="shared" si="32"/>
        <v>0</v>
      </c>
      <c r="N119" s="546"/>
      <c r="O119" s="497">
        <f t="shared" si="33"/>
        <v>0</v>
      </c>
      <c r="P119" s="546"/>
      <c r="Q119" s="497">
        <f t="shared" si="34"/>
        <v>0</v>
      </c>
    </row>
    <row r="120" spans="1:17" ht="12" customHeight="1">
      <c r="A120" s="495" t="s">
        <v>387</v>
      </c>
      <c r="B120" s="538" t="s">
        <v>392</v>
      </c>
      <c r="C120" s="546"/>
      <c r="D120" s="546"/>
      <c r="E120" s="497">
        <f t="shared" si="28"/>
        <v>0</v>
      </c>
      <c r="F120" s="546"/>
      <c r="G120" s="497">
        <f t="shared" si="29"/>
        <v>0</v>
      </c>
      <c r="H120" s="546"/>
      <c r="I120" s="497">
        <f t="shared" si="30"/>
        <v>0</v>
      </c>
      <c r="J120" s="546"/>
      <c r="K120" s="497">
        <f t="shared" si="31"/>
        <v>0</v>
      </c>
      <c r="L120" s="546"/>
      <c r="M120" s="497">
        <f t="shared" si="32"/>
        <v>0</v>
      </c>
      <c r="N120" s="546"/>
      <c r="O120" s="497">
        <f t="shared" si="33"/>
        <v>0</v>
      </c>
      <c r="P120" s="546"/>
      <c r="Q120" s="497">
        <f t="shared" si="34"/>
        <v>0</v>
      </c>
    </row>
    <row r="121" spans="1:17" ht="16.5" thickBot="1">
      <c r="A121" s="539" t="s">
        <v>388</v>
      </c>
      <c r="B121" s="538" t="s">
        <v>391</v>
      </c>
      <c r="C121" s="550">
        <v>2900000</v>
      </c>
      <c r="D121" s="550">
        <v>-1400000</v>
      </c>
      <c r="E121" s="497">
        <f t="shared" si="28"/>
        <v>1500000</v>
      </c>
      <c r="F121" s="550"/>
      <c r="G121" s="497">
        <f t="shared" si="29"/>
        <v>1500000</v>
      </c>
      <c r="H121" s="550"/>
      <c r="I121" s="497">
        <f t="shared" si="30"/>
        <v>1500000</v>
      </c>
      <c r="J121" s="550"/>
      <c r="K121" s="497">
        <f t="shared" si="31"/>
        <v>1500000</v>
      </c>
      <c r="L121" s="550">
        <v>-500000</v>
      </c>
      <c r="M121" s="497">
        <f t="shared" si="32"/>
        <v>1000000</v>
      </c>
      <c r="N121" s="550"/>
      <c r="O121" s="497">
        <f t="shared" si="33"/>
        <v>1000000</v>
      </c>
      <c r="P121" s="550"/>
      <c r="Q121" s="497">
        <f t="shared" si="34"/>
        <v>1000000</v>
      </c>
    </row>
    <row r="122" spans="1:17" ht="12" customHeight="1" thickBot="1">
      <c r="A122" s="491" t="s">
        <v>22</v>
      </c>
      <c r="B122" s="551" t="s">
        <v>396</v>
      </c>
      <c r="C122" s="493">
        <f aca="true" t="shared" si="35" ref="C122:Q122">+C123+C124</f>
        <v>37406066</v>
      </c>
      <c r="D122" s="493">
        <f t="shared" si="35"/>
        <v>0</v>
      </c>
      <c r="E122" s="493">
        <f t="shared" si="35"/>
        <v>37406066</v>
      </c>
      <c r="F122" s="493">
        <f t="shared" si="35"/>
        <v>-2118248</v>
      </c>
      <c r="G122" s="493">
        <f t="shared" si="35"/>
        <v>35287818</v>
      </c>
      <c r="H122" s="493">
        <f t="shared" si="35"/>
        <v>-60000</v>
      </c>
      <c r="I122" s="493">
        <f t="shared" si="35"/>
        <v>35227818</v>
      </c>
      <c r="J122" s="493">
        <f t="shared" si="35"/>
        <v>-30290726</v>
      </c>
      <c r="K122" s="493">
        <f t="shared" si="35"/>
        <v>4937092</v>
      </c>
      <c r="L122" s="493">
        <f t="shared" si="35"/>
        <v>-807688</v>
      </c>
      <c r="M122" s="493">
        <f t="shared" si="35"/>
        <v>4129404</v>
      </c>
      <c r="N122" s="493">
        <f t="shared" si="35"/>
        <v>78661246</v>
      </c>
      <c r="O122" s="493">
        <f t="shared" si="35"/>
        <v>82790650</v>
      </c>
      <c r="P122" s="493">
        <f t="shared" si="35"/>
        <v>383705</v>
      </c>
      <c r="Q122" s="493">
        <f t="shared" si="35"/>
        <v>83174355</v>
      </c>
    </row>
    <row r="123" spans="1:17" ht="12" customHeight="1">
      <c r="A123" s="495" t="s">
        <v>96</v>
      </c>
      <c r="B123" s="552" t="s">
        <v>63</v>
      </c>
      <c r="C123" s="497">
        <v>37406066</v>
      </c>
      <c r="D123" s="497"/>
      <c r="E123" s="497">
        <f>C123+D123</f>
        <v>37406066</v>
      </c>
      <c r="F123" s="497">
        <v>-2118248</v>
      </c>
      <c r="G123" s="497">
        <f>E123+F123</f>
        <v>35287818</v>
      </c>
      <c r="H123" s="497">
        <v>-60000</v>
      </c>
      <c r="I123" s="497">
        <f>G123+H123</f>
        <v>35227818</v>
      </c>
      <c r="J123" s="497">
        <v>-30290726</v>
      </c>
      <c r="K123" s="497">
        <f>I123+J123</f>
        <v>4937092</v>
      </c>
      <c r="L123" s="497">
        <v>-807688</v>
      </c>
      <c r="M123" s="497">
        <f>K123+L123</f>
        <v>4129404</v>
      </c>
      <c r="N123" s="497">
        <v>78661246</v>
      </c>
      <c r="O123" s="497">
        <f>M123+N123</f>
        <v>82790650</v>
      </c>
      <c r="P123" s="497">
        <v>383705</v>
      </c>
      <c r="Q123" s="497">
        <f>O123+P123</f>
        <v>83174355</v>
      </c>
    </row>
    <row r="124" spans="1:17" ht="12" customHeight="1" thickBot="1">
      <c r="A124" s="501" t="s">
        <v>97</v>
      </c>
      <c r="B124" s="545" t="s">
        <v>64</v>
      </c>
      <c r="C124" s="504"/>
      <c r="D124" s="504"/>
      <c r="E124" s="504"/>
      <c r="F124" s="504"/>
      <c r="G124" s="504"/>
      <c r="H124" s="504"/>
      <c r="I124" s="504"/>
      <c r="J124" s="504"/>
      <c r="K124" s="504"/>
      <c r="L124" s="504"/>
      <c r="M124" s="504"/>
      <c r="N124" s="504"/>
      <c r="O124" s="504"/>
      <c r="P124" s="504"/>
      <c r="Q124" s="504"/>
    </row>
    <row r="125" spans="1:17" ht="12" customHeight="1" thickBot="1">
      <c r="A125" s="491" t="s">
        <v>23</v>
      </c>
      <c r="B125" s="551" t="s">
        <v>397</v>
      </c>
      <c r="C125" s="493">
        <f aca="true" t="shared" si="36" ref="C125:Q125">+C92+C108+C122</f>
        <v>398159309</v>
      </c>
      <c r="D125" s="493">
        <f t="shared" si="36"/>
        <v>-11861300</v>
      </c>
      <c r="E125" s="493">
        <f t="shared" si="36"/>
        <v>386298009</v>
      </c>
      <c r="F125" s="493">
        <f t="shared" si="36"/>
        <v>273985</v>
      </c>
      <c r="G125" s="493">
        <f t="shared" si="36"/>
        <v>386571994</v>
      </c>
      <c r="H125" s="493">
        <f t="shared" si="36"/>
        <v>18545991</v>
      </c>
      <c r="I125" s="493">
        <f t="shared" si="36"/>
        <v>405117985</v>
      </c>
      <c r="J125" s="493">
        <f t="shared" si="36"/>
        <v>21054047</v>
      </c>
      <c r="K125" s="493">
        <f t="shared" si="36"/>
        <v>426172032</v>
      </c>
      <c r="L125" s="493">
        <f t="shared" si="36"/>
        <v>17001163</v>
      </c>
      <c r="M125" s="493">
        <f t="shared" si="36"/>
        <v>443173195</v>
      </c>
      <c r="N125" s="493">
        <f t="shared" si="36"/>
        <v>91129117</v>
      </c>
      <c r="O125" s="493">
        <f t="shared" si="36"/>
        <v>534302312</v>
      </c>
      <c r="P125" s="493">
        <f t="shared" si="36"/>
        <v>254494</v>
      </c>
      <c r="Q125" s="493">
        <f t="shared" si="36"/>
        <v>534556806</v>
      </c>
    </row>
    <row r="126" spans="1:17" ht="12" customHeight="1" thickBot="1">
      <c r="A126" s="491" t="s">
        <v>24</v>
      </c>
      <c r="B126" s="551" t="s">
        <v>398</v>
      </c>
      <c r="C126" s="493">
        <f aca="true" t="shared" si="37" ref="C126:Q126">+C127+C128+C129</f>
        <v>0</v>
      </c>
      <c r="D126" s="493">
        <f t="shared" si="37"/>
        <v>0</v>
      </c>
      <c r="E126" s="493">
        <f t="shared" si="37"/>
        <v>0</v>
      </c>
      <c r="F126" s="493">
        <f t="shared" si="37"/>
        <v>0</v>
      </c>
      <c r="G126" s="493">
        <f t="shared" si="37"/>
        <v>0</v>
      </c>
      <c r="H126" s="493">
        <f t="shared" si="37"/>
        <v>0</v>
      </c>
      <c r="I126" s="493">
        <f t="shared" si="37"/>
        <v>0</v>
      </c>
      <c r="J126" s="493">
        <f t="shared" si="37"/>
        <v>0</v>
      </c>
      <c r="K126" s="493">
        <f t="shared" si="37"/>
        <v>0</v>
      </c>
      <c r="L126" s="493">
        <f t="shared" si="37"/>
        <v>0</v>
      </c>
      <c r="M126" s="493">
        <f t="shared" si="37"/>
        <v>0</v>
      </c>
      <c r="N126" s="493">
        <f t="shared" si="37"/>
        <v>0</v>
      </c>
      <c r="O126" s="493">
        <f t="shared" si="37"/>
        <v>0</v>
      </c>
      <c r="P126" s="493">
        <f t="shared" si="37"/>
        <v>0</v>
      </c>
      <c r="Q126" s="493">
        <f t="shared" si="37"/>
        <v>0</v>
      </c>
    </row>
    <row r="127" spans="1:17" ht="12" customHeight="1">
      <c r="A127" s="495" t="s">
        <v>100</v>
      </c>
      <c r="B127" s="552" t="s">
        <v>399</v>
      </c>
      <c r="C127" s="546"/>
      <c r="D127" s="546"/>
      <c r="E127" s="546"/>
      <c r="F127" s="546"/>
      <c r="G127" s="546"/>
      <c r="H127" s="546"/>
      <c r="I127" s="546"/>
      <c r="J127" s="546"/>
      <c r="K127" s="546"/>
      <c r="L127" s="546"/>
      <c r="M127" s="546"/>
      <c r="N127" s="546"/>
      <c r="O127" s="546"/>
      <c r="P127" s="546"/>
      <c r="Q127" s="546"/>
    </row>
    <row r="128" spans="1:17" ht="12" customHeight="1">
      <c r="A128" s="495" t="s">
        <v>101</v>
      </c>
      <c r="B128" s="552" t="s">
        <v>400</v>
      </c>
      <c r="C128" s="546"/>
      <c r="D128" s="546"/>
      <c r="E128" s="546"/>
      <c r="F128" s="546"/>
      <c r="G128" s="546"/>
      <c r="H128" s="546"/>
      <c r="I128" s="546"/>
      <c r="J128" s="546"/>
      <c r="K128" s="546"/>
      <c r="L128" s="546"/>
      <c r="M128" s="546"/>
      <c r="N128" s="546"/>
      <c r="O128" s="546"/>
      <c r="P128" s="546"/>
      <c r="Q128" s="546"/>
    </row>
    <row r="129" spans="1:17" ht="12" customHeight="1" thickBot="1">
      <c r="A129" s="539" t="s">
        <v>102</v>
      </c>
      <c r="B129" s="553" t="s">
        <v>401</v>
      </c>
      <c r="C129" s="546"/>
      <c r="D129" s="546"/>
      <c r="E129" s="546"/>
      <c r="F129" s="546"/>
      <c r="G129" s="546"/>
      <c r="H129" s="546"/>
      <c r="I129" s="546"/>
      <c r="J129" s="546"/>
      <c r="K129" s="546"/>
      <c r="L129" s="546"/>
      <c r="M129" s="546"/>
      <c r="N129" s="546"/>
      <c r="O129" s="546"/>
      <c r="P129" s="546"/>
      <c r="Q129" s="546"/>
    </row>
    <row r="130" spans="1:17" ht="12" customHeight="1" thickBot="1">
      <c r="A130" s="491" t="s">
        <v>25</v>
      </c>
      <c r="B130" s="551" t="s">
        <v>458</v>
      </c>
      <c r="C130" s="493">
        <f aca="true" t="shared" si="38" ref="C130:Q130">+C131+C132+C133+C134</f>
        <v>0</v>
      </c>
      <c r="D130" s="493">
        <f t="shared" si="38"/>
        <v>0</v>
      </c>
      <c r="E130" s="493">
        <f t="shared" si="38"/>
        <v>0</v>
      </c>
      <c r="F130" s="493">
        <f t="shared" si="38"/>
        <v>0</v>
      </c>
      <c r="G130" s="493">
        <f t="shared" si="38"/>
        <v>0</v>
      </c>
      <c r="H130" s="493">
        <f t="shared" si="38"/>
        <v>0</v>
      </c>
      <c r="I130" s="493">
        <f t="shared" si="38"/>
        <v>0</v>
      </c>
      <c r="J130" s="493">
        <f t="shared" si="38"/>
        <v>0</v>
      </c>
      <c r="K130" s="493">
        <f t="shared" si="38"/>
        <v>0</v>
      </c>
      <c r="L130" s="493">
        <f t="shared" si="38"/>
        <v>0</v>
      </c>
      <c r="M130" s="493">
        <f t="shared" si="38"/>
        <v>0</v>
      </c>
      <c r="N130" s="493">
        <f t="shared" si="38"/>
        <v>0</v>
      </c>
      <c r="O130" s="493">
        <f t="shared" si="38"/>
        <v>0</v>
      </c>
      <c r="P130" s="493">
        <f t="shared" si="38"/>
        <v>0</v>
      </c>
      <c r="Q130" s="493">
        <f t="shared" si="38"/>
        <v>0</v>
      </c>
    </row>
    <row r="131" spans="1:17" ht="12" customHeight="1">
      <c r="A131" s="495" t="s">
        <v>103</v>
      </c>
      <c r="B131" s="552" t="s">
        <v>402</v>
      </c>
      <c r="C131" s="546"/>
      <c r="D131" s="546"/>
      <c r="E131" s="546"/>
      <c r="F131" s="546"/>
      <c r="G131" s="546"/>
      <c r="H131" s="546"/>
      <c r="I131" s="546"/>
      <c r="J131" s="546"/>
      <c r="K131" s="546"/>
      <c r="L131" s="546"/>
      <c r="M131" s="546"/>
      <c r="N131" s="546"/>
      <c r="O131" s="546"/>
      <c r="P131" s="546"/>
      <c r="Q131" s="546"/>
    </row>
    <row r="132" spans="1:17" ht="12" customHeight="1">
      <c r="A132" s="495" t="s">
        <v>104</v>
      </c>
      <c r="B132" s="552" t="s">
        <v>403</v>
      </c>
      <c r="C132" s="546"/>
      <c r="D132" s="546"/>
      <c r="E132" s="546"/>
      <c r="F132" s="546"/>
      <c r="G132" s="546"/>
      <c r="H132" s="546"/>
      <c r="I132" s="546"/>
      <c r="J132" s="546"/>
      <c r="K132" s="546"/>
      <c r="L132" s="546"/>
      <c r="M132" s="546"/>
      <c r="N132" s="546"/>
      <c r="O132" s="546"/>
      <c r="P132" s="546"/>
      <c r="Q132" s="546"/>
    </row>
    <row r="133" spans="1:17" ht="12" customHeight="1">
      <c r="A133" s="495" t="s">
        <v>305</v>
      </c>
      <c r="B133" s="552" t="s">
        <v>404</v>
      </c>
      <c r="C133" s="546"/>
      <c r="D133" s="546"/>
      <c r="E133" s="546"/>
      <c r="F133" s="546"/>
      <c r="G133" s="546"/>
      <c r="H133" s="546"/>
      <c r="I133" s="546"/>
      <c r="J133" s="546"/>
      <c r="K133" s="546"/>
      <c r="L133" s="546"/>
      <c r="M133" s="546"/>
      <c r="N133" s="546"/>
      <c r="O133" s="546"/>
      <c r="P133" s="546"/>
      <c r="Q133" s="546"/>
    </row>
    <row r="134" spans="1:17" ht="12" customHeight="1" thickBot="1">
      <c r="A134" s="539" t="s">
        <v>306</v>
      </c>
      <c r="B134" s="553" t="s">
        <v>405</v>
      </c>
      <c r="C134" s="546"/>
      <c r="D134" s="546"/>
      <c r="E134" s="546"/>
      <c r="F134" s="546"/>
      <c r="G134" s="546"/>
      <c r="H134" s="546"/>
      <c r="I134" s="546"/>
      <c r="J134" s="546"/>
      <c r="K134" s="546"/>
      <c r="L134" s="546"/>
      <c r="M134" s="546"/>
      <c r="N134" s="546"/>
      <c r="O134" s="546"/>
      <c r="P134" s="546"/>
      <c r="Q134" s="546"/>
    </row>
    <row r="135" spans="1:17" ht="12" customHeight="1" thickBot="1">
      <c r="A135" s="491" t="s">
        <v>26</v>
      </c>
      <c r="B135" s="551" t="s">
        <v>406</v>
      </c>
      <c r="C135" s="505">
        <f aca="true" t="shared" si="39" ref="C135:Q135">+C136+C137+C138+C139</f>
        <v>4649687</v>
      </c>
      <c r="D135" s="505">
        <f t="shared" si="39"/>
        <v>0</v>
      </c>
      <c r="E135" s="505">
        <f t="shared" si="39"/>
        <v>4649687</v>
      </c>
      <c r="F135" s="505">
        <f t="shared" si="39"/>
        <v>0</v>
      </c>
      <c r="G135" s="505">
        <f t="shared" si="39"/>
        <v>4649687</v>
      </c>
      <c r="H135" s="505">
        <f t="shared" si="39"/>
        <v>0</v>
      </c>
      <c r="I135" s="505">
        <f t="shared" si="39"/>
        <v>4649687</v>
      </c>
      <c r="J135" s="505">
        <f t="shared" si="39"/>
        <v>0</v>
      </c>
      <c r="K135" s="505">
        <f t="shared" si="39"/>
        <v>4649687</v>
      </c>
      <c r="L135" s="505">
        <f t="shared" si="39"/>
        <v>0</v>
      </c>
      <c r="M135" s="505">
        <f t="shared" si="39"/>
        <v>4649687</v>
      </c>
      <c r="N135" s="505">
        <f t="shared" si="39"/>
        <v>0</v>
      </c>
      <c r="O135" s="505">
        <f t="shared" si="39"/>
        <v>4649687</v>
      </c>
      <c r="P135" s="505">
        <f t="shared" si="39"/>
        <v>0</v>
      </c>
      <c r="Q135" s="505">
        <f t="shared" si="39"/>
        <v>4649687</v>
      </c>
    </row>
    <row r="136" spans="1:17" ht="12" customHeight="1">
      <c r="A136" s="495" t="s">
        <v>105</v>
      </c>
      <c r="B136" s="552" t="s">
        <v>407</v>
      </c>
      <c r="C136" s="546"/>
      <c r="D136" s="546"/>
      <c r="E136" s="546"/>
      <c r="F136" s="546"/>
      <c r="G136" s="546"/>
      <c r="H136" s="546"/>
      <c r="I136" s="546"/>
      <c r="J136" s="546"/>
      <c r="K136" s="546"/>
      <c r="L136" s="546"/>
      <c r="M136" s="546"/>
      <c r="N136" s="546"/>
      <c r="O136" s="546"/>
      <c r="P136" s="546"/>
      <c r="Q136" s="546"/>
    </row>
    <row r="137" spans="1:17" ht="12" customHeight="1">
      <c r="A137" s="495" t="s">
        <v>106</v>
      </c>
      <c r="B137" s="552" t="s">
        <v>417</v>
      </c>
      <c r="C137" s="546">
        <v>4649687</v>
      </c>
      <c r="D137" s="546"/>
      <c r="E137" s="546">
        <f>C137+D137</f>
        <v>4649687</v>
      </c>
      <c r="F137" s="546"/>
      <c r="G137" s="546">
        <f>E137+F137</f>
        <v>4649687</v>
      </c>
      <c r="H137" s="546"/>
      <c r="I137" s="546">
        <f>G137+H137</f>
        <v>4649687</v>
      </c>
      <c r="J137" s="546"/>
      <c r="K137" s="546">
        <f>I137+J137</f>
        <v>4649687</v>
      </c>
      <c r="L137" s="546"/>
      <c r="M137" s="546">
        <f>K137+L137</f>
        <v>4649687</v>
      </c>
      <c r="N137" s="546"/>
      <c r="O137" s="546">
        <f>M137+N137</f>
        <v>4649687</v>
      </c>
      <c r="P137" s="546"/>
      <c r="Q137" s="546">
        <f>O137+P137</f>
        <v>4649687</v>
      </c>
    </row>
    <row r="138" spans="1:17" ht="12" customHeight="1">
      <c r="A138" s="495" t="s">
        <v>318</v>
      </c>
      <c r="B138" s="552" t="s">
        <v>408</v>
      </c>
      <c r="C138" s="546"/>
      <c r="D138" s="546"/>
      <c r="E138" s="546"/>
      <c r="F138" s="546"/>
      <c r="G138" s="546"/>
      <c r="H138" s="546"/>
      <c r="I138" s="546"/>
      <c r="J138" s="546"/>
      <c r="K138" s="546"/>
      <c r="L138" s="546"/>
      <c r="M138" s="546"/>
      <c r="N138" s="546"/>
      <c r="O138" s="546"/>
      <c r="P138" s="546"/>
      <c r="Q138" s="546"/>
    </row>
    <row r="139" spans="1:17" ht="12" customHeight="1" thickBot="1">
      <c r="A139" s="539" t="s">
        <v>319</v>
      </c>
      <c r="B139" s="553" t="s">
        <v>409</v>
      </c>
      <c r="C139" s="546"/>
      <c r="D139" s="546"/>
      <c r="E139" s="546"/>
      <c r="F139" s="546"/>
      <c r="G139" s="546"/>
      <c r="H139" s="546"/>
      <c r="I139" s="546"/>
      <c r="J139" s="546"/>
      <c r="K139" s="546"/>
      <c r="L139" s="546"/>
      <c r="M139" s="546"/>
      <c r="N139" s="546"/>
      <c r="O139" s="546"/>
      <c r="P139" s="546"/>
      <c r="Q139" s="546"/>
    </row>
    <row r="140" spans="1:17" ht="12" customHeight="1" thickBot="1">
      <c r="A140" s="491" t="s">
        <v>27</v>
      </c>
      <c r="B140" s="551" t="s">
        <v>410</v>
      </c>
      <c r="C140" s="554">
        <f aca="true" t="shared" si="40" ref="C140:Q140">+C141+C142+C143+C144</f>
        <v>0</v>
      </c>
      <c r="D140" s="554">
        <f t="shared" si="40"/>
        <v>0</v>
      </c>
      <c r="E140" s="554">
        <f t="shared" si="40"/>
        <v>0</v>
      </c>
      <c r="F140" s="554">
        <f t="shared" si="40"/>
        <v>0</v>
      </c>
      <c r="G140" s="554">
        <f t="shared" si="40"/>
        <v>0</v>
      </c>
      <c r="H140" s="554">
        <f t="shared" si="40"/>
        <v>0</v>
      </c>
      <c r="I140" s="554">
        <f t="shared" si="40"/>
        <v>0</v>
      </c>
      <c r="J140" s="554">
        <f t="shared" si="40"/>
        <v>0</v>
      </c>
      <c r="K140" s="554">
        <f t="shared" si="40"/>
        <v>0</v>
      </c>
      <c r="L140" s="554">
        <f t="shared" si="40"/>
        <v>0</v>
      </c>
      <c r="M140" s="554">
        <f t="shared" si="40"/>
        <v>0</v>
      </c>
      <c r="N140" s="554">
        <f t="shared" si="40"/>
        <v>0</v>
      </c>
      <c r="O140" s="554">
        <f t="shared" si="40"/>
        <v>0</v>
      </c>
      <c r="P140" s="554">
        <f t="shared" si="40"/>
        <v>0</v>
      </c>
      <c r="Q140" s="554">
        <f t="shared" si="40"/>
        <v>0</v>
      </c>
    </row>
    <row r="141" spans="1:17" ht="12" customHeight="1">
      <c r="A141" s="495" t="s">
        <v>185</v>
      </c>
      <c r="B141" s="552" t="s">
        <v>411</v>
      </c>
      <c r="C141" s="546"/>
      <c r="D141" s="546"/>
      <c r="E141" s="546"/>
      <c r="F141" s="546"/>
      <c r="G141" s="546"/>
      <c r="H141" s="546"/>
      <c r="I141" s="546"/>
      <c r="J141" s="546"/>
      <c r="K141" s="546"/>
      <c r="L141" s="546"/>
      <c r="M141" s="546"/>
      <c r="N141" s="546"/>
      <c r="O141" s="546"/>
      <c r="P141" s="546"/>
      <c r="Q141" s="546"/>
    </row>
    <row r="142" spans="1:17" ht="12" customHeight="1">
      <c r="A142" s="495" t="s">
        <v>186</v>
      </c>
      <c r="B142" s="552" t="s">
        <v>412</v>
      </c>
      <c r="C142" s="546"/>
      <c r="D142" s="546"/>
      <c r="E142" s="546"/>
      <c r="F142" s="546"/>
      <c r="G142" s="546"/>
      <c r="H142" s="546"/>
      <c r="I142" s="546"/>
      <c r="J142" s="546"/>
      <c r="K142" s="546"/>
      <c r="L142" s="546"/>
      <c r="M142" s="546"/>
      <c r="N142" s="546"/>
      <c r="O142" s="546"/>
      <c r="P142" s="546"/>
      <c r="Q142" s="546"/>
    </row>
    <row r="143" spans="1:17" ht="12" customHeight="1">
      <c r="A143" s="495" t="s">
        <v>235</v>
      </c>
      <c r="B143" s="552" t="s">
        <v>413</v>
      </c>
      <c r="C143" s="546"/>
      <c r="D143" s="546"/>
      <c r="E143" s="546"/>
      <c r="F143" s="546"/>
      <c r="G143" s="546"/>
      <c r="H143" s="546"/>
      <c r="I143" s="546"/>
      <c r="J143" s="546"/>
      <c r="K143" s="546"/>
      <c r="L143" s="546"/>
      <c r="M143" s="546"/>
      <c r="N143" s="546"/>
      <c r="O143" s="546"/>
      <c r="P143" s="546"/>
      <c r="Q143" s="546"/>
    </row>
    <row r="144" spans="1:17" ht="12" customHeight="1" thickBot="1">
      <c r="A144" s="495" t="s">
        <v>321</v>
      </c>
      <c r="B144" s="552" t="s">
        <v>414</v>
      </c>
      <c r="C144" s="546"/>
      <c r="D144" s="546"/>
      <c r="E144" s="546"/>
      <c r="F144" s="546"/>
      <c r="G144" s="546"/>
      <c r="H144" s="546"/>
      <c r="I144" s="546"/>
      <c r="J144" s="546"/>
      <c r="K144" s="546"/>
      <c r="L144" s="546"/>
      <c r="M144" s="546"/>
      <c r="N144" s="546"/>
      <c r="O144" s="546"/>
      <c r="P144" s="546"/>
      <c r="Q144" s="546"/>
    </row>
    <row r="145" spans="1:21" ht="15" customHeight="1" thickBot="1">
      <c r="A145" s="491" t="s">
        <v>28</v>
      </c>
      <c r="B145" s="551" t="s">
        <v>415</v>
      </c>
      <c r="C145" s="555">
        <f aca="true" t="shared" si="41" ref="C145:Q145">+C126+C130+C135+C140</f>
        <v>4649687</v>
      </c>
      <c r="D145" s="555">
        <f t="shared" si="41"/>
        <v>0</v>
      </c>
      <c r="E145" s="555">
        <f t="shared" si="41"/>
        <v>4649687</v>
      </c>
      <c r="F145" s="555">
        <f t="shared" si="41"/>
        <v>0</v>
      </c>
      <c r="G145" s="555">
        <f t="shared" si="41"/>
        <v>4649687</v>
      </c>
      <c r="H145" s="555">
        <f t="shared" si="41"/>
        <v>0</v>
      </c>
      <c r="I145" s="555">
        <f t="shared" si="41"/>
        <v>4649687</v>
      </c>
      <c r="J145" s="555">
        <f t="shared" si="41"/>
        <v>0</v>
      </c>
      <c r="K145" s="555">
        <f t="shared" si="41"/>
        <v>4649687</v>
      </c>
      <c r="L145" s="555">
        <f t="shared" si="41"/>
        <v>0</v>
      </c>
      <c r="M145" s="555">
        <f t="shared" si="41"/>
        <v>4649687</v>
      </c>
      <c r="N145" s="555">
        <f t="shared" si="41"/>
        <v>0</v>
      </c>
      <c r="O145" s="555">
        <f t="shared" si="41"/>
        <v>4649687</v>
      </c>
      <c r="P145" s="555">
        <f t="shared" si="41"/>
        <v>0</v>
      </c>
      <c r="Q145" s="555">
        <f t="shared" si="41"/>
        <v>4649687</v>
      </c>
      <c r="R145" s="556"/>
      <c r="S145" s="557"/>
      <c r="T145" s="557"/>
      <c r="U145" s="557"/>
    </row>
    <row r="146" spans="1:17" s="494" customFormat="1" ht="12.75" customHeight="1" thickBot="1">
      <c r="A146" s="558" t="s">
        <v>29</v>
      </c>
      <c r="B146" s="559" t="s">
        <v>416</v>
      </c>
      <c r="C146" s="555">
        <f aca="true" t="shared" si="42" ref="C146:Q146">+C125+C145</f>
        <v>402808996</v>
      </c>
      <c r="D146" s="555">
        <f t="shared" si="42"/>
        <v>-11861300</v>
      </c>
      <c r="E146" s="555">
        <f t="shared" si="42"/>
        <v>390947696</v>
      </c>
      <c r="F146" s="555">
        <f t="shared" si="42"/>
        <v>273985</v>
      </c>
      <c r="G146" s="555">
        <f t="shared" si="42"/>
        <v>391221681</v>
      </c>
      <c r="H146" s="555">
        <f t="shared" si="42"/>
        <v>18545991</v>
      </c>
      <c r="I146" s="555">
        <f t="shared" si="42"/>
        <v>409767672</v>
      </c>
      <c r="J146" s="555">
        <f t="shared" si="42"/>
        <v>21054047</v>
      </c>
      <c r="K146" s="555">
        <f t="shared" si="42"/>
        <v>430821719</v>
      </c>
      <c r="L146" s="555">
        <f t="shared" si="42"/>
        <v>17001163</v>
      </c>
      <c r="M146" s="555">
        <f t="shared" si="42"/>
        <v>447822882</v>
      </c>
      <c r="N146" s="555">
        <f t="shared" si="42"/>
        <v>91129117</v>
      </c>
      <c r="O146" s="555">
        <f t="shared" si="42"/>
        <v>538951999</v>
      </c>
      <c r="P146" s="555">
        <f t="shared" si="42"/>
        <v>254494</v>
      </c>
      <c r="Q146" s="555">
        <f t="shared" si="42"/>
        <v>539206493</v>
      </c>
    </row>
    <row r="147" ht="7.5" customHeight="1"/>
    <row r="148" spans="1:17" ht="15.75">
      <c r="A148" s="732" t="s">
        <v>418</v>
      </c>
      <c r="B148" s="732"/>
      <c r="C148" s="73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</row>
    <row r="149" spans="1:17" ht="15" customHeight="1" thickBot="1">
      <c r="A149" s="730" t="s">
        <v>158</v>
      </c>
      <c r="B149" s="730"/>
      <c r="C149" s="483"/>
      <c r="D149" s="483"/>
      <c r="E149" s="483" t="s">
        <v>535</v>
      </c>
      <c r="F149" s="483"/>
      <c r="G149" s="483"/>
      <c r="H149" s="483"/>
      <c r="I149" s="483"/>
      <c r="J149" s="483"/>
      <c r="K149" s="483"/>
      <c r="L149" s="483"/>
      <c r="M149" s="483"/>
      <c r="N149" s="483"/>
      <c r="O149" s="483"/>
      <c r="P149" s="483"/>
      <c r="Q149" s="483" t="s">
        <v>535</v>
      </c>
    </row>
    <row r="150" spans="1:17" ht="13.5" customHeight="1" thickBot="1">
      <c r="A150" s="491">
        <v>1</v>
      </c>
      <c r="B150" s="544" t="s">
        <v>419</v>
      </c>
      <c r="C150" s="493">
        <f aca="true" t="shared" si="43" ref="C150:Q150">+C62-C125</f>
        <v>-152029282</v>
      </c>
      <c r="D150" s="493">
        <f t="shared" si="43"/>
        <v>9361300</v>
      </c>
      <c r="E150" s="493">
        <f t="shared" si="43"/>
        <v>-142667982</v>
      </c>
      <c r="F150" s="493">
        <f t="shared" si="43"/>
        <v>1381723</v>
      </c>
      <c r="G150" s="493">
        <f t="shared" si="43"/>
        <v>-141286259</v>
      </c>
      <c r="H150" s="493">
        <f t="shared" si="43"/>
        <v>60000</v>
      </c>
      <c r="I150" s="493">
        <f t="shared" si="43"/>
        <v>-141226259</v>
      </c>
      <c r="J150" s="493">
        <f t="shared" si="43"/>
        <v>0</v>
      </c>
      <c r="K150" s="493">
        <f t="shared" si="43"/>
        <v>-141226259</v>
      </c>
      <c r="L150" s="493">
        <f t="shared" si="43"/>
        <v>0</v>
      </c>
      <c r="M150" s="493">
        <f t="shared" si="43"/>
        <v>-141226259</v>
      </c>
      <c r="N150" s="493">
        <f t="shared" si="43"/>
        <v>0</v>
      </c>
      <c r="O150" s="493">
        <f t="shared" si="43"/>
        <v>-155226259</v>
      </c>
      <c r="P150" s="493">
        <f t="shared" si="43"/>
        <v>0</v>
      </c>
      <c r="Q150" s="493">
        <f t="shared" si="43"/>
        <v>-155226259</v>
      </c>
    </row>
    <row r="151" spans="1:17" ht="27.75" customHeight="1" thickBot="1">
      <c r="A151" s="491" t="s">
        <v>21</v>
      </c>
      <c r="B151" s="544" t="s">
        <v>420</v>
      </c>
      <c r="C151" s="493">
        <f aca="true" t="shared" si="44" ref="C151:Q151">+C85-C145</f>
        <v>152029282</v>
      </c>
      <c r="D151" s="493">
        <f t="shared" si="44"/>
        <v>-9361300</v>
      </c>
      <c r="E151" s="493">
        <f t="shared" si="44"/>
        <v>142667982</v>
      </c>
      <c r="F151" s="493">
        <f t="shared" si="44"/>
        <v>-1381723</v>
      </c>
      <c r="G151" s="493">
        <f t="shared" si="44"/>
        <v>141286259</v>
      </c>
      <c r="H151" s="493">
        <f t="shared" si="44"/>
        <v>-60000</v>
      </c>
      <c r="I151" s="493">
        <f t="shared" si="44"/>
        <v>141226259</v>
      </c>
      <c r="J151" s="493">
        <f t="shared" si="44"/>
        <v>0</v>
      </c>
      <c r="K151" s="493">
        <f t="shared" si="44"/>
        <v>141226259</v>
      </c>
      <c r="L151" s="493">
        <f t="shared" si="44"/>
        <v>0</v>
      </c>
      <c r="M151" s="493">
        <f t="shared" si="44"/>
        <v>141226259</v>
      </c>
      <c r="N151" s="493">
        <f t="shared" si="44"/>
        <v>0</v>
      </c>
      <c r="O151" s="493">
        <f t="shared" si="44"/>
        <v>141226259</v>
      </c>
      <c r="P151" s="493">
        <f t="shared" si="44"/>
        <v>0</v>
      </c>
      <c r="Q151" s="493">
        <f t="shared" si="44"/>
        <v>141226259</v>
      </c>
    </row>
  </sheetData>
  <sheetProtection/>
  <mergeCells count="7">
    <mergeCell ref="A149:B149"/>
    <mergeCell ref="O1:Q1"/>
    <mergeCell ref="A3:O3"/>
    <mergeCell ref="A4:B4"/>
    <mergeCell ref="A88:O88"/>
    <mergeCell ref="A89:B89"/>
    <mergeCell ref="A148:C14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5" r:id="rId1"/>
  <headerFooter alignWithMargins="0">
    <oddHeader xml:space="preserve">&amp;C&amp;"Times New Roman CE,Félkövér"&amp;12
Tengelic Község Önkormányzat
2019. ÉVI KÖLTSÉGVETÉS
KÖTELEZŐ FELADATAINAK MÉRLEGE </oddHeader>
  </headerFooter>
  <rowBreaks count="1" manualBreakCount="1">
    <brk id="87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workbookViewId="0" topLeftCell="A1">
      <selection activeCell="G115" sqref="G115"/>
    </sheetView>
  </sheetViews>
  <sheetFormatPr defaultColWidth="9.00390625" defaultRowHeight="12.75"/>
  <cols>
    <col min="1" max="1" width="6.875" style="190" customWidth="1"/>
    <col min="2" max="2" width="49.625" style="53" customWidth="1"/>
    <col min="3" max="8" width="12.875" style="53" customWidth="1"/>
    <col min="9" max="9" width="13.875" style="53" customWidth="1"/>
    <col min="10" max="16384" width="9.375" style="53" customWidth="1"/>
  </cols>
  <sheetData>
    <row r="1" spans="1:9" ht="27.75" customHeight="1">
      <c r="A1" s="792" t="s">
        <v>6</v>
      </c>
      <c r="B1" s="792"/>
      <c r="C1" s="792"/>
      <c r="D1" s="792"/>
      <c r="E1" s="792"/>
      <c r="F1" s="792"/>
      <c r="G1" s="792"/>
      <c r="H1" s="792"/>
      <c r="I1" s="792"/>
    </row>
    <row r="2" ht="20.25" customHeight="1" thickBot="1">
      <c r="I2" s="439" t="s">
        <v>535</v>
      </c>
    </row>
    <row r="3" spans="1:9" s="440" customFormat="1" ht="26.25" customHeight="1">
      <c r="A3" s="800" t="s">
        <v>76</v>
      </c>
      <c r="B3" s="795" t="s">
        <v>93</v>
      </c>
      <c r="C3" s="800" t="s">
        <v>94</v>
      </c>
      <c r="D3" s="800" t="s">
        <v>561</v>
      </c>
      <c r="E3" s="797" t="s">
        <v>75</v>
      </c>
      <c r="F3" s="798"/>
      <c r="G3" s="798"/>
      <c r="H3" s="799"/>
      <c r="I3" s="795" t="s">
        <v>52</v>
      </c>
    </row>
    <row r="4" spans="1:9" s="441" customFormat="1" ht="32.25" customHeight="1" thickBot="1">
      <c r="A4" s="801"/>
      <c r="B4" s="796"/>
      <c r="C4" s="796"/>
      <c r="D4" s="801"/>
      <c r="E4" s="264" t="s">
        <v>536</v>
      </c>
      <c r="F4" s="264" t="s">
        <v>537</v>
      </c>
      <c r="G4" s="264" t="s">
        <v>541</v>
      </c>
      <c r="H4" s="265" t="s">
        <v>562</v>
      </c>
      <c r="I4" s="796"/>
    </row>
    <row r="5" spans="1:9" s="442" customFormat="1" ht="12.75" customHeight="1" thickBot="1">
      <c r="A5" s="266">
        <v>1</v>
      </c>
      <c r="B5" s="267">
        <v>2</v>
      </c>
      <c r="C5" s="268">
        <v>3</v>
      </c>
      <c r="D5" s="267">
        <v>4</v>
      </c>
      <c r="E5" s="266">
        <v>5</v>
      </c>
      <c r="F5" s="268">
        <v>6</v>
      </c>
      <c r="G5" s="268">
        <v>7</v>
      </c>
      <c r="H5" s="269">
        <v>8</v>
      </c>
      <c r="I5" s="270" t="s">
        <v>95</v>
      </c>
    </row>
    <row r="6" spans="1:9" ht="24.75" customHeight="1" thickBot="1">
      <c r="A6" s="271" t="s">
        <v>20</v>
      </c>
      <c r="B6" s="272" t="s">
        <v>7</v>
      </c>
      <c r="C6" s="434"/>
      <c r="D6" s="68">
        <f>+D7+D8</f>
        <v>0</v>
      </c>
      <c r="E6" s="69">
        <f>+E7+E8</f>
        <v>0</v>
      </c>
      <c r="F6" s="70">
        <f>+F7+F8</f>
        <v>0</v>
      </c>
      <c r="G6" s="70">
        <f>+G7+G8</f>
        <v>0</v>
      </c>
      <c r="H6" s="71">
        <f>+H7+H8</f>
        <v>0</v>
      </c>
      <c r="I6" s="68">
        <f aca="true" t="shared" si="0" ref="I6:I17">SUM(D6:H6)</f>
        <v>0</v>
      </c>
    </row>
    <row r="7" spans="1:9" ht="19.5" customHeight="1">
      <c r="A7" s="273" t="s">
        <v>21</v>
      </c>
      <c r="B7" s="72" t="s">
        <v>77</v>
      </c>
      <c r="C7" s="435"/>
      <c r="D7" s="73"/>
      <c r="E7" s="74"/>
      <c r="F7" s="28"/>
      <c r="G7" s="28"/>
      <c r="H7" s="25"/>
      <c r="I7" s="274">
        <f t="shared" si="0"/>
        <v>0</v>
      </c>
    </row>
    <row r="8" spans="1:9" ht="19.5" customHeight="1" thickBot="1">
      <c r="A8" s="273" t="s">
        <v>22</v>
      </c>
      <c r="B8" s="72" t="s">
        <v>77</v>
      </c>
      <c r="C8" s="435"/>
      <c r="D8" s="73"/>
      <c r="E8" s="74"/>
      <c r="F8" s="28"/>
      <c r="G8" s="28"/>
      <c r="H8" s="25"/>
      <c r="I8" s="274">
        <f t="shared" si="0"/>
        <v>0</v>
      </c>
    </row>
    <row r="9" spans="1:9" ht="25.5" customHeight="1" thickBot="1">
      <c r="A9" s="271" t="s">
        <v>23</v>
      </c>
      <c r="B9" s="272" t="s">
        <v>8</v>
      </c>
      <c r="C9" s="436"/>
      <c r="D9" s="68">
        <f>+D10+D11</f>
        <v>0</v>
      </c>
      <c r="E9" s="69">
        <f>+E10+E11</f>
        <v>0</v>
      </c>
      <c r="F9" s="70">
        <f>+F10+F11</f>
        <v>0</v>
      </c>
      <c r="G9" s="70">
        <f>+G10+G11</f>
        <v>0</v>
      </c>
      <c r="H9" s="71">
        <f>+H10+H11</f>
        <v>0</v>
      </c>
      <c r="I9" s="68">
        <f t="shared" si="0"/>
        <v>0</v>
      </c>
    </row>
    <row r="10" spans="1:9" ht="19.5" customHeight="1">
      <c r="A10" s="273" t="s">
        <v>24</v>
      </c>
      <c r="B10" s="72" t="s">
        <v>77</v>
      </c>
      <c r="C10" s="435"/>
      <c r="D10" s="73"/>
      <c r="E10" s="74"/>
      <c r="F10" s="28"/>
      <c r="G10" s="28"/>
      <c r="H10" s="25"/>
      <c r="I10" s="274">
        <f t="shared" si="0"/>
        <v>0</v>
      </c>
    </row>
    <row r="11" spans="1:9" ht="19.5" customHeight="1" thickBot="1">
      <c r="A11" s="273" t="s">
        <v>25</v>
      </c>
      <c r="B11" s="72" t="s">
        <v>77</v>
      </c>
      <c r="C11" s="435"/>
      <c r="D11" s="73"/>
      <c r="E11" s="74"/>
      <c r="F11" s="28"/>
      <c r="G11" s="28"/>
      <c r="H11" s="25"/>
      <c r="I11" s="274">
        <f t="shared" si="0"/>
        <v>0</v>
      </c>
    </row>
    <row r="12" spans="1:9" ht="19.5" customHeight="1" thickBot="1">
      <c r="A12" s="271" t="s">
        <v>26</v>
      </c>
      <c r="B12" s="272" t="s">
        <v>212</v>
      </c>
      <c r="C12" s="436"/>
      <c r="D12" s="68">
        <f>+D13</f>
        <v>0</v>
      </c>
      <c r="E12" s="69">
        <f>+E13</f>
        <v>0</v>
      </c>
      <c r="F12" s="70">
        <f>+F13</f>
        <v>0</v>
      </c>
      <c r="G12" s="70">
        <f>+G13</f>
        <v>0</v>
      </c>
      <c r="H12" s="71">
        <f>+H13</f>
        <v>0</v>
      </c>
      <c r="I12" s="68">
        <f t="shared" si="0"/>
        <v>0</v>
      </c>
    </row>
    <row r="13" spans="1:9" ht="19.5" customHeight="1" thickBot="1">
      <c r="A13" s="273" t="s">
        <v>27</v>
      </c>
      <c r="B13" s="72" t="s">
        <v>77</v>
      </c>
      <c r="C13" s="435"/>
      <c r="D13" s="73"/>
      <c r="E13" s="74"/>
      <c r="F13" s="28"/>
      <c r="G13" s="28"/>
      <c r="H13" s="25"/>
      <c r="I13" s="274">
        <f t="shared" si="0"/>
        <v>0</v>
      </c>
    </row>
    <row r="14" spans="1:9" ht="19.5" customHeight="1" thickBot="1">
      <c r="A14" s="271" t="s">
        <v>28</v>
      </c>
      <c r="B14" s="272" t="s">
        <v>213</v>
      </c>
      <c r="C14" s="436"/>
      <c r="D14" s="68">
        <f>+D15</f>
        <v>0</v>
      </c>
      <c r="E14" s="69">
        <f>+E15</f>
        <v>0</v>
      </c>
      <c r="F14" s="70">
        <f>+F15</f>
        <v>0</v>
      </c>
      <c r="G14" s="70">
        <f>+G15</f>
        <v>0</v>
      </c>
      <c r="H14" s="71">
        <f>+H15</f>
        <v>0</v>
      </c>
      <c r="I14" s="68">
        <f t="shared" si="0"/>
        <v>0</v>
      </c>
    </row>
    <row r="15" spans="1:9" ht="19.5" customHeight="1" thickBot="1">
      <c r="A15" s="275" t="s">
        <v>29</v>
      </c>
      <c r="B15" s="75" t="s">
        <v>77</v>
      </c>
      <c r="C15" s="437"/>
      <c r="D15" s="76"/>
      <c r="E15" s="77"/>
      <c r="F15" s="29"/>
      <c r="G15" s="29"/>
      <c r="H15" s="27"/>
      <c r="I15" s="276">
        <f t="shared" si="0"/>
        <v>0</v>
      </c>
    </row>
    <row r="16" spans="1:9" ht="19.5" customHeight="1" thickBot="1">
      <c r="A16" s="271" t="s">
        <v>30</v>
      </c>
      <c r="B16" s="277" t="s">
        <v>214</v>
      </c>
      <c r="C16" s="436"/>
      <c r="D16" s="68">
        <f>+D17</f>
        <v>0</v>
      </c>
      <c r="E16" s="69">
        <f>+E17</f>
        <v>0</v>
      </c>
      <c r="F16" s="70">
        <f>+F17</f>
        <v>0</v>
      </c>
      <c r="G16" s="70">
        <f>+G17</f>
        <v>0</v>
      </c>
      <c r="H16" s="71">
        <f>+H17</f>
        <v>0</v>
      </c>
      <c r="I16" s="68">
        <f t="shared" si="0"/>
        <v>0</v>
      </c>
    </row>
    <row r="17" spans="1:9" ht="19.5" customHeight="1" thickBot="1">
      <c r="A17" s="278" t="s">
        <v>31</v>
      </c>
      <c r="B17" s="78" t="s">
        <v>77</v>
      </c>
      <c r="C17" s="438"/>
      <c r="D17" s="79"/>
      <c r="E17" s="80"/>
      <c r="F17" s="81"/>
      <c r="G17" s="81"/>
      <c r="H17" s="26"/>
      <c r="I17" s="279">
        <f t="shared" si="0"/>
        <v>0</v>
      </c>
    </row>
    <row r="18" spans="1:9" ht="19.5" customHeight="1" thickBot="1">
      <c r="A18" s="793" t="s">
        <v>149</v>
      </c>
      <c r="B18" s="794"/>
      <c r="C18" s="117"/>
      <c r="D18" s="68">
        <f aca="true" t="shared" si="1" ref="D18:I18">+D6+D9+D12+D14+D16</f>
        <v>0</v>
      </c>
      <c r="E18" s="69">
        <f t="shared" si="1"/>
        <v>0</v>
      </c>
      <c r="F18" s="70">
        <f t="shared" si="1"/>
        <v>0</v>
      </c>
      <c r="G18" s="70">
        <f t="shared" si="1"/>
        <v>0</v>
      </c>
      <c r="H18" s="71">
        <f t="shared" si="1"/>
        <v>0</v>
      </c>
      <c r="I18" s="68">
        <f t="shared" si="1"/>
        <v>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B1">
      <selection activeCell="I20" sqref="I20"/>
    </sheetView>
  </sheetViews>
  <sheetFormatPr defaultColWidth="9.00390625" defaultRowHeight="12.75"/>
  <cols>
    <col min="1" max="1" width="5.875" style="607" customWidth="1"/>
    <col min="2" max="2" width="54.875" style="478" customWidth="1"/>
    <col min="3" max="4" width="17.625" style="478" customWidth="1"/>
    <col min="5" max="16384" width="9.375" style="478" customWidth="1"/>
  </cols>
  <sheetData>
    <row r="1" spans="2:4" ht="31.5" customHeight="1">
      <c r="B1" s="803" t="s">
        <v>9</v>
      </c>
      <c r="C1" s="803"/>
      <c r="D1" s="803"/>
    </row>
    <row r="2" spans="1:4" s="633" customFormat="1" ht="16.5" thickBot="1">
      <c r="A2" s="635"/>
      <c r="B2" s="328"/>
      <c r="D2" s="634" t="s">
        <v>67</v>
      </c>
    </row>
    <row r="3" spans="1:4" s="629" customFormat="1" ht="48" customHeight="1" thickBot="1">
      <c r="A3" s="632" t="s">
        <v>18</v>
      </c>
      <c r="B3" s="631" t="s">
        <v>19</v>
      </c>
      <c r="C3" s="631" t="s">
        <v>78</v>
      </c>
      <c r="D3" s="630" t="s">
        <v>79</v>
      </c>
    </row>
    <row r="4" spans="1:4" s="629" customFormat="1" ht="13.5" customHeight="1" thickBot="1">
      <c r="A4" s="572">
        <v>1</v>
      </c>
      <c r="B4" s="573">
        <v>2</v>
      </c>
      <c r="C4" s="573">
        <v>3</v>
      </c>
      <c r="D4" s="574">
        <v>4</v>
      </c>
    </row>
    <row r="5" spans="1:4" ht="18" customHeight="1">
      <c r="A5" s="628" t="s">
        <v>20</v>
      </c>
      <c r="B5" s="627" t="s">
        <v>171</v>
      </c>
      <c r="C5" s="626"/>
      <c r="D5" s="625"/>
    </row>
    <row r="6" spans="1:4" ht="18" customHeight="1">
      <c r="A6" s="620" t="s">
        <v>21</v>
      </c>
      <c r="B6" s="623" t="s">
        <v>172</v>
      </c>
      <c r="C6" s="622"/>
      <c r="D6" s="617"/>
    </row>
    <row r="7" spans="1:4" ht="18" customHeight="1">
      <c r="A7" s="620" t="s">
        <v>22</v>
      </c>
      <c r="B7" s="623" t="s">
        <v>129</v>
      </c>
      <c r="C7" s="622"/>
      <c r="D7" s="617"/>
    </row>
    <row r="8" spans="1:4" ht="18" customHeight="1">
      <c r="A8" s="620" t="s">
        <v>23</v>
      </c>
      <c r="B8" s="623" t="s">
        <v>130</v>
      </c>
      <c r="C8" s="622"/>
      <c r="D8" s="617"/>
    </row>
    <row r="9" spans="1:4" ht="18" customHeight="1">
      <c r="A9" s="620" t="s">
        <v>24</v>
      </c>
      <c r="B9" s="623" t="s">
        <v>164</v>
      </c>
      <c r="C9" s="622">
        <v>3000</v>
      </c>
      <c r="D9" s="617">
        <v>694</v>
      </c>
    </row>
    <row r="10" spans="1:4" ht="18" customHeight="1">
      <c r="A10" s="620" t="s">
        <v>25</v>
      </c>
      <c r="B10" s="623" t="s">
        <v>165</v>
      </c>
      <c r="C10" s="622"/>
      <c r="D10" s="617"/>
    </row>
    <row r="11" spans="1:4" ht="18" customHeight="1">
      <c r="A11" s="620" t="s">
        <v>26</v>
      </c>
      <c r="B11" s="624" t="s">
        <v>166</v>
      </c>
      <c r="C11" s="622"/>
      <c r="D11" s="617"/>
    </row>
    <row r="12" spans="1:4" ht="18" customHeight="1">
      <c r="A12" s="620" t="s">
        <v>28</v>
      </c>
      <c r="B12" s="624" t="s">
        <v>167</v>
      </c>
      <c r="C12" s="622"/>
      <c r="D12" s="617"/>
    </row>
    <row r="13" spans="1:4" ht="18" customHeight="1">
      <c r="A13" s="620" t="s">
        <v>29</v>
      </c>
      <c r="B13" s="624" t="s">
        <v>168</v>
      </c>
      <c r="C13" s="622">
        <v>3000</v>
      </c>
      <c r="D13" s="617">
        <v>468</v>
      </c>
    </row>
    <row r="14" spans="1:4" ht="18" customHeight="1">
      <c r="A14" s="620" t="s">
        <v>30</v>
      </c>
      <c r="B14" s="624" t="s">
        <v>169</v>
      </c>
      <c r="C14" s="622"/>
      <c r="D14" s="617"/>
    </row>
    <row r="15" spans="1:4" ht="22.5" customHeight="1">
      <c r="A15" s="620" t="s">
        <v>31</v>
      </c>
      <c r="B15" s="624" t="s">
        <v>170</v>
      </c>
      <c r="C15" s="622"/>
      <c r="D15" s="617"/>
    </row>
    <row r="16" spans="1:4" ht="18" customHeight="1">
      <c r="A16" s="620" t="s">
        <v>32</v>
      </c>
      <c r="B16" s="623" t="s">
        <v>131</v>
      </c>
      <c r="C16" s="622">
        <v>164</v>
      </c>
      <c r="D16" s="617">
        <v>155</v>
      </c>
    </row>
    <row r="17" spans="1:4" ht="18" customHeight="1">
      <c r="A17" s="620" t="s">
        <v>33</v>
      </c>
      <c r="B17" s="623" t="s">
        <v>11</v>
      </c>
      <c r="C17" s="622"/>
      <c r="D17" s="617"/>
    </row>
    <row r="18" spans="1:4" ht="18" customHeight="1">
      <c r="A18" s="620" t="s">
        <v>34</v>
      </c>
      <c r="B18" s="623" t="s">
        <v>10</v>
      </c>
      <c r="C18" s="622"/>
      <c r="D18" s="617"/>
    </row>
    <row r="19" spans="1:4" ht="18" customHeight="1">
      <c r="A19" s="620" t="s">
        <v>35</v>
      </c>
      <c r="B19" s="623" t="s">
        <v>132</v>
      </c>
      <c r="C19" s="622"/>
      <c r="D19" s="617"/>
    </row>
    <row r="20" spans="1:4" ht="18" customHeight="1">
      <c r="A20" s="620" t="s">
        <v>36</v>
      </c>
      <c r="B20" s="623" t="s">
        <v>133</v>
      </c>
      <c r="C20" s="622"/>
      <c r="D20" s="617"/>
    </row>
    <row r="21" spans="1:4" ht="18" customHeight="1">
      <c r="A21" s="620" t="s">
        <v>37</v>
      </c>
      <c r="B21" s="621" t="s">
        <v>589</v>
      </c>
      <c r="C21" s="618">
        <v>3496</v>
      </c>
      <c r="D21" s="617">
        <v>2779</v>
      </c>
    </row>
    <row r="22" spans="1:4" ht="18" customHeight="1">
      <c r="A22" s="620" t="s">
        <v>38</v>
      </c>
      <c r="B22" s="619"/>
      <c r="C22" s="618"/>
      <c r="D22" s="617"/>
    </row>
    <row r="23" spans="1:4" ht="18" customHeight="1">
      <c r="A23" s="620" t="s">
        <v>39</v>
      </c>
      <c r="B23" s="619"/>
      <c r="C23" s="618"/>
      <c r="D23" s="617"/>
    </row>
    <row r="24" spans="1:4" ht="18" customHeight="1">
      <c r="A24" s="620" t="s">
        <v>40</v>
      </c>
      <c r="B24" s="619"/>
      <c r="C24" s="618"/>
      <c r="D24" s="617"/>
    </row>
    <row r="25" spans="1:4" ht="18" customHeight="1">
      <c r="A25" s="620" t="s">
        <v>41</v>
      </c>
      <c r="B25" s="619"/>
      <c r="C25" s="618"/>
      <c r="D25" s="617"/>
    </row>
    <row r="26" spans="1:4" ht="18" customHeight="1">
      <c r="A26" s="620" t="s">
        <v>42</v>
      </c>
      <c r="B26" s="619"/>
      <c r="C26" s="618"/>
      <c r="D26" s="617"/>
    </row>
    <row r="27" spans="1:4" ht="18" customHeight="1">
      <c r="A27" s="620" t="s">
        <v>43</v>
      </c>
      <c r="B27" s="619"/>
      <c r="C27" s="618"/>
      <c r="D27" s="617"/>
    </row>
    <row r="28" spans="1:4" ht="18" customHeight="1">
      <c r="A28" s="620" t="s">
        <v>44</v>
      </c>
      <c r="B28" s="619"/>
      <c r="C28" s="618"/>
      <c r="D28" s="617"/>
    </row>
    <row r="29" spans="1:4" ht="18" customHeight="1" thickBot="1">
      <c r="A29" s="616" t="s">
        <v>45</v>
      </c>
      <c r="B29" s="615"/>
      <c r="C29" s="614"/>
      <c r="D29" s="613"/>
    </row>
    <row r="30" spans="1:4" ht="18" customHeight="1" thickBot="1">
      <c r="A30" s="612" t="s">
        <v>46</v>
      </c>
      <c r="B30" s="611" t="s">
        <v>54</v>
      </c>
      <c r="C30" s="610">
        <f>+C5+C6+C7+C8+C9+C16+C17+C18+C19+C20+C21+C22+C23+C24+C25+C26+C27+C28+C29</f>
        <v>6660</v>
      </c>
      <c r="D30" s="609">
        <f>+D5+D6+D7+D8+D9+D16+D17+D18+D19+D20+D21+D22+D23+D24+D25+D26+D27+D28+D29</f>
        <v>3628</v>
      </c>
    </row>
    <row r="31" spans="1:4" ht="8.25" customHeight="1">
      <c r="A31" s="608"/>
      <c r="B31" s="802"/>
      <c r="C31" s="802"/>
      <c r="D31" s="802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Q81"/>
  <sheetViews>
    <sheetView workbookViewId="0" topLeftCell="A1">
      <selection activeCell="G115" sqref="G115"/>
    </sheetView>
  </sheetViews>
  <sheetFormatPr defaultColWidth="9.00390625" defaultRowHeight="12.75"/>
  <cols>
    <col min="1" max="1" width="4.875" style="101" customWidth="1"/>
    <col min="2" max="2" width="31.125" style="109" customWidth="1"/>
    <col min="3" max="4" width="9.00390625" style="109" customWidth="1"/>
    <col min="5" max="5" width="9.50390625" style="109" customWidth="1"/>
    <col min="6" max="6" width="8.875" style="109" customWidth="1"/>
    <col min="7" max="7" width="8.625" style="109" customWidth="1"/>
    <col min="8" max="8" width="8.875" style="109" customWidth="1"/>
    <col min="9" max="9" width="8.125" style="109" customWidth="1"/>
    <col min="10" max="14" width="9.50390625" style="109" customWidth="1"/>
    <col min="15" max="15" width="12.625" style="101" customWidth="1"/>
    <col min="16" max="16" width="14.625" style="109" bestFit="1" customWidth="1"/>
    <col min="17" max="17" width="16.00390625" style="109" customWidth="1"/>
    <col min="18" max="16384" width="9.375" style="109" customWidth="1"/>
  </cols>
  <sheetData>
    <row r="1" spans="1:15" ht="31.5" customHeight="1">
      <c r="A1" s="810" t="s">
        <v>563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</row>
    <row r="2" ht="16.5" thickBot="1">
      <c r="O2" s="4" t="s">
        <v>535</v>
      </c>
    </row>
    <row r="3" spans="1:15" s="101" customFormat="1" ht="25.5" customHeight="1" thickBot="1">
      <c r="A3" s="98" t="s">
        <v>18</v>
      </c>
      <c r="B3" s="99" t="s">
        <v>68</v>
      </c>
      <c r="C3" s="99" t="s">
        <v>80</v>
      </c>
      <c r="D3" s="99" t="s">
        <v>81</v>
      </c>
      <c r="E3" s="99" t="s">
        <v>82</v>
      </c>
      <c r="F3" s="99" t="s">
        <v>83</v>
      </c>
      <c r="G3" s="99" t="s">
        <v>84</v>
      </c>
      <c r="H3" s="99" t="s">
        <v>85</v>
      </c>
      <c r="I3" s="99" t="s">
        <v>86</v>
      </c>
      <c r="J3" s="99" t="s">
        <v>87</v>
      </c>
      <c r="K3" s="99" t="s">
        <v>88</v>
      </c>
      <c r="L3" s="99" t="s">
        <v>89</v>
      </c>
      <c r="M3" s="99" t="s">
        <v>90</v>
      </c>
      <c r="N3" s="99" t="s">
        <v>91</v>
      </c>
      <c r="O3" s="100" t="s">
        <v>54</v>
      </c>
    </row>
    <row r="4" spans="1:15" s="103" customFormat="1" ht="15" customHeight="1" thickBot="1">
      <c r="A4" s="102" t="s">
        <v>20</v>
      </c>
      <c r="B4" s="804" t="s">
        <v>59</v>
      </c>
      <c r="C4" s="805"/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805"/>
      <c r="O4" s="806"/>
    </row>
    <row r="5" spans="1:17" s="103" customFormat="1" ht="15.75">
      <c r="A5" s="104" t="s">
        <v>21</v>
      </c>
      <c r="B5" s="456" t="s">
        <v>421</v>
      </c>
      <c r="C5" s="457">
        <v>10773658</v>
      </c>
      <c r="D5" s="457">
        <v>10773658</v>
      </c>
      <c r="E5" s="457">
        <v>10773658</v>
      </c>
      <c r="F5" s="457">
        <v>10773658</v>
      </c>
      <c r="G5" s="457">
        <v>10773658</v>
      </c>
      <c r="H5" s="457">
        <v>10773658</v>
      </c>
      <c r="I5" s="457">
        <v>10773658</v>
      </c>
      <c r="J5" s="457">
        <v>10773658</v>
      </c>
      <c r="K5" s="457">
        <v>10773658</v>
      </c>
      <c r="L5" s="457">
        <v>10773658</v>
      </c>
      <c r="M5" s="457">
        <v>10773658</v>
      </c>
      <c r="N5" s="457">
        <v>10773653</v>
      </c>
      <c r="O5" s="458">
        <f aca="true" t="shared" si="0" ref="O5:O25">SUM(C5:N5)</f>
        <v>129283891</v>
      </c>
      <c r="P5" s="474"/>
      <c r="Q5" s="455"/>
    </row>
    <row r="6" spans="1:17" s="106" customFormat="1" ht="15.75">
      <c r="A6" s="105" t="s">
        <v>22</v>
      </c>
      <c r="B6" s="459" t="s">
        <v>490</v>
      </c>
      <c r="C6" s="460">
        <v>316000</v>
      </c>
      <c r="D6" s="460">
        <f>316000+5706687+206886</f>
        <v>6229573</v>
      </c>
      <c r="E6" s="460">
        <v>316000</v>
      </c>
      <c r="F6" s="460">
        <v>316000</v>
      </c>
      <c r="G6" s="460">
        <v>316000</v>
      </c>
      <c r="H6" s="460">
        <v>316000</v>
      </c>
      <c r="I6" s="460">
        <f>316000+5706687+400000</f>
        <v>6422687</v>
      </c>
      <c r="J6" s="460">
        <v>316000</v>
      </c>
      <c r="K6" s="460">
        <v>316000</v>
      </c>
      <c r="L6" s="460">
        <v>316000</v>
      </c>
      <c r="M6" s="460">
        <v>316000</v>
      </c>
      <c r="N6" s="460">
        <v>324000</v>
      </c>
      <c r="O6" s="461">
        <f t="shared" si="0"/>
        <v>15820260</v>
      </c>
      <c r="P6" s="455"/>
      <c r="Q6" s="455"/>
    </row>
    <row r="7" spans="1:17" s="106" customFormat="1" ht="21">
      <c r="A7" s="105" t="s">
        <v>23</v>
      </c>
      <c r="B7" s="462" t="s">
        <v>491</v>
      </c>
      <c r="C7" s="463"/>
      <c r="D7" s="463">
        <v>9800000</v>
      </c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4">
        <f t="shared" si="0"/>
        <v>9800000</v>
      </c>
      <c r="P7" s="455"/>
      <c r="Q7" s="455"/>
    </row>
    <row r="8" spans="1:17" s="106" customFormat="1" ht="13.5" customHeight="1">
      <c r="A8" s="105" t="s">
        <v>24</v>
      </c>
      <c r="B8" s="465" t="s">
        <v>178</v>
      </c>
      <c r="C8" s="460">
        <v>5079166</v>
      </c>
      <c r="D8" s="460">
        <v>5079166</v>
      </c>
      <c r="E8" s="460">
        <v>5079166</v>
      </c>
      <c r="F8" s="460">
        <v>5079166</v>
      </c>
      <c r="G8" s="460">
        <v>5079166</v>
      </c>
      <c r="H8" s="460">
        <v>5079166</v>
      </c>
      <c r="I8" s="460">
        <v>5079166</v>
      </c>
      <c r="J8" s="460">
        <v>5079166</v>
      </c>
      <c r="K8" s="460">
        <v>5079166</v>
      </c>
      <c r="L8" s="460">
        <v>5079166</v>
      </c>
      <c r="M8" s="460">
        <v>5079166</v>
      </c>
      <c r="N8" s="460">
        <f>5079174-750000</f>
        <v>4329174</v>
      </c>
      <c r="O8" s="461">
        <f t="shared" si="0"/>
        <v>60200000</v>
      </c>
      <c r="P8" s="455"/>
      <c r="Q8" s="455"/>
    </row>
    <row r="9" spans="1:17" s="106" customFormat="1" ht="13.5" customHeight="1">
      <c r="A9" s="105" t="s">
        <v>25</v>
      </c>
      <c r="B9" s="465" t="s">
        <v>492</v>
      </c>
      <c r="C9" s="460">
        <v>2585490</v>
      </c>
      <c r="D9" s="460">
        <v>2585490</v>
      </c>
      <c r="E9" s="460">
        <v>2585490</v>
      </c>
      <c r="F9" s="460">
        <v>2585490</v>
      </c>
      <c r="G9" s="460">
        <v>2585490</v>
      </c>
      <c r="H9" s="460">
        <v>2585490</v>
      </c>
      <c r="I9" s="460">
        <v>2585490</v>
      </c>
      <c r="J9" s="460">
        <v>2585490</v>
      </c>
      <c r="K9" s="460">
        <v>2585490</v>
      </c>
      <c r="L9" s="460">
        <v>2585490</v>
      </c>
      <c r="M9" s="460">
        <v>2585490</v>
      </c>
      <c r="N9" s="460">
        <v>2585486</v>
      </c>
      <c r="O9" s="461">
        <f t="shared" si="0"/>
        <v>31025876</v>
      </c>
      <c r="P9" s="455"/>
      <c r="Q9" s="455"/>
    </row>
    <row r="10" spans="1:17" s="106" customFormat="1" ht="13.5" customHeight="1">
      <c r="A10" s="105" t="s">
        <v>26</v>
      </c>
      <c r="B10" s="465" t="s">
        <v>12</v>
      </c>
      <c r="C10" s="460"/>
      <c r="D10" s="460"/>
      <c r="E10" s="460"/>
      <c r="F10" s="460"/>
      <c r="G10" s="460"/>
      <c r="H10" s="460"/>
      <c r="I10" s="460"/>
      <c r="J10" s="460"/>
      <c r="K10" s="460"/>
      <c r="L10" s="460"/>
      <c r="M10" s="460"/>
      <c r="N10" s="460"/>
      <c r="O10" s="461">
        <f t="shared" si="0"/>
        <v>0</v>
      </c>
      <c r="P10" s="455"/>
      <c r="Q10" s="455"/>
    </row>
    <row r="11" spans="1:17" s="106" customFormat="1" ht="13.5" customHeight="1">
      <c r="A11" s="105" t="s">
        <v>27</v>
      </c>
      <c r="B11" s="465" t="s">
        <v>423</v>
      </c>
      <c r="C11" s="460"/>
      <c r="D11" s="460"/>
      <c r="E11" s="460"/>
      <c r="F11" s="460"/>
      <c r="G11" s="460"/>
      <c r="H11" s="460"/>
      <c r="I11" s="460"/>
      <c r="J11" s="460"/>
      <c r="K11" s="460"/>
      <c r="L11" s="460"/>
      <c r="M11" s="460"/>
      <c r="N11" s="460"/>
      <c r="O11" s="461">
        <f t="shared" si="0"/>
        <v>0</v>
      </c>
      <c r="P11" s="455"/>
      <c r="Q11" s="455"/>
    </row>
    <row r="12" spans="1:17" s="106" customFormat="1" ht="15.75">
      <c r="A12" s="105" t="s">
        <v>28</v>
      </c>
      <c r="B12" s="459" t="s">
        <v>475</v>
      </c>
      <c r="C12" s="460"/>
      <c r="D12" s="460"/>
      <c r="E12" s="460"/>
      <c r="F12" s="460"/>
      <c r="G12" s="460"/>
      <c r="H12" s="460"/>
      <c r="I12" s="460"/>
      <c r="J12" s="460"/>
      <c r="K12" s="460"/>
      <c r="L12" s="460"/>
      <c r="M12" s="460"/>
      <c r="N12" s="460"/>
      <c r="O12" s="461">
        <f t="shared" si="0"/>
        <v>0</v>
      </c>
      <c r="P12" s="455"/>
      <c r="Q12" s="455"/>
    </row>
    <row r="13" spans="1:17" s="106" customFormat="1" ht="13.5" customHeight="1" thickBot="1">
      <c r="A13" s="105" t="s">
        <v>29</v>
      </c>
      <c r="B13" s="465" t="s">
        <v>13</v>
      </c>
      <c r="C13" s="460"/>
      <c r="D13" s="460">
        <v>156678969</v>
      </c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461">
        <f t="shared" si="0"/>
        <v>156678969</v>
      </c>
      <c r="P13" s="455"/>
      <c r="Q13" s="455"/>
    </row>
    <row r="14" spans="1:17" s="103" customFormat="1" ht="15.75" customHeight="1" thickBot="1">
      <c r="A14" s="102" t="s">
        <v>30</v>
      </c>
      <c r="B14" s="466" t="s">
        <v>118</v>
      </c>
      <c r="C14" s="467">
        <f aca="true" t="shared" si="1" ref="C14:N14">SUM(C5:C13)</f>
        <v>18754314</v>
      </c>
      <c r="D14" s="467">
        <f t="shared" si="1"/>
        <v>191146856</v>
      </c>
      <c r="E14" s="467">
        <f t="shared" si="1"/>
        <v>18754314</v>
      </c>
      <c r="F14" s="467">
        <f t="shared" si="1"/>
        <v>18754314</v>
      </c>
      <c r="G14" s="467">
        <f t="shared" si="1"/>
        <v>18754314</v>
      </c>
      <c r="H14" s="467">
        <f t="shared" si="1"/>
        <v>18754314</v>
      </c>
      <c r="I14" s="467">
        <f t="shared" si="1"/>
        <v>24861001</v>
      </c>
      <c r="J14" s="467">
        <f t="shared" si="1"/>
        <v>18754314</v>
      </c>
      <c r="K14" s="467">
        <f t="shared" si="1"/>
        <v>18754314</v>
      </c>
      <c r="L14" s="467">
        <f t="shared" si="1"/>
        <v>18754314</v>
      </c>
      <c r="M14" s="467">
        <f t="shared" si="1"/>
        <v>18754314</v>
      </c>
      <c r="N14" s="467">
        <f t="shared" si="1"/>
        <v>18012313</v>
      </c>
      <c r="O14" s="468">
        <f>SUM(C14:N14)</f>
        <v>402808996</v>
      </c>
      <c r="P14" s="455"/>
      <c r="Q14" s="455"/>
    </row>
    <row r="15" spans="1:17" s="103" customFormat="1" ht="15" customHeight="1" thickBot="1">
      <c r="A15" s="102" t="s">
        <v>31</v>
      </c>
      <c r="B15" s="807" t="s">
        <v>61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9"/>
      <c r="P15" s="455"/>
      <c r="Q15" s="455"/>
    </row>
    <row r="16" spans="1:17" s="106" customFormat="1" ht="13.5" customHeight="1">
      <c r="A16" s="107" t="s">
        <v>32</v>
      </c>
      <c r="B16" s="469" t="s">
        <v>69</v>
      </c>
      <c r="C16" s="463">
        <v>9985533</v>
      </c>
      <c r="D16" s="463">
        <v>9985533</v>
      </c>
      <c r="E16" s="463">
        <v>9985533</v>
      </c>
      <c r="F16" s="463">
        <v>9985533</v>
      </c>
      <c r="G16" s="463">
        <v>9985533</v>
      </c>
      <c r="H16" s="463">
        <v>9985533</v>
      </c>
      <c r="I16" s="463">
        <v>9985533</v>
      </c>
      <c r="J16" s="463">
        <v>9985533</v>
      </c>
      <c r="K16" s="463">
        <v>9985533</v>
      </c>
      <c r="L16" s="463">
        <v>9985533</v>
      </c>
      <c r="M16" s="463">
        <v>9985533</v>
      </c>
      <c r="N16" s="463">
        <v>9985529</v>
      </c>
      <c r="O16" s="464">
        <f t="shared" si="0"/>
        <v>119826392</v>
      </c>
      <c r="P16" s="455"/>
      <c r="Q16" s="455"/>
    </row>
    <row r="17" spans="1:17" s="106" customFormat="1" ht="27" customHeight="1">
      <c r="A17" s="105" t="s">
        <v>33</v>
      </c>
      <c r="B17" s="459" t="s">
        <v>187</v>
      </c>
      <c r="C17" s="460">
        <v>2122558</v>
      </c>
      <c r="D17" s="460">
        <v>2122558</v>
      </c>
      <c r="E17" s="460">
        <v>2122558</v>
      </c>
      <c r="F17" s="460">
        <v>2122558</v>
      </c>
      <c r="G17" s="460">
        <v>2122558</v>
      </c>
      <c r="H17" s="460">
        <v>2122558</v>
      </c>
      <c r="I17" s="460">
        <v>2122558</v>
      </c>
      <c r="J17" s="460">
        <v>2122558</v>
      </c>
      <c r="K17" s="460">
        <v>2122558</v>
      </c>
      <c r="L17" s="460">
        <v>2122558</v>
      </c>
      <c r="M17" s="460">
        <v>2122558</v>
      </c>
      <c r="N17" s="460">
        <v>2122558</v>
      </c>
      <c r="O17" s="461">
        <f t="shared" si="0"/>
        <v>25470696</v>
      </c>
      <c r="P17" s="455"/>
      <c r="Q17" s="455"/>
    </row>
    <row r="18" spans="1:17" s="106" customFormat="1" ht="13.5" customHeight="1">
      <c r="A18" s="105" t="s">
        <v>34</v>
      </c>
      <c r="B18" s="465" t="s">
        <v>143</v>
      </c>
      <c r="C18" s="460">
        <v>11756483</v>
      </c>
      <c r="D18" s="460">
        <v>11756483</v>
      </c>
      <c r="E18" s="460">
        <v>11756483</v>
      </c>
      <c r="F18" s="460">
        <v>11756483</v>
      </c>
      <c r="G18" s="460">
        <v>11756483</v>
      </c>
      <c r="H18" s="460">
        <v>11756483</v>
      </c>
      <c r="I18" s="460">
        <v>11756483</v>
      </c>
      <c r="J18" s="460">
        <v>11756483</v>
      </c>
      <c r="K18" s="460">
        <v>11756483</v>
      </c>
      <c r="L18" s="460">
        <v>11756483</v>
      </c>
      <c r="M18" s="460">
        <v>11756483</v>
      </c>
      <c r="N18" s="460">
        <v>11756486</v>
      </c>
      <c r="O18" s="461">
        <f t="shared" si="0"/>
        <v>141077799</v>
      </c>
      <c r="P18" s="455"/>
      <c r="Q18" s="455"/>
    </row>
    <row r="19" spans="1:17" s="106" customFormat="1" ht="13.5" customHeight="1">
      <c r="A19" s="105" t="s">
        <v>35</v>
      </c>
      <c r="B19" s="465" t="s">
        <v>188</v>
      </c>
      <c r="C19" s="460">
        <v>662892</v>
      </c>
      <c r="D19" s="460">
        <v>662892</v>
      </c>
      <c r="E19" s="460">
        <v>662892</v>
      </c>
      <c r="F19" s="460">
        <v>662892</v>
      </c>
      <c r="G19" s="460">
        <v>662892</v>
      </c>
      <c r="H19" s="460">
        <v>662892</v>
      </c>
      <c r="I19" s="460">
        <v>662892</v>
      </c>
      <c r="J19" s="460">
        <v>662892</v>
      </c>
      <c r="K19" s="460">
        <v>662892</v>
      </c>
      <c r="L19" s="460">
        <v>662892</v>
      </c>
      <c r="M19" s="460">
        <v>662892</v>
      </c>
      <c r="N19" s="460">
        <v>662888</v>
      </c>
      <c r="O19" s="461">
        <f t="shared" si="0"/>
        <v>7954700</v>
      </c>
      <c r="P19" s="455"/>
      <c r="Q19" s="455"/>
    </row>
    <row r="20" spans="1:17" s="106" customFormat="1" ht="13.5" customHeight="1">
      <c r="A20" s="105" t="s">
        <v>36</v>
      </c>
      <c r="B20" s="465" t="s">
        <v>14</v>
      </c>
      <c r="C20" s="460">
        <v>687500</v>
      </c>
      <c r="D20" s="460">
        <v>687500</v>
      </c>
      <c r="E20" s="460">
        <v>687500</v>
      </c>
      <c r="F20" s="460">
        <v>687500</v>
      </c>
      <c r="G20" s="460">
        <v>687500</v>
      </c>
      <c r="H20" s="460">
        <v>687500</v>
      </c>
      <c r="I20" s="460">
        <v>687500</v>
      </c>
      <c r="J20" s="460">
        <v>687500</v>
      </c>
      <c r="K20" s="460">
        <v>687500</v>
      </c>
      <c r="L20" s="460">
        <v>687500</v>
      </c>
      <c r="M20" s="460">
        <v>687500</v>
      </c>
      <c r="N20" s="460">
        <v>687500</v>
      </c>
      <c r="O20" s="461">
        <f t="shared" si="0"/>
        <v>8250000</v>
      </c>
      <c r="P20" s="455"/>
      <c r="Q20" s="455"/>
    </row>
    <row r="21" spans="1:17" s="106" customFormat="1" ht="13.5" customHeight="1">
      <c r="A21" s="105" t="s">
        <v>37</v>
      </c>
      <c r="B21" s="465" t="s">
        <v>234</v>
      </c>
      <c r="C21" s="460">
        <v>2091474</v>
      </c>
      <c r="D21" s="460">
        <v>2091474</v>
      </c>
      <c r="E21" s="460">
        <v>2091474</v>
      </c>
      <c r="F21" s="460">
        <v>2091474</v>
      </c>
      <c r="G21" s="460">
        <v>2091474</v>
      </c>
      <c r="H21" s="460">
        <v>2091474</v>
      </c>
      <c r="I21" s="460">
        <v>2091474</v>
      </c>
      <c r="J21" s="460">
        <v>2091474</v>
      </c>
      <c r="K21" s="460">
        <v>2091474</v>
      </c>
      <c r="L21" s="460">
        <v>2091474</v>
      </c>
      <c r="M21" s="460">
        <v>2091474</v>
      </c>
      <c r="N21" s="460">
        <v>2091473</v>
      </c>
      <c r="O21" s="461">
        <f t="shared" si="0"/>
        <v>25097687</v>
      </c>
      <c r="P21" s="455"/>
      <c r="Q21" s="455"/>
    </row>
    <row r="22" spans="1:17" s="106" customFormat="1" ht="15.75">
      <c r="A22" s="105" t="s">
        <v>38</v>
      </c>
      <c r="B22" s="459" t="s">
        <v>191</v>
      </c>
      <c r="C22" s="460"/>
      <c r="D22" s="460"/>
      <c r="E22" s="460"/>
      <c r="F22" s="460">
        <v>5029328</v>
      </c>
      <c r="G22" s="460">
        <v>5029328</v>
      </c>
      <c r="H22" s="460">
        <v>5029328</v>
      </c>
      <c r="I22" s="460">
        <v>5029328</v>
      </c>
      <c r="J22" s="460">
        <v>5029328</v>
      </c>
      <c r="K22" s="460">
        <v>5029329</v>
      </c>
      <c r="L22" s="460"/>
      <c r="M22" s="460"/>
      <c r="N22" s="460"/>
      <c r="O22" s="461">
        <f t="shared" si="0"/>
        <v>30175969</v>
      </c>
      <c r="P22" s="455"/>
      <c r="Q22" s="455"/>
    </row>
    <row r="23" spans="1:17" s="106" customFormat="1" ht="13.5" customHeight="1">
      <c r="A23" s="105" t="s">
        <v>39</v>
      </c>
      <c r="B23" s="465" t="s">
        <v>236</v>
      </c>
      <c r="C23" s="460"/>
      <c r="D23" s="460"/>
      <c r="E23" s="460"/>
      <c r="F23" s="460">
        <v>500000</v>
      </c>
      <c r="G23" s="460">
        <v>300000</v>
      </c>
      <c r="H23" s="460">
        <v>500000</v>
      </c>
      <c r="I23" s="460">
        <v>300000</v>
      </c>
      <c r="J23" s="460">
        <v>500000</v>
      </c>
      <c r="K23" s="460">
        <v>300000</v>
      </c>
      <c r="L23" s="460">
        <v>500000</v>
      </c>
      <c r="M23" s="460"/>
      <c r="N23" s="460"/>
      <c r="O23" s="461">
        <f t="shared" si="0"/>
        <v>2900000</v>
      </c>
      <c r="P23" s="455"/>
      <c r="Q23" s="455"/>
    </row>
    <row r="24" spans="1:17" s="106" customFormat="1" ht="13.5" customHeight="1" thickBot="1">
      <c r="A24" s="105" t="s">
        <v>40</v>
      </c>
      <c r="B24" s="465" t="s">
        <v>15</v>
      </c>
      <c r="C24" s="460">
        <v>4649687</v>
      </c>
      <c r="D24" s="460"/>
      <c r="E24" s="460"/>
      <c r="F24" s="460"/>
      <c r="G24" s="460"/>
      <c r="H24" s="460"/>
      <c r="I24" s="460"/>
      <c r="J24" s="460"/>
      <c r="K24" s="460"/>
      <c r="L24" s="460"/>
      <c r="M24" s="460"/>
      <c r="N24" s="460">
        <v>37406066</v>
      </c>
      <c r="O24" s="461">
        <f t="shared" si="0"/>
        <v>42055753</v>
      </c>
      <c r="P24" s="455"/>
      <c r="Q24" s="455"/>
    </row>
    <row r="25" spans="1:17" s="103" customFormat="1" ht="15.75" customHeight="1" thickBot="1">
      <c r="A25" s="108" t="s">
        <v>41</v>
      </c>
      <c r="B25" s="466" t="s">
        <v>119</v>
      </c>
      <c r="C25" s="467">
        <f aca="true" t="shared" si="2" ref="C25:N25">SUM(C16:C24)</f>
        <v>31956127</v>
      </c>
      <c r="D25" s="467">
        <f t="shared" si="2"/>
        <v>27306440</v>
      </c>
      <c r="E25" s="467">
        <f t="shared" si="2"/>
        <v>27306440</v>
      </c>
      <c r="F25" s="467">
        <f t="shared" si="2"/>
        <v>32835768</v>
      </c>
      <c r="G25" s="467">
        <f t="shared" si="2"/>
        <v>32635768</v>
      </c>
      <c r="H25" s="467">
        <f t="shared" si="2"/>
        <v>32835768</v>
      </c>
      <c r="I25" s="467">
        <f t="shared" si="2"/>
        <v>32635768</v>
      </c>
      <c r="J25" s="467">
        <f t="shared" si="2"/>
        <v>32835768</v>
      </c>
      <c r="K25" s="467">
        <f t="shared" si="2"/>
        <v>32635769</v>
      </c>
      <c r="L25" s="467">
        <f t="shared" si="2"/>
        <v>27806440</v>
      </c>
      <c r="M25" s="467">
        <f t="shared" si="2"/>
        <v>27306440</v>
      </c>
      <c r="N25" s="467">
        <f t="shared" si="2"/>
        <v>64712500</v>
      </c>
      <c r="O25" s="468">
        <f t="shared" si="0"/>
        <v>402808996</v>
      </c>
      <c r="P25" s="455"/>
      <c r="Q25" s="455"/>
    </row>
    <row r="26" spans="1:15" ht="16.5" thickBot="1">
      <c r="A26" s="108" t="s">
        <v>42</v>
      </c>
      <c r="B26" s="470" t="s">
        <v>120</v>
      </c>
      <c r="C26" s="471">
        <f aca="true" t="shared" si="3" ref="C26:O26">C14-C25</f>
        <v>-13201813</v>
      </c>
      <c r="D26" s="471">
        <f t="shared" si="3"/>
        <v>163840416</v>
      </c>
      <c r="E26" s="471">
        <f t="shared" si="3"/>
        <v>-8552126</v>
      </c>
      <c r="F26" s="471">
        <f t="shared" si="3"/>
        <v>-14081454</v>
      </c>
      <c r="G26" s="471">
        <f t="shared" si="3"/>
        <v>-13881454</v>
      </c>
      <c r="H26" s="471">
        <f t="shared" si="3"/>
        <v>-14081454</v>
      </c>
      <c r="I26" s="471">
        <f t="shared" si="3"/>
        <v>-7774767</v>
      </c>
      <c r="J26" s="471">
        <f t="shared" si="3"/>
        <v>-14081454</v>
      </c>
      <c r="K26" s="471">
        <f t="shared" si="3"/>
        <v>-13881455</v>
      </c>
      <c r="L26" s="471">
        <f t="shared" si="3"/>
        <v>-9052126</v>
      </c>
      <c r="M26" s="471">
        <f t="shared" si="3"/>
        <v>-8552126</v>
      </c>
      <c r="N26" s="471">
        <f t="shared" si="3"/>
        <v>-46700187</v>
      </c>
      <c r="O26" s="472">
        <f t="shared" si="3"/>
        <v>0</v>
      </c>
    </row>
    <row r="27" ht="15.75">
      <c r="A27" s="110"/>
    </row>
    <row r="28" spans="2:15" ht="15.75">
      <c r="B28" s="111"/>
      <c r="C28" s="112"/>
      <c r="D28" s="112"/>
      <c r="O28" s="109"/>
    </row>
    <row r="29" ht="15.75">
      <c r="O29" s="109"/>
    </row>
    <row r="30" ht="15.75">
      <c r="O30" s="109"/>
    </row>
    <row r="31" ht="15.75">
      <c r="O31" s="109"/>
    </row>
    <row r="32" ht="15.75">
      <c r="O32" s="109"/>
    </row>
    <row r="33" ht="15.75">
      <c r="O33" s="109"/>
    </row>
    <row r="34" ht="15.75">
      <c r="O34" s="109"/>
    </row>
    <row r="35" ht="15.75">
      <c r="O35" s="109"/>
    </row>
    <row r="36" ht="15.75">
      <c r="O36" s="109"/>
    </row>
    <row r="37" ht="15.75">
      <c r="O37" s="109"/>
    </row>
    <row r="38" ht="15.75">
      <c r="O38" s="109"/>
    </row>
    <row r="39" ht="15.75">
      <c r="O39" s="109"/>
    </row>
    <row r="40" ht="15.75">
      <c r="O40" s="109"/>
    </row>
    <row r="41" ht="15.75">
      <c r="O41" s="109"/>
    </row>
    <row r="42" ht="15.75">
      <c r="O42" s="109"/>
    </row>
    <row r="43" ht="15.75">
      <c r="O43" s="109"/>
    </row>
    <row r="44" ht="15.75">
      <c r="O44" s="109"/>
    </row>
    <row r="45" ht="15.75">
      <c r="O45" s="109"/>
    </row>
    <row r="46" ht="15.75">
      <c r="O46" s="109"/>
    </row>
    <row r="47" ht="15.75">
      <c r="O47" s="109"/>
    </row>
    <row r="48" ht="15.75">
      <c r="O48" s="109"/>
    </row>
    <row r="49" ht="15.75">
      <c r="O49" s="109"/>
    </row>
    <row r="50" ht="15.75">
      <c r="O50" s="109"/>
    </row>
    <row r="51" ht="15.75">
      <c r="O51" s="109"/>
    </row>
    <row r="52" ht="15.75">
      <c r="O52" s="109"/>
    </row>
    <row r="53" ht="15.75">
      <c r="O53" s="109"/>
    </row>
    <row r="54" ht="15.75">
      <c r="O54" s="109"/>
    </row>
    <row r="55" ht="15.75">
      <c r="O55" s="109"/>
    </row>
    <row r="56" ht="15.75">
      <c r="O56" s="109"/>
    </row>
    <row r="57" ht="15.75">
      <c r="O57" s="109"/>
    </row>
    <row r="58" ht="15.75">
      <c r="O58" s="109"/>
    </row>
    <row r="59" ht="15.75">
      <c r="O59" s="109"/>
    </row>
    <row r="60" ht="15.75">
      <c r="O60" s="109"/>
    </row>
    <row r="61" ht="15.75">
      <c r="O61" s="109"/>
    </row>
    <row r="62" ht="15.75">
      <c r="O62" s="109"/>
    </row>
    <row r="63" ht="15.75">
      <c r="O63" s="109"/>
    </row>
    <row r="64" ht="15.75">
      <c r="O64" s="109"/>
    </row>
    <row r="65" ht="15.75">
      <c r="O65" s="109"/>
    </row>
    <row r="66" ht="15.75">
      <c r="O66" s="109"/>
    </row>
    <row r="67" ht="15.75">
      <c r="O67" s="109"/>
    </row>
    <row r="68" ht="15.75">
      <c r="O68" s="109"/>
    </row>
    <row r="69" ht="15.75">
      <c r="O69" s="109"/>
    </row>
    <row r="70" ht="15.75">
      <c r="O70" s="109"/>
    </row>
    <row r="71" ht="15.75">
      <c r="O71" s="109"/>
    </row>
    <row r="72" ht="15.75">
      <c r="O72" s="109"/>
    </row>
    <row r="73" ht="15.75">
      <c r="O73" s="109"/>
    </row>
    <row r="74" ht="15.75">
      <c r="O74" s="109"/>
    </row>
    <row r="75" ht="15.75">
      <c r="O75" s="109"/>
    </row>
    <row r="76" ht="15.75">
      <c r="O76" s="109"/>
    </row>
    <row r="77" ht="15.75">
      <c r="O77" s="109"/>
    </row>
    <row r="78" ht="15.75">
      <c r="O78" s="109"/>
    </row>
    <row r="79" ht="15.75">
      <c r="O79" s="109"/>
    </row>
    <row r="80" ht="15.75">
      <c r="O80" s="109"/>
    </row>
    <row r="81" ht="15.75">
      <c r="O81" s="109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9"/>
  <sheetViews>
    <sheetView workbookViewId="0" topLeftCell="A1">
      <selection activeCell="G115" sqref="G115"/>
    </sheetView>
  </sheetViews>
  <sheetFormatPr defaultColWidth="9.00390625" defaultRowHeight="12.75"/>
  <cols>
    <col min="1" max="1" width="88.625" style="43" customWidth="1"/>
    <col min="2" max="2" width="27.875" style="43" customWidth="1"/>
    <col min="3" max="16384" width="9.375" style="43" customWidth="1"/>
  </cols>
  <sheetData>
    <row r="1" spans="1:2" ht="47.25" customHeight="1">
      <c r="A1" s="812" t="s">
        <v>564</v>
      </c>
      <c r="B1" s="812"/>
    </row>
    <row r="2" spans="1:2" ht="22.5" customHeight="1" thickBot="1">
      <c r="A2" s="330"/>
      <c r="B2" s="331" t="s">
        <v>16</v>
      </c>
    </row>
    <row r="3" spans="1:2" s="44" customFormat="1" ht="24" customHeight="1" thickBot="1">
      <c r="A3" s="280" t="s">
        <v>53</v>
      </c>
      <c r="B3" s="329" t="s">
        <v>565</v>
      </c>
    </row>
    <row r="4" spans="1:2" s="45" customFormat="1" ht="13.5" thickBot="1">
      <c r="A4" s="188">
        <v>1</v>
      </c>
      <c r="B4" s="189">
        <v>2</v>
      </c>
    </row>
    <row r="5" spans="1:2" ht="12.75">
      <c r="A5" s="451" t="s">
        <v>262</v>
      </c>
      <c r="B5" s="450">
        <f>B6+B7+B13+B15+B14+B12</f>
        <v>48805752</v>
      </c>
    </row>
    <row r="6" spans="1:2" ht="12.75">
      <c r="A6" s="454" t="s">
        <v>514</v>
      </c>
      <c r="B6" s="355">
        <v>29586800</v>
      </c>
    </row>
    <row r="7" spans="1:2" ht="12.75" customHeight="1">
      <c r="A7" s="452" t="s">
        <v>515</v>
      </c>
      <c r="B7" s="450">
        <f>B8+B9+B10+B11</f>
        <v>15448752</v>
      </c>
    </row>
    <row r="8" spans="1:2" ht="12.75">
      <c r="A8" s="113" t="s">
        <v>516</v>
      </c>
      <c r="B8" s="355">
        <v>3685482</v>
      </c>
    </row>
    <row r="9" spans="1:2" ht="12.75">
      <c r="A9" s="113" t="s">
        <v>517</v>
      </c>
      <c r="B9" s="355">
        <v>8256000</v>
      </c>
    </row>
    <row r="10" spans="1:2" ht="12.75">
      <c r="A10" s="113" t="s">
        <v>518</v>
      </c>
      <c r="B10" s="355">
        <v>100000</v>
      </c>
    </row>
    <row r="11" spans="1:2" ht="12.75">
      <c r="A11" s="113" t="s">
        <v>519</v>
      </c>
      <c r="B11" s="355">
        <v>3407270</v>
      </c>
    </row>
    <row r="12" spans="1:2" s="453" customFormat="1" ht="12.75">
      <c r="A12" s="452" t="s">
        <v>532</v>
      </c>
      <c r="B12" s="450">
        <v>0</v>
      </c>
    </row>
    <row r="13" spans="1:2" s="453" customFormat="1" ht="12.75">
      <c r="A13" s="452" t="s">
        <v>531</v>
      </c>
      <c r="B13" s="450">
        <v>0</v>
      </c>
    </row>
    <row r="14" spans="1:2" s="453" customFormat="1" ht="12.75">
      <c r="A14" s="452" t="s">
        <v>530</v>
      </c>
      <c r="B14" s="450">
        <v>2797800</v>
      </c>
    </row>
    <row r="15" spans="1:2" s="453" customFormat="1" ht="12.75">
      <c r="A15" s="452" t="s">
        <v>539</v>
      </c>
      <c r="B15" s="450">
        <v>972400</v>
      </c>
    </row>
    <row r="16" spans="1:2" ht="12.75">
      <c r="A16" s="452" t="s">
        <v>520</v>
      </c>
      <c r="B16" s="450">
        <f>SUM(B17:B19)</f>
        <v>39125150</v>
      </c>
    </row>
    <row r="17" spans="1:2" ht="12.75">
      <c r="A17" s="113" t="s">
        <v>521</v>
      </c>
      <c r="B17" s="355">
        <v>26666150</v>
      </c>
    </row>
    <row r="18" spans="1:2" ht="12.75">
      <c r="A18" s="113" t="s">
        <v>522</v>
      </c>
      <c r="B18" s="355">
        <v>6615000</v>
      </c>
    </row>
    <row r="19" spans="1:2" ht="12.75">
      <c r="A19" s="113" t="s">
        <v>523</v>
      </c>
      <c r="B19" s="355">
        <v>5844000</v>
      </c>
    </row>
    <row r="20" spans="1:2" ht="12.75">
      <c r="A20" s="452" t="s">
        <v>524</v>
      </c>
      <c r="B20" s="450">
        <f>SUM(B21:B24)</f>
        <v>38652269</v>
      </c>
    </row>
    <row r="21" spans="1:2" ht="12.75">
      <c r="A21" s="113" t="s">
        <v>525</v>
      </c>
      <c r="B21" s="355">
        <v>20953073</v>
      </c>
    </row>
    <row r="22" spans="1:2" ht="12.75">
      <c r="A22" s="113" t="s">
        <v>526</v>
      </c>
      <c r="B22" s="355">
        <v>2657280</v>
      </c>
    </row>
    <row r="23" spans="1:2" ht="12.75">
      <c r="A23" s="113" t="s">
        <v>527</v>
      </c>
      <c r="B23" s="355">
        <v>3100000</v>
      </c>
    </row>
    <row r="24" spans="1:2" ht="12.75">
      <c r="A24" s="113" t="s">
        <v>528</v>
      </c>
      <c r="B24" s="355">
        <v>11941916</v>
      </c>
    </row>
    <row r="25" spans="1:2" s="453" customFormat="1" ht="12.75">
      <c r="A25" s="452" t="s">
        <v>529</v>
      </c>
      <c r="B25" s="450">
        <v>2700720</v>
      </c>
    </row>
    <row r="26" spans="1:2" ht="12.75">
      <c r="A26" s="113"/>
      <c r="B26" s="355"/>
    </row>
    <row r="27" spans="1:2" ht="12.75">
      <c r="A27" s="113"/>
      <c r="B27" s="355"/>
    </row>
    <row r="28" spans="1:2" ht="13.5" thickBot="1">
      <c r="A28" s="114"/>
      <c r="B28" s="355"/>
    </row>
    <row r="29" spans="1:2" s="47" customFormat="1" ht="19.5" customHeight="1" thickBot="1">
      <c r="A29" s="35" t="s">
        <v>54</v>
      </c>
      <c r="B29" s="46">
        <f>B5+B16+B20+B25</f>
        <v>129283891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5. számú 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151"/>
  <sheetViews>
    <sheetView view="pageBreakPreview" zoomScaleSheetLayoutView="100" workbookViewId="0" topLeftCell="A124">
      <selection activeCell="N20" sqref="N20"/>
    </sheetView>
  </sheetViews>
  <sheetFormatPr defaultColWidth="9.00390625" defaultRowHeight="12.75"/>
  <cols>
    <col min="1" max="1" width="9.50390625" style="482" customWidth="1"/>
    <col min="2" max="2" width="69.625" style="482" customWidth="1"/>
    <col min="3" max="3" width="15.875" style="560" customWidth="1"/>
    <col min="4" max="4" width="17.375" style="560" hidden="1" customWidth="1"/>
    <col min="5" max="5" width="16.125" style="560" hidden="1" customWidth="1"/>
    <col min="6" max="6" width="14.875" style="560" hidden="1" customWidth="1"/>
    <col min="7" max="7" width="15.375" style="560" hidden="1" customWidth="1"/>
    <col min="8" max="8" width="14.875" style="560" hidden="1" customWidth="1"/>
    <col min="9" max="9" width="15.375" style="560" customWidth="1"/>
    <col min="10" max="10" width="17.375" style="560" customWidth="1"/>
    <col min="11" max="11" width="19.00390625" style="560" customWidth="1"/>
    <col min="12" max="16384" width="9.375" style="482" customWidth="1"/>
  </cols>
  <sheetData>
    <row r="1" spans="1:11" s="478" customFormat="1" ht="12.75">
      <c r="A1" s="475"/>
      <c r="B1" s="476"/>
      <c r="C1" s="477"/>
      <c r="D1" s="477"/>
      <c r="E1" s="244"/>
      <c r="F1" s="477"/>
      <c r="G1" s="244"/>
      <c r="H1" s="477"/>
      <c r="I1" s="244"/>
      <c r="J1" s="477"/>
      <c r="K1" s="244" t="s">
        <v>607</v>
      </c>
    </row>
    <row r="2" spans="1:11" s="481" customFormat="1" ht="16.5" customHeight="1">
      <c r="A2" s="479"/>
      <c r="B2" s="480"/>
      <c r="C2" s="244"/>
      <c r="D2" s="244"/>
      <c r="E2" s="244"/>
      <c r="F2" s="244"/>
      <c r="G2" s="244"/>
      <c r="H2" s="244"/>
      <c r="I2" s="244"/>
      <c r="J2" s="244"/>
      <c r="K2" s="244" t="s">
        <v>590</v>
      </c>
    </row>
    <row r="3" spans="1:11" ht="15.75" customHeight="1">
      <c r="A3" s="728" t="s">
        <v>17</v>
      </c>
      <c r="B3" s="728"/>
      <c r="C3" s="728"/>
      <c r="D3" s="729"/>
      <c r="E3" s="729"/>
      <c r="F3" s="729"/>
      <c r="G3" s="729"/>
      <c r="H3" s="729"/>
      <c r="I3" s="729"/>
      <c r="J3" s="729"/>
      <c r="K3" s="729"/>
    </row>
    <row r="4" spans="1:11" ht="15.75" customHeight="1" thickBot="1">
      <c r="A4" s="730" t="s">
        <v>156</v>
      </c>
      <c r="B4" s="730"/>
      <c r="C4" s="483"/>
      <c r="D4" s="483"/>
      <c r="E4" s="483"/>
      <c r="F4" s="483"/>
      <c r="G4" s="483"/>
      <c r="H4" s="483"/>
      <c r="I4" s="483"/>
      <c r="J4" s="483"/>
      <c r="K4" s="483" t="s">
        <v>535</v>
      </c>
    </row>
    <row r="5" spans="1:11" ht="37.5" customHeight="1" thickBot="1">
      <c r="A5" s="484" t="s">
        <v>76</v>
      </c>
      <c r="B5" s="485" t="s">
        <v>19</v>
      </c>
      <c r="C5" s="486" t="s">
        <v>540</v>
      </c>
      <c r="D5" s="486" t="s">
        <v>580</v>
      </c>
      <c r="E5" s="486" t="s">
        <v>581</v>
      </c>
      <c r="F5" s="486" t="s">
        <v>595</v>
      </c>
      <c r="G5" s="486" t="s">
        <v>581</v>
      </c>
      <c r="H5" s="486" t="s">
        <v>599</v>
      </c>
      <c r="I5" s="486" t="s">
        <v>581</v>
      </c>
      <c r="J5" s="486" t="s">
        <v>606</v>
      </c>
      <c r="K5" s="486" t="s">
        <v>581</v>
      </c>
    </row>
    <row r="6" spans="1:11" s="490" customFormat="1" ht="12" customHeight="1" thickBot="1">
      <c r="A6" s="487">
        <v>1</v>
      </c>
      <c r="B6" s="488">
        <v>2</v>
      </c>
      <c r="C6" s="489">
        <v>3</v>
      </c>
      <c r="D6" s="489">
        <v>4</v>
      </c>
      <c r="E6" s="489">
        <v>4</v>
      </c>
      <c r="F6" s="489">
        <v>5</v>
      </c>
      <c r="G6" s="489">
        <v>4</v>
      </c>
      <c r="H6" s="489">
        <v>5</v>
      </c>
      <c r="I6" s="489">
        <v>4</v>
      </c>
      <c r="J6" s="489">
        <v>5</v>
      </c>
      <c r="K6" s="489">
        <v>6</v>
      </c>
    </row>
    <row r="7" spans="1:11" s="494" customFormat="1" ht="12" customHeight="1" thickBot="1">
      <c r="A7" s="491" t="s">
        <v>20</v>
      </c>
      <c r="B7" s="492" t="s">
        <v>261</v>
      </c>
      <c r="C7" s="493">
        <f aca="true" t="shared" si="0" ref="C7:I7">+C8+C9+C10+C11+C12+C13</f>
        <v>0</v>
      </c>
      <c r="D7" s="493">
        <f t="shared" si="0"/>
        <v>0</v>
      </c>
      <c r="E7" s="493">
        <f t="shared" si="0"/>
        <v>0</v>
      </c>
      <c r="F7" s="493">
        <f t="shared" si="0"/>
        <v>0</v>
      </c>
      <c r="G7" s="493">
        <f t="shared" si="0"/>
        <v>0</v>
      </c>
      <c r="H7" s="493">
        <f t="shared" si="0"/>
        <v>0</v>
      </c>
      <c r="I7" s="493">
        <f t="shared" si="0"/>
        <v>0</v>
      </c>
      <c r="J7" s="493">
        <f>+J8+J9+J10+J11+J12+J13</f>
        <v>0</v>
      </c>
      <c r="K7" s="493">
        <f>+K8+K9+K10+K11+K12+K13</f>
        <v>0</v>
      </c>
    </row>
    <row r="8" spans="1:11" s="494" customFormat="1" ht="12" customHeight="1">
      <c r="A8" s="495" t="s">
        <v>107</v>
      </c>
      <c r="B8" s="496" t="s">
        <v>262</v>
      </c>
      <c r="C8" s="497"/>
      <c r="D8" s="497"/>
      <c r="E8" s="497">
        <f>C8+D8</f>
        <v>0</v>
      </c>
      <c r="F8" s="497"/>
      <c r="G8" s="497">
        <f>E8+F8</f>
        <v>0</v>
      </c>
      <c r="H8" s="497"/>
      <c r="I8" s="497">
        <f>G8+H8</f>
        <v>0</v>
      </c>
      <c r="J8" s="497"/>
      <c r="K8" s="497">
        <f>I8+J8</f>
        <v>0</v>
      </c>
    </row>
    <row r="9" spans="1:11" s="494" customFormat="1" ht="12" customHeight="1">
      <c r="A9" s="498" t="s">
        <v>108</v>
      </c>
      <c r="B9" s="499" t="s">
        <v>263</v>
      </c>
      <c r="C9" s="500"/>
      <c r="D9" s="500"/>
      <c r="E9" s="497">
        <f>C9+D9</f>
        <v>0</v>
      </c>
      <c r="F9" s="500"/>
      <c r="G9" s="497">
        <f>E9+F9</f>
        <v>0</v>
      </c>
      <c r="H9" s="500"/>
      <c r="I9" s="497">
        <f>G9+H9</f>
        <v>0</v>
      </c>
      <c r="J9" s="500"/>
      <c r="K9" s="497">
        <f>I9+J9</f>
        <v>0</v>
      </c>
    </row>
    <row r="10" spans="1:11" s="494" customFormat="1" ht="12" customHeight="1">
      <c r="A10" s="498" t="s">
        <v>109</v>
      </c>
      <c r="B10" s="499" t="s">
        <v>264</v>
      </c>
      <c r="C10" s="500"/>
      <c r="D10" s="500"/>
      <c r="E10" s="497">
        <f>C10+D10</f>
        <v>0</v>
      </c>
      <c r="F10" s="500"/>
      <c r="G10" s="497">
        <f>E10+F10</f>
        <v>0</v>
      </c>
      <c r="H10" s="500"/>
      <c r="I10" s="497">
        <f>G10+H10</f>
        <v>0</v>
      </c>
      <c r="J10" s="500"/>
      <c r="K10" s="497">
        <f>I10+J10</f>
        <v>0</v>
      </c>
    </row>
    <row r="11" spans="1:11" s="494" customFormat="1" ht="12" customHeight="1">
      <c r="A11" s="498" t="s">
        <v>110</v>
      </c>
      <c r="B11" s="499" t="s">
        <v>265</v>
      </c>
      <c r="C11" s="500"/>
      <c r="D11" s="500"/>
      <c r="E11" s="497">
        <f>C11+D11</f>
        <v>0</v>
      </c>
      <c r="F11" s="500"/>
      <c r="G11" s="497">
        <f>E11+F11</f>
        <v>0</v>
      </c>
      <c r="H11" s="500"/>
      <c r="I11" s="497">
        <f>G11+H11</f>
        <v>0</v>
      </c>
      <c r="J11" s="500"/>
      <c r="K11" s="497">
        <f>I11+J11</f>
        <v>0</v>
      </c>
    </row>
    <row r="12" spans="1:11" s="494" customFormat="1" ht="12" customHeight="1">
      <c r="A12" s="498" t="s">
        <v>152</v>
      </c>
      <c r="B12" s="499" t="s">
        <v>266</v>
      </c>
      <c r="C12" s="500"/>
      <c r="D12" s="500"/>
      <c r="E12" s="497">
        <f>C12+D12</f>
        <v>0</v>
      </c>
      <c r="F12" s="500"/>
      <c r="G12" s="497">
        <f>E12+F12</f>
        <v>0</v>
      </c>
      <c r="H12" s="500"/>
      <c r="I12" s="497">
        <f>G12+H12</f>
        <v>0</v>
      </c>
      <c r="J12" s="500"/>
      <c r="K12" s="497">
        <f>I12+J12</f>
        <v>0</v>
      </c>
    </row>
    <row r="13" spans="1:11" s="494" customFormat="1" ht="12" customHeight="1" thickBot="1">
      <c r="A13" s="501" t="s">
        <v>111</v>
      </c>
      <c r="B13" s="502" t="s">
        <v>267</v>
      </c>
      <c r="C13" s="500"/>
      <c r="D13" s="500">
        <v>0</v>
      </c>
      <c r="E13" s="500">
        <v>0</v>
      </c>
      <c r="F13" s="500">
        <v>0</v>
      </c>
      <c r="G13" s="500">
        <v>0</v>
      </c>
      <c r="H13" s="500">
        <v>0</v>
      </c>
      <c r="I13" s="500">
        <v>0</v>
      </c>
      <c r="J13" s="500">
        <v>0</v>
      </c>
      <c r="K13" s="500">
        <v>0</v>
      </c>
    </row>
    <row r="14" spans="1:11" s="494" customFormat="1" ht="12" customHeight="1" thickBot="1">
      <c r="A14" s="491" t="s">
        <v>21</v>
      </c>
      <c r="B14" s="503" t="s">
        <v>268</v>
      </c>
      <c r="C14" s="493">
        <f aca="true" t="shared" si="1" ref="C14:I14">+C15+C16+C17+C18+C19</f>
        <v>0</v>
      </c>
      <c r="D14" s="493">
        <f t="shared" si="1"/>
        <v>0</v>
      </c>
      <c r="E14" s="493">
        <f t="shared" si="1"/>
        <v>0</v>
      </c>
      <c r="F14" s="493">
        <f t="shared" si="1"/>
        <v>810000</v>
      </c>
      <c r="G14" s="493">
        <f t="shared" si="1"/>
        <v>810000</v>
      </c>
      <c r="H14" s="493">
        <f t="shared" si="1"/>
        <v>270000</v>
      </c>
      <c r="I14" s="493">
        <f t="shared" si="1"/>
        <v>1080000</v>
      </c>
      <c r="J14" s="493">
        <f>+J15+J16+J17+J18+J19</f>
        <v>270000</v>
      </c>
      <c r="K14" s="493">
        <f>+K15+K16+K17+K18+K19</f>
        <v>1350000</v>
      </c>
    </row>
    <row r="15" spans="1:11" s="494" customFormat="1" ht="12" customHeight="1">
      <c r="A15" s="495" t="s">
        <v>113</v>
      </c>
      <c r="B15" s="496" t="s">
        <v>269</v>
      </c>
      <c r="C15" s="497"/>
      <c r="D15" s="497"/>
      <c r="E15" s="497"/>
      <c r="F15" s="497"/>
      <c r="G15" s="497"/>
      <c r="H15" s="497"/>
      <c r="I15" s="497"/>
      <c r="J15" s="497"/>
      <c r="K15" s="497"/>
    </row>
    <row r="16" spans="1:11" s="494" customFormat="1" ht="12" customHeight="1">
      <c r="A16" s="498" t="s">
        <v>114</v>
      </c>
      <c r="B16" s="499" t="s">
        <v>270</v>
      </c>
      <c r="C16" s="500"/>
      <c r="D16" s="500"/>
      <c r="E16" s="500"/>
      <c r="F16" s="500"/>
      <c r="G16" s="500"/>
      <c r="H16" s="500"/>
      <c r="I16" s="500"/>
      <c r="J16" s="500"/>
      <c r="K16" s="500"/>
    </row>
    <row r="17" spans="1:11" s="494" customFormat="1" ht="12" customHeight="1">
      <c r="A17" s="498" t="s">
        <v>115</v>
      </c>
      <c r="B17" s="499" t="s">
        <v>493</v>
      </c>
      <c r="C17" s="500"/>
      <c r="D17" s="500"/>
      <c r="E17" s="500"/>
      <c r="F17" s="500"/>
      <c r="G17" s="500"/>
      <c r="H17" s="500"/>
      <c r="I17" s="500"/>
      <c r="J17" s="500"/>
      <c r="K17" s="500"/>
    </row>
    <row r="18" spans="1:11" s="494" customFormat="1" ht="12" customHeight="1">
      <c r="A18" s="498" t="s">
        <v>116</v>
      </c>
      <c r="B18" s="499" t="s">
        <v>494</v>
      </c>
      <c r="C18" s="500"/>
      <c r="D18" s="500"/>
      <c r="E18" s="500"/>
      <c r="F18" s="500"/>
      <c r="G18" s="500"/>
      <c r="H18" s="500"/>
      <c r="I18" s="500"/>
      <c r="J18" s="500"/>
      <c r="K18" s="500"/>
    </row>
    <row r="19" spans="1:11" s="494" customFormat="1" ht="12" customHeight="1">
      <c r="A19" s="498" t="s">
        <v>117</v>
      </c>
      <c r="B19" s="499" t="s">
        <v>271</v>
      </c>
      <c r="C19" s="500"/>
      <c r="D19" s="500"/>
      <c r="E19" s="500">
        <f>C19+D19</f>
        <v>0</v>
      </c>
      <c r="F19" s="500">
        <v>810000</v>
      </c>
      <c r="G19" s="500">
        <f>E19+F19</f>
        <v>810000</v>
      </c>
      <c r="H19" s="500">
        <v>270000</v>
      </c>
      <c r="I19" s="500">
        <f>G19+H19</f>
        <v>1080000</v>
      </c>
      <c r="J19" s="500">
        <v>270000</v>
      </c>
      <c r="K19" s="500">
        <f>I19+J19</f>
        <v>1350000</v>
      </c>
    </row>
    <row r="20" spans="1:11" s="494" customFormat="1" ht="12" customHeight="1" thickBot="1">
      <c r="A20" s="501" t="s">
        <v>126</v>
      </c>
      <c r="B20" s="502" t="s">
        <v>272</v>
      </c>
      <c r="C20" s="504"/>
      <c r="D20" s="504"/>
      <c r="E20" s="504"/>
      <c r="F20" s="504"/>
      <c r="G20" s="504"/>
      <c r="H20" s="504"/>
      <c r="I20" s="504"/>
      <c r="J20" s="504"/>
      <c r="K20" s="504"/>
    </row>
    <row r="21" spans="1:11" s="494" customFormat="1" ht="12" customHeight="1" thickBot="1">
      <c r="A21" s="491" t="s">
        <v>22</v>
      </c>
      <c r="B21" s="492" t="s">
        <v>273</v>
      </c>
      <c r="C21" s="493">
        <f aca="true" t="shared" si="2" ref="C21:I21">+C22+C23+C24+C25+C26</f>
        <v>0</v>
      </c>
      <c r="D21" s="493">
        <f t="shared" si="2"/>
        <v>0</v>
      </c>
      <c r="E21" s="493">
        <f t="shared" si="2"/>
        <v>0</v>
      </c>
      <c r="F21" s="493">
        <f t="shared" si="2"/>
        <v>0</v>
      </c>
      <c r="G21" s="493">
        <f t="shared" si="2"/>
        <v>0</v>
      </c>
      <c r="H21" s="493">
        <f t="shared" si="2"/>
        <v>0</v>
      </c>
      <c r="I21" s="493">
        <f t="shared" si="2"/>
        <v>0</v>
      </c>
      <c r="J21" s="493">
        <f>+J22+J23+J24+J25+J26</f>
        <v>0</v>
      </c>
      <c r="K21" s="493">
        <f>+K22+K23+K24+K25+K26</f>
        <v>0</v>
      </c>
    </row>
    <row r="22" spans="1:11" s="494" customFormat="1" ht="12" customHeight="1">
      <c r="A22" s="495" t="s">
        <v>96</v>
      </c>
      <c r="B22" s="496" t="s">
        <v>274</v>
      </c>
      <c r="C22" s="497"/>
      <c r="D22" s="497">
        <v>0</v>
      </c>
      <c r="E22" s="497">
        <v>0</v>
      </c>
      <c r="F22" s="497">
        <v>0</v>
      </c>
      <c r="G22" s="497">
        <v>0</v>
      </c>
      <c r="H22" s="497">
        <v>0</v>
      </c>
      <c r="I22" s="497">
        <v>0</v>
      </c>
      <c r="J22" s="497">
        <v>0</v>
      </c>
      <c r="K22" s="497">
        <v>0</v>
      </c>
    </row>
    <row r="23" spans="1:11" s="494" customFormat="1" ht="12" customHeight="1">
      <c r="A23" s="498" t="s">
        <v>97</v>
      </c>
      <c r="B23" s="499" t="s">
        <v>275</v>
      </c>
      <c r="C23" s="500"/>
      <c r="D23" s="500"/>
      <c r="E23" s="500"/>
      <c r="F23" s="500"/>
      <c r="G23" s="500"/>
      <c r="H23" s="500"/>
      <c r="I23" s="500"/>
      <c r="J23" s="500"/>
      <c r="K23" s="500"/>
    </row>
    <row r="24" spans="1:11" s="494" customFormat="1" ht="12" customHeight="1">
      <c r="A24" s="498" t="s">
        <v>98</v>
      </c>
      <c r="B24" s="499" t="s">
        <v>495</v>
      </c>
      <c r="C24" s="500"/>
      <c r="D24" s="500"/>
      <c r="E24" s="500"/>
      <c r="F24" s="500"/>
      <c r="G24" s="500"/>
      <c r="H24" s="500"/>
      <c r="I24" s="500"/>
      <c r="J24" s="500"/>
      <c r="K24" s="500"/>
    </row>
    <row r="25" spans="1:11" s="494" customFormat="1" ht="12" customHeight="1">
      <c r="A25" s="498" t="s">
        <v>99</v>
      </c>
      <c r="B25" s="499" t="s">
        <v>496</v>
      </c>
      <c r="C25" s="500"/>
      <c r="D25" s="500"/>
      <c r="E25" s="500"/>
      <c r="F25" s="500"/>
      <c r="G25" s="500"/>
      <c r="H25" s="500"/>
      <c r="I25" s="500"/>
      <c r="J25" s="500"/>
      <c r="K25" s="500"/>
    </row>
    <row r="26" spans="1:11" s="494" customFormat="1" ht="12" customHeight="1">
      <c r="A26" s="498" t="s">
        <v>175</v>
      </c>
      <c r="B26" s="499" t="s">
        <v>276</v>
      </c>
      <c r="C26" s="500"/>
      <c r="D26" s="500"/>
      <c r="E26" s="500">
        <f>C26+D26</f>
        <v>0</v>
      </c>
      <c r="F26" s="500"/>
      <c r="G26" s="500">
        <f>E26+F26</f>
        <v>0</v>
      </c>
      <c r="H26" s="500"/>
      <c r="I26" s="500">
        <f>G26+H26</f>
        <v>0</v>
      </c>
      <c r="J26" s="500"/>
      <c r="K26" s="500">
        <f>I26+J26</f>
        <v>0</v>
      </c>
    </row>
    <row r="27" spans="1:11" s="494" customFormat="1" ht="12" customHeight="1" thickBot="1">
      <c r="A27" s="501" t="s">
        <v>176</v>
      </c>
      <c r="B27" s="502" t="s">
        <v>277</v>
      </c>
      <c r="C27" s="504"/>
      <c r="D27" s="504"/>
      <c r="E27" s="504"/>
      <c r="F27" s="504"/>
      <c r="G27" s="504"/>
      <c r="H27" s="504"/>
      <c r="I27" s="504"/>
      <c r="J27" s="504"/>
      <c r="K27" s="504"/>
    </row>
    <row r="28" spans="1:11" s="494" customFormat="1" ht="12" customHeight="1" thickBot="1">
      <c r="A28" s="491" t="s">
        <v>177</v>
      </c>
      <c r="B28" s="492" t="s">
        <v>278</v>
      </c>
      <c r="C28" s="505">
        <f aca="true" t="shared" si="3" ref="C28:I28">+C29+C32+C33+C34</f>
        <v>0</v>
      </c>
      <c r="D28" s="505">
        <f t="shared" si="3"/>
        <v>2500000</v>
      </c>
      <c r="E28" s="505">
        <f t="shared" si="3"/>
        <v>2500000</v>
      </c>
      <c r="F28" s="505">
        <f t="shared" si="3"/>
        <v>0</v>
      </c>
      <c r="G28" s="505">
        <f t="shared" si="3"/>
        <v>2500000</v>
      </c>
      <c r="H28" s="505">
        <f t="shared" si="3"/>
        <v>0</v>
      </c>
      <c r="I28" s="505">
        <f t="shared" si="3"/>
        <v>2500000</v>
      </c>
      <c r="J28" s="505">
        <f>+J29+J32+J33+J34</f>
        <v>0</v>
      </c>
      <c r="K28" s="505">
        <f>+K29+K32+K33+K34</f>
        <v>2500000</v>
      </c>
    </row>
    <row r="29" spans="1:11" s="494" customFormat="1" ht="12" customHeight="1">
      <c r="A29" s="495" t="s">
        <v>279</v>
      </c>
      <c r="B29" s="496" t="s">
        <v>285</v>
      </c>
      <c r="C29" s="506">
        <f aca="true" t="shared" si="4" ref="C29:I29">+C30+C31</f>
        <v>0</v>
      </c>
      <c r="D29" s="506">
        <f t="shared" si="4"/>
        <v>0</v>
      </c>
      <c r="E29" s="506">
        <f t="shared" si="4"/>
        <v>0</v>
      </c>
      <c r="F29" s="506">
        <f t="shared" si="4"/>
        <v>0</v>
      </c>
      <c r="G29" s="506">
        <f t="shared" si="4"/>
        <v>0</v>
      </c>
      <c r="H29" s="506">
        <f t="shared" si="4"/>
        <v>0</v>
      </c>
      <c r="I29" s="506">
        <f t="shared" si="4"/>
        <v>0</v>
      </c>
      <c r="J29" s="506">
        <f>+J30+J31</f>
        <v>0</v>
      </c>
      <c r="K29" s="506">
        <f>+K30+K31</f>
        <v>0</v>
      </c>
    </row>
    <row r="30" spans="1:11" s="494" customFormat="1" ht="12" customHeight="1">
      <c r="A30" s="498" t="s">
        <v>280</v>
      </c>
      <c r="B30" s="499" t="s">
        <v>286</v>
      </c>
      <c r="C30" s="500"/>
      <c r="D30" s="500"/>
      <c r="E30" s="500">
        <f>C30+D30</f>
        <v>0</v>
      </c>
      <c r="F30" s="500"/>
      <c r="G30" s="500">
        <f>E30+F30</f>
        <v>0</v>
      </c>
      <c r="H30" s="500"/>
      <c r="I30" s="500">
        <f>G30+H30</f>
        <v>0</v>
      </c>
      <c r="J30" s="500"/>
      <c r="K30" s="500">
        <f>I30+J30</f>
        <v>0</v>
      </c>
    </row>
    <row r="31" spans="1:11" s="494" customFormat="1" ht="12" customHeight="1">
      <c r="A31" s="498" t="s">
        <v>281</v>
      </c>
      <c r="B31" s="499" t="s">
        <v>287</v>
      </c>
      <c r="C31" s="500"/>
      <c r="D31" s="500"/>
      <c r="E31" s="500">
        <f>C31+D31</f>
        <v>0</v>
      </c>
      <c r="F31" s="500"/>
      <c r="G31" s="500">
        <f>E31+F31</f>
        <v>0</v>
      </c>
      <c r="H31" s="500"/>
      <c r="I31" s="500">
        <f>G31+H31</f>
        <v>0</v>
      </c>
      <c r="J31" s="500"/>
      <c r="K31" s="500">
        <f>I31+J31</f>
        <v>0</v>
      </c>
    </row>
    <row r="32" spans="1:11" s="494" customFormat="1" ht="12" customHeight="1">
      <c r="A32" s="498" t="s">
        <v>282</v>
      </c>
      <c r="B32" s="499" t="s">
        <v>288</v>
      </c>
      <c r="C32" s="500"/>
      <c r="D32" s="500"/>
      <c r="E32" s="500">
        <f>C32+D32</f>
        <v>0</v>
      </c>
      <c r="F32" s="500"/>
      <c r="G32" s="500">
        <f>E32+F32</f>
        <v>0</v>
      </c>
      <c r="H32" s="500"/>
      <c r="I32" s="500">
        <f>G32+H32</f>
        <v>0</v>
      </c>
      <c r="J32" s="500"/>
      <c r="K32" s="500">
        <f>I32+J32</f>
        <v>0</v>
      </c>
    </row>
    <row r="33" spans="1:11" s="494" customFormat="1" ht="12" customHeight="1">
      <c r="A33" s="498" t="s">
        <v>283</v>
      </c>
      <c r="B33" s="499" t="s">
        <v>289</v>
      </c>
      <c r="C33" s="500"/>
      <c r="D33" s="500"/>
      <c r="E33" s="500">
        <f>C33+D33</f>
        <v>0</v>
      </c>
      <c r="F33" s="500"/>
      <c r="G33" s="500">
        <f>E33+F33</f>
        <v>0</v>
      </c>
      <c r="H33" s="500"/>
      <c r="I33" s="500">
        <f>G33+H33</f>
        <v>0</v>
      </c>
      <c r="J33" s="500"/>
      <c r="K33" s="500">
        <f>I33+J33</f>
        <v>0</v>
      </c>
    </row>
    <row r="34" spans="1:11" s="494" customFormat="1" ht="12" customHeight="1" thickBot="1">
      <c r="A34" s="501" t="s">
        <v>284</v>
      </c>
      <c r="B34" s="502" t="s">
        <v>290</v>
      </c>
      <c r="C34" s="504"/>
      <c r="D34" s="504">
        <v>2500000</v>
      </c>
      <c r="E34" s="500">
        <f>C34+D34</f>
        <v>2500000</v>
      </c>
      <c r="F34" s="504"/>
      <c r="G34" s="500">
        <f>E34+F34</f>
        <v>2500000</v>
      </c>
      <c r="H34" s="504"/>
      <c r="I34" s="500">
        <f>G34+H34</f>
        <v>2500000</v>
      </c>
      <c r="J34" s="504"/>
      <c r="K34" s="500">
        <f>I34+J34</f>
        <v>2500000</v>
      </c>
    </row>
    <row r="35" spans="1:11" s="494" customFormat="1" ht="12" customHeight="1" thickBot="1">
      <c r="A35" s="491" t="s">
        <v>24</v>
      </c>
      <c r="B35" s="492" t="s">
        <v>291</v>
      </c>
      <c r="C35" s="493">
        <f aca="true" t="shared" si="5" ref="C35:I35">SUM(C36:C45)</f>
        <v>0</v>
      </c>
      <c r="D35" s="493">
        <f t="shared" si="5"/>
        <v>0</v>
      </c>
      <c r="E35" s="493">
        <f t="shared" si="5"/>
        <v>0</v>
      </c>
      <c r="F35" s="493">
        <f t="shared" si="5"/>
        <v>0</v>
      </c>
      <c r="G35" s="493">
        <f t="shared" si="5"/>
        <v>0</v>
      </c>
      <c r="H35" s="493">
        <f t="shared" si="5"/>
        <v>0</v>
      </c>
      <c r="I35" s="493">
        <f t="shared" si="5"/>
        <v>0</v>
      </c>
      <c r="J35" s="493">
        <f>SUM(J36:J45)</f>
        <v>0</v>
      </c>
      <c r="K35" s="493">
        <f>SUM(K36:K45)</f>
        <v>0</v>
      </c>
    </row>
    <row r="36" spans="1:11" s="494" customFormat="1" ht="12" customHeight="1">
      <c r="A36" s="495" t="s">
        <v>100</v>
      </c>
      <c r="B36" s="496" t="s">
        <v>294</v>
      </c>
      <c r="C36" s="497"/>
      <c r="D36" s="497"/>
      <c r="E36" s="497"/>
      <c r="F36" s="497"/>
      <c r="G36" s="497"/>
      <c r="H36" s="497"/>
      <c r="I36" s="497"/>
      <c r="J36" s="497"/>
      <c r="K36" s="497"/>
    </row>
    <row r="37" spans="1:11" s="494" customFormat="1" ht="12" customHeight="1">
      <c r="A37" s="498" t="s">
        <v>101</v>
      </c>
      <c r="B37" s="499" t="s">
        <v>295</v>
      </c>
      <c r="C37" s="500"/>
      <c r="D37" s="500"/>
      <c r="E37" s="500">
        <f>C37+D37</f>
        <v>0</v>
      </c>
      <c r="F37" s="500"/>
      <c r="G37" s="500">
        <f>E37+F37</f>
        <v>0</v>
      </c>
      <c r="H37" s="500"/>
      <c r="I37" s="500">
        <f>G37+H37</f>
        <v>0</v>
      </c>
      <c r="J37" s="500"/>
      <c r="K37" s="500">
        <f>I37+J37</f>
        <v>0</v>
      </c>
    </row>
    <row r="38" spans="1:11" s="494" customFormat="1" ht="12" customHeight="1">
      <c r="A38" s="498" t="s">
        <v>102</v>
      </c>
      <c r="B38" s="499" t="s">
        <v>296</v>
      </c>
      <c r="C38" s="500"/>
      <c r="D38" s="500"/>
      <c r="E38" s="500">
        <f aca="true" t="shared" si="6" ref="E38:E44">C38+D38</f>
        <v>0</v>
      </c>
      <c r="F38" s="500"/>
      <c r="G38" s="500">
        <f aca="true" t="shared" si="7" ref="G38:G44">E38+F38</f>
        <v>0</v>
      </c>
      <c r="H38" s="500"/>
      <c r="I38" s="500">
        <f aca="true" t="shared" si="8" ref="I38:I44">G38+H38</f>
        <v>0</v>
      </c>
      <c r="J38" s="500"/>
      <c r="K38" s="500">
        <f aca="true" t="shared" si="9" ref="K38:K45">I38+J38</f>
        <v>0</v>
      </c>
    </row>
    <row r="39" spans="1:11" s="494" customFormat="1" ht="12" customHeight="1">
      <c r="A39" s="498" t="s">
        <v>179</v>
      </c>
      <c r="B39" s="499" t="s">
        <v>297</v>
      </c>
      <c r="C39" s="500"/>
      <c r="D39" s="500"/>
      <c r="E39" s="500">
        <f t="shared" si="6"/>
        <v>0</v>
      </c>
      <c r="F39" s="500"/>
      <c r="G39" s="500">
        <f t="shared" si="7"/>
        <v>0</v>
      </c>
      <c r="H39" s="500"/>
      <c r="I39" s="500">
        <f t="shared" si="8"/>
        <v>0</v>
      </c>
      <c r="J39" s="500"/>
      <c r="K39" s="500">
        <f t="shared" si="9"/>
        <v>0</v>
      </c>
    </row>
    <row r="40" spans="1:11" s="494" customFormat="1" ht="12" customHeight="1">
      <c r="A40" s="498" t="s">
        <v>180</v>
      </c>
      <c r="B40" s="499" t="s">
        <v>298</v>
      </c>
      <c r="C40" s="500"/>
      <c r="D40" s="500"/>
      <c r="E40" s="500">
        <f t="shared" si="6"/>
        <v>0</v>
      </c>
      <c r="F40" s="500"/>
      <c r="G40" s="500">
        <f t="shared" si="7"/>
        <v>0</v>
      </c>
      <c r="H40" s="500"/>
      <c r="I40" s="500">
        <f t="shared" si="8"/>
        <v>0</v>
      </c>
      <c r="J40" s="500"/>
      <c r="K40" s="500">
        <f t="shared" si="9"/>
        <v>0</v>
      </c>
    </row>
    <row r="41" spans="1:11" s="494" customFormat="1" ht="12" customHeight="1">
      <c r="A41" s="498" t="s">
        <v>181</v>
      </c>
      <c r="B41" s="499" t="s">
        <v>299</v>
      </c>
      <c r="C41" s="500"/>
      <c r="D41" s="500"/>
      <c r="E41" s="500">
        <f t="shared" si="6"/>
        <v>0</v>
      </c>
      <c r="F41" s="500"/>
      <c r="G41" s="500">
        <f t="shared" si="7"/>
        <v>0</v>
      </c>
      <c r="H41" s="500"/>
      <c r="I41" s="500">
        <f t="shared" si="8"/>
        <v>0</v>
      </c>
      <c r="J41" s="500"/>
      <c r="K41" s="500">
        <f t="shared" si="9"/>
        <v>0</v>
      </c>
    </row>
    <row r="42" spans="1:11" s="494" customFormat="1" ht="12" customHeight="1">
      <c r="A42" s="498" t="s">
        <v>182</v>
      </c>
      <c r="B42" s="499" t="s">
        <v>300</v>
      </c>
      <c r="C42" s="500"/>
      <c r="D42" s="500"/>
      <c r="E42" s="500">
        <f t="shared" si="6"/>
        <v>0</v>
      </c>
      <c r="F42" s="500"/>
      <c r="G42" s="500">
        <f t="shared" si="7"/>
        <v>0</v>
      </c>
      <c r="H42" s="500"/>
      <c r="I42" s="500">
        <f t="shared" si="8"/>
        <v>0</v>
      </c>
      <c r="J42" s="500"/>
      <c r="K42" s="500">
        <f t="shared" si="9"/>
        <v>0</v>
      </c>
    </row>
    <row r="43" spans="1:11" s="494" customFormat="1" ht="12" customHeight="1">
      <c r="A43" s="498" t="s">
        <v>183</v>
      </c>
      <c r="B43" s="499" t="s">
        <v>301</v>
      </c>
      <c r="C43" s="500"/>
      <c r="D43" s="500"/>
      <c r="E43" s="500">
        <f t="shared" si="6"/>
        <v>0</v>
      </c>
      <c r="F43" s="500"/>
      <c r="G43" s="500">
        <f t="shared" si="7"/>
        <v>0</v>
      </c>
      <c r="H43" s="500"/>
      <c r="I43" s="500">
        <f t="shared" si="8"/>
        <v>0</v>
      </c>
      <c r="J43" s="500"/>
      <c r="K43" s="500">
        <f t="shared" si="9"/>
        <v>0</v>
      </c>
    </row>
    <row r="44" spans="1:11" s="494" customFormat="1" ht="12" customHeight="1">
      <c r="A44" s="498" t="s">
        <v>292</v>
      </c>
      <c r="B44" s="499" t="s">
        <v>302</v>
      </c>
      <c r="C44" s="507"/>
      <c r="D44" s="507"/>
      <c r="E44" s="500">
        <f t="shared" si="6"/>
        <v>0</v>
      </c>
      <c r="F44" s="507"/>
      <c r="G44" s="500">
        <f t="shared" si="7"/>
        <v>0</v>
      </c>
      <c r="H44" s="507"/>
      <c r="I44" s="500">
        <f t="shared" si="8"/>
        <v>0</v>
      </c>
      <c r="J44" s="507"/>
      <c r="K44" s="500">
        <f t="shared" si="9"/>
        <v>0</v>
      </c>
    </row>
    <row r="45" spans="1:11" s="494" customFormat="1" ht="12" customHeight="1" thickBot="1">
      <c r="A45" s="501" t="s">
        <v>293</v>
      </c>
      <c r="B45" s="502" t="s">
        <v>303</v>
      </c>
      <c r="C45" s="508"/>
      <c r="D45" s="508">
        <v>0</v>
      </c>
      <c r="E45" s="508">
        <v>0</v>
      </c>
      <c r="F45" s="508">
        <v>0</v>
      </c>
      <c r="G45" s="508">
        <v>0</v>
      </c>
      <c r="H45" s="508">
        <v>0</v>
      </c>
      <c r="I45" s="508">
        <v>0</v>
      </c>
      <c r="J45" s="508"/>
      <c r="K45" s="500">
        <f t="shared" si="9"/>
        <v>0</v>
      </c>
    </row>
    <row r="46" spans="1:11" s="494" customFormat="1" ht="12" customHeight="1" thickBot="1">
      <c r="A46" s="491" t="s">
        <v>25</v>
      </c>
      <c r="B46" s="492" t="s">
        <v>304</v>
      </c>
      <c r="C46" s="493">
        <f aca="true" t="shared" si="10" ref="C46:I46">SUM(C47:C51)</f>
        <v>0</v>
      </c>
      <c r="D46" s="493">
        <f t="shared" si="10"/>
        <v>0</v>
      </c>
      <c r="E46" s="493">
        <f t="shared" si="10"/>
        <v>0</v>
      </c>
      <c r="F46" s="493">
        <f t="shared" si="10"/>
        <v>0</v>
      </c>
      <c r="G46" s="493">
        <f t="shared" si="10"/>
        <v>0</v>
      </c>
      <c r="H46" s="493">
        <f t="shared" si="10"/>
        <v>0</v>
      </c>
      <c r="I46" s="493">
        <f t="shared" si="10"/>
        <v>0</v>
      </c>
      <c r="J46" s="493">
        <f>SUM(J47:J51)</f>
        <v>0</v>
      </c>
      <c r="K46" s="493">
        <f>SUM(K47:K51)</f>
        <v>0</v>
      </c>
    </row>
    <row r="47" spans="1:11" s="494" customFormat="1" ht="12" customHeight="1">
      <c r="A47" s="495" t="s">
        <v>103</v>
      </c>
      <c r="B47" s="496" t="s">
        <v>308</v>
      </c>
      <c r="C47" s="509"/>
      <c r="D47" s="509"/>
      <c r="E47" s="509"/>
      <c r="F47" s="509"/>
      <c r="G47" s="509"/>
      <c r="H47" s="509"/>
      <c r="I47" s="509"/>
      <c r="J47" s="509"/>
      <c r="K47" s="509"/>
    </row>
    <row r="48" spans="1:11" s="494" customFormat="1" ht="12" customHeight="1">
      <c r="A48" s="498" t="s">
        <v>104</v>
      </c>
      <c r="B48" s="499" t="s">
        <v>309</v>
      </c>
      <c r="C48" s="507"/>
      <c r="D48" s="507"/>
      <c r="E48" s="507"/>
      <c r="F48" s="507"/>
      <c r="G48" s="507"/>
      <c r="H48" s="507"/>
      <c r="I48" s="507"/>
      <c r="J48" s="507"/>
      <c r="K48" s="507"/>
    </row>
    <row r="49" spans="1:11" s="494" customFormat="1" ht="12" customHeight="1">
      <c r="A49" s="498" t="s">
        <v>305</v>
      </c>
      <c r="B49" s="499" t="s">
        <v>310</v>
      </c>
      <c r="C49" s="507"/>
      <c r="D49" s="507"/>
      <c r="E49" s="507"/>
      <c r="F49" s="507"/>
      <c r="G49" s="507"/>
      <c r="H49" s="507"/>
      <c r="I49" s="507"/>
      <c r="J49" s="507"/>
      <c r="K49" s="507"/>
    </row>
    <row r="50" spans="1:11" s="494" customFormat="1" ht="12" customHeight="1">
      <c r="A50" s="498" t="s">
        <v>306</v>
      </c>
      <c r="B50" s="499" t="s">
        <v>311</v>
      </c>
      <c r="C50" s="507"/>
      <c r="D50" s="507"/>
      <c r="E50" s="507"/>
      <c r="F50" s="507"/>
      <c r="G50" s="507"/>
      <c r="H50" s="507"/>
      <c r="I50" s="507"/>
      <c r="J50" s="507"/>
      <c r="K50" s="507"/>
    </row>
    <row r="51" spans="1:11" s="494" customFormat="1" ht="12" customHeight="1" thickBot="1">
      <c r="A51" s="501" t="s">
        <v>307</v>
      </c>
      <c r="B51" s="502" t="s">
        <v>312</v>
      </c>
      <c r="C51" s="508"/>
      <c r="D51" s="508"/>
      <c r="E51" s="508"/>
      <c r="F51" s="508"/>
      <c r="G51" s="508"/>
      <c r="H51" s="508"/>
      <c r="I51" s="508"/>
      <c r="J51" s="508"/>
      <c r="K51" s="508"/>
    </row>
    <row r="52" spans="1:11" s="494" customFormat="1" ht="12" customHeight="1" thickBot="1">
      <c r="A52" s="491" t="s">
        <v>184</v>
      </c>
      <c r="B52" s="492" t="s">
        <v>313</v>
      </c>
      <c r="C52" s="493">
        <f aca="true" t="shared" si="11" ref="C52:I52">SUM(C53:C55)</f>
        <v>0</v>
      </c>
      <c r="D52" s="493">
        <f t="shared" si="11"/>
        <v>0</v>
      </c>
      <c r="E52" s="493">
        <f t="shared" si="11"/>
        <v>0</v>
      </c>
      <c r="F52" s="493">
        <f t="shared" si="11"/>
        <v>0</v>
      </c>
      <c r="G52" s="493">
        <f t="shared" si="11"/>
        <v>0</v>
      </c>
      <c r="H52" s="493">
        <f t="shared" si="11"/>
        <v>0</v>
      </c>
      <c r="I52" s="493">
        <f t="shared" si="11"/>
        <v>0</v>
      </c>
      <c r="J52" s="493">
        <f>SUM(J53:J55)</f>
        <v>0</v>
      </c>
      <c r="K52" s="493">
        <f>SUM(K53:K55)</f>
        <v>0</v>
      </c>
    </row>
    <row r="53" spans="1:11" s="494" customFormat="1" ht="12" customHeight="1">
      <c r="A53" s="495" t="s">
        <v>105</v>
      </c>
      <c r="B53" s="496" t="s">
        <v>314</v>
      </c>
      <c r="C53" s="497"/>
      <c r="D53" s="497"/>
      <c r="E53" s="497"/>
      <c r="F53" s="497"/>
      <c r="G53" s="497"/>
      <c r="H53" s="497"/>
      <c r="I53" s="497"/>
      <c r="J53" s="497"/>
      <c r="K53" s="497"/>
    </row>
    <row r="54" spans="1:11" s="494" customFormat="1" ht="12" customHeight="1">
      <c r="A54" s="498" t="s">
        <v>106</v>
      </c>
      <c r="B54" s="499" t="s">
        <v>497</v>
      </c>
      <c r="C54" s="500"/>
      <c r="D54" s="500"/>
      <c r="E54" s="500"/>
      <c r="F54" s="500"/>
      <c r="G54" s="500"/>
      <c r="H54" s="500"/>
      <c r="I54" s="500"/>
      <c r="J54" s="500"/>
      <c r="K54" s="500"/>
    </row>
    <row r="55" spans="1:11" s="494" customFormat="1" ht="12" customHeight="1">
      <c r="A55" s="498" t="s">
        <v>318</v>
      </c>
      <c r="B55" s="499" t="s">
        <v>316</v>
      </c>
      <c r="C55" s="500"/>
      <c r="D55" s="500"/>
      <c r="E55" s="500"/>
      <c r="F55" s="500"/>
      <c r="G55" s="500"/>
      <c r="H55" s="500"/>
      <c r="I55" s="500"/>
      <c r="J55" s="500"/>
      <c r="K55" s="500"/>
    </row>
    <row r="56" spans="1:11" s="494" customFormat="1" ht="12" customHeight="1" thickBot="1">
      <c r="A56" s="501" t="s">
        <v>319</v>
      </c>
      <c r="B56" s="502" t="s">
        <v>317</v>
      </c>
      <c r="C56" s="504"/>
      <c r="D56" s="504"/>
      <c r="E56" s="504"/>
      <c r="F56" s="504"/>
      <c r="G56" s="504"/>
      <c r="H56" s="504"/>
      <c r="I56" s="504"/>
      <c r="J56" s="504"/>
      <c r="K56" s="504"/>
    </row>
    <row r="57" spans="1:11" s="494" customFormat="1" ht="12" customHeight="1" thickBot="1">
      <c r="A57" s="491" t="s">
        <v>27</v>
      </c>
      <c r="B57" s="503" t="s">
        <v>320</v>
      </c>
      <c r="C57" s="493">
        <f aca="true" t="shared" si="12" ref="C57:I57">SUM(C58:C60)</f>
        <v>0</v>
      </c>
      <c r="D57" s="493">
        <f t="shared" si="12"/>
        <v>0</v>
      </c>
      <c r="E57" s="493">
        <f t="shared" si="12"/>
        <v>0</v>
      </c>
      <c r="F57" s="493">
        <f t="shared" si="12"/>
        <v>0</v>
      </c>
      <c r="G57" s="493">
        <f t="shared" si="12"/>
        <v>0</v>
      </c>
      <c r="H57" s="493">
        <f t="shared" si="12"/>
        <v>0</v>
      </c>
      <c r="I57" s="493">
        <f t="shared" si="12"/>
        <v>0</v>
      </c>
      <c r="J57" s="493">
        <f>SUM(J58:J60)</f>
        <v>0</v>
      </c>
      <c r="K57" s="493">
        <f>SUM(K58:K60)</f>
        <v>0</v>
      </c>
    </row>
    <row r="58" spans="1:11" s="494" customFormat="1" ht="12" customHeight="1">
      <c r="A58" s="495" t="s">
        <v>185</v>
      </c>
      <c r="B58" s="496" t="s">
        <v>322</v>
      </c>
      <c r="C58" s="507"/>
      <c r="D58" s="507"/>
      <c r="E58" s="507"/>
      <c r="F58" s="507"/>
      <c r="G58" s="507"/>
      <c r="H58" s="507"/>
      <c r="I58" s="507"/>
      <c r="J58" s="507"/>
      <c r="K58" s="507"/>
    </row>
    <row r="59" spans="1:11" s="494" customFormat="1" ht="12" customHeight="1">
      <c r="A59" s="498" t="s">
        <v>186</v>
      </c>
      <c r="B59" s="499" t="s">
        <v>498</v>
      </c>
      <c r="C59" s="507"/>
      <c r="D59" s="507"/>
      <c r="E59" s="507"/>
      <c r="F59" s="507"/>
      <c r="G59" s="507"/>
      <c r="H59" s="507"/>
      <c r="I59" s="507"/>
      <c r="J59" s="507"/>
      <c r="K59" s="507"/>
    </row>
    <row r="60" spans="1:11" s="494" customFormat="1" ht="12" customHeight="1">
      <c r="A60" s="498" t="s">
        <v>235</v>
      </c>
      <c r="B60" s="499" t="s">
        <v>323</v>
      </c>
      <c r="C60" s="507"/>
      <c r="D60" s="507">
        <v>0</v>
      </c>
      <c r="E60" s="507">
        <v>0</v>
      </c>
      <c r="F60" s="507">
        <v>0</v>
      </c>
      <c r="G60" s="507">
        <v>0</v>
      </c>
      <c r="H60" s="507">
        <v>0</v>
      </c>
      <c r="I60" s="507">
        <v>0</v>
      </c>
      <c r="J60" s="507">
        <v>0</v>
      </c>
      <c r="K60" s="507">
        <v>0</v>
      </c>
    </row>
    <row r="61" spans="1:11" s="494" customFormat="1" ht="12" customHeight="1" thickBot="1">
      <c r="A61" s="501" t="s">
        <v>321</v>
      </c>
      <c r="B61" s="502" t="s">
        <v>324</v>
      </c>
      <c r="C61" s="507"/>
      <c r="D61" s="507"/>
      <c r="E61" s="507"/>
      <c r="F61" s="507"/>
      <c r="G61" s="507"/>
      <c r="H61" s="507"/>
      <c r="I61" s="507"/>
      <c r="J61" s="507"/>
      <c r="K61" s="507"/>
    </row>
    <row r="62" spans="1:11" s="494" customFormat="1" ht="12" customHeight="1" thickBot="1">
      <c r="A62" s="491" t="s">
        <v>28</v>
      </c>
      <c r="B62" s="492" t="s">
        <v>325</v>
      </c>
      <c r="C62" s="505">
        <f aca="true" t="shared" si="13" ref="C62:I62">+C7+C14+C21+C28+C35+C46+C52+C57</f>
        <v>0</v>
      </c>
      <c r="D62" s="505">
        <f t="shared" si="13"/>
        <v>2500000</v>
      </c>
      <c r="E62" s="505">
        <f t="shared" si="13"/>
        <v>2500000</v>
      </c>
      <c r="F62" s="505">
        <f t="shared" si="13"/>
        <v>810000</v>
      </c>
      <c r="G62" s="505">
        <f t="shared" si="13"/>
        <v>3310000</v>
      </c>
      <c r="H62" s="505">
        <f t="shared" si="13"/>
        <v>270000</v>
      </c>
      <c r="I62" s="505">
        <f t="shared" si="13"/>
        <v>3580000</v>
      </c>
      <c r="J62" s="505">
        <f>+J7+J14+J21+J28+J35+J46+J52+J57</f>
        <v>270000</v>
      </c>
      <c r="K62" s="505">
        <f>+K7+K14+K21+K28+K35+K46+K52+K57</f>
        <v>3850000</v>
      </c>
    </row>
    <row r="63" spans="1:11" s="494" customFormat="1" ht="12" customHeight="1" thickBot="1">
      <c r="A63" s="510" t="s">
        <v>326</v>
      </c>
      <c r="B63" s="503" t="s">
        <v>327</v>
      </c>
      <c r="C63" s="493">
        <f aca="true" t="shared" si="14" ref="C63:I63">SUM(C64:C66)</f>
        <v>0</v>
      </c>
      <c r="D63" s="493">
        <f t="shared" si="14"/>
        <v>0</v>
      </c>
      <c r="E63" s="493">
        <f t="shared" si="14"/>
        <v>0</v>
      </c>
      <c r="F63" s="493">
        <f t="shared" si="14"/>
        <v>0</v>
      </c>
      <c r="G63" s="493">
        <f t="shared" si="14"/>
        <v>0</v>
      </c>
      <c r="H63" s="493">
        <f t="shared" si="14"/>
        <v>0</v>
      </c>
      <c r="I63" s="493">
        <f t="shared" si="14"/>
        <v>0</v>
      </c>
      <c r="J63" s="493">
        <f>SUM(J64:J66)</f>
        <v>0</v>
      </c>
      <c r="K63" s="493">
        <f>SUM(K64:K66)</f>
        <v>0</v>
      </c>
    </row>
    <row r="64" spans="1:11" s="494" customFormat="1" ht="12" customHeight="1">
      <c r="A64" s="495" t="s">
        <v>360</v>
      </c>
      <c r="B64" s="496" t="s">
        <v>328</v>
      </c>
      <c r="C64" s="507"/>
      <c r="D64" s="507"/>
      <c r="E64" s="507"/>
      <c r="F64" s="507"/>
      <c r="G64" s="507"/>
      <c r="H64" s="507"/>
      <c r="I64" s="507"/>
      <c r="J64" s="507"/>
      <c r="K64" s="507"/>
    </row>
    <row r="65" spans="1:11" s="494" customFormat="1" ht="12" customHeight="1">
      <c r="A65" s="498" t="s">
        <v>369</v>
      </c>
      <c r="B65" s="499" t="s">
        <v>329</v>
      </c>
      <c r="C65" s="507"/>
      <c r="D65" s="507"/>
      <c r="E65" s="507"/>
      <c r="F65" s="507"/>
      <c r="G65" s="507"/>
      <c r="H65" s="507"/>
      <c r="I65" s="507"/>
      <c r="J65" s="507"/>
      <c r="K65" s="507"/>
    </row>
    <row r="66" spans="1:11" s="494" customFormat="1" ht="12" customHeight="1" thickBot="1">
      <c r="A66" s="501" t="s">
        <v>370</v>
      </c>
      <c r="B66" s="511" t="s">
        <v>330</v>
      </c>
      <c r="C66" s="507"/>
      <c r="D66" s="507"/>
      <c r="E66" s="507"/>
      <c r="F66" s="507"/>
      <c r="G66" s="507"/>
      <c r="H66" s="507"/>
      <c r="I66" s="507"/>
      <c r="J66" s="507"/>
      <c r="K66" s="507"/>
    </row>
    <row r="67" spans="1:11" s="494" customFormat="1" ht="12" customHeight="1" thickBot="1">
      <c r="A67" s="510" t="s">
        <v>331</v>
      </c>
      <c r="B67" s="503" t="s">
        <v>332</v>
      </c>
      <c r="C67" s="493">
        <f aca="true" t="shared" si="15" ref="C67:I67">SUM(C68:C71)</f>
        <v>0</v>
      </c>
      <c r="D67" s="493">
        <f t="shared" si="15"/>
        <v>0</v>
      </c>
      <c r="E67" s="493">
        <f t="shared" si="15"/>
        <v>0</v>
      </c>
      <c r="F67" s="493">
        <f t="shared" si="15"/>
        <v>0</v>
      </c>
      <c r="G67" s="493">
        <f t="shared" si="15"/>
        <v>0</v>
      </c>
      <c r="H67" s="493">
        <f t="shared" si="15"/>
        <v>0</v>
      </c>
      <c r="I67" s="493">
        <f t="shared" si="15"/>
        <v>0</v>
      </c>
      <c r="J67" s="493">
        <f>SUM(J68:J71)</f>
        <v>0</v>
      </c>
      <c r="K67" s="493">
        <f>SUM(K68:K71)</f>
        <v>0</v>
      </c>
    </row>
    <row r="68" spans="1:11" s="494" customFormat="1" ht="12" customHeight="1">
      <c r="A68" s="495" t="s">
        <v>153</v>
      </c>
      <c r="B68" s="496" t="s">
        <v>333</v>
      </c>
      <c r="C68" s="507"/>
      <c r="D68" s="507"/>
      <c r="E68" s="507"/>
      <c r="F68" s="507"/>
      <c r="G68" s="507"/>
      <c r="H68" s="507"/>
      <c r="I68" s="507"/>
      <c r="J68" s="507"/>
      <c r="K68" s="507"/>
    </row>
    <row r="69" spans="1:11" s="494" customFormat="1" ht="12" customHeight="1">
      <c r="A69" s="498" t="s">
        <v>154</v>
      </c>
      <c r="B69" s="499" t="s">
        <v>334</v>
      </c>
      <c r="C69" s="507"/>
      <c r="D69" s="507"/>
      <c r="E69" s="507"/>
      <c r="F69" s="507"/>
      <c r="G69" s="507"/>
      <c r="H69" s="507"/>
      <c r="I69" s="507"/>
      <c r="J69" s="507"/>
      <c r="K69" s="507"/>
    </row>
    <row r="70" spans="1:11" s="494" customFormat="1" ht="12" customHeight="1">
      <c r="A70" s="498" t="s">
        <v>361</v>
      </c>
      <c r="B70" s="499" t="s">
        <v>335</v>
      </c>
      <c r="C70" s="507"/>
      <c r="D70" s="507"/>
      <c r="E70" s="507"/>
      <c r="F70" s="507"/>
      <c r="G70" s="507"/>
      <c r="H70" s="507"/>
      <c r="I70" s="507"/>
      <c r="J70" s="507"/>
      <c r="K70" s="507"/>
    </row>
    <row r="71" spans="1:11" s="494" customFormat="1" ht="12" customHeight="1" thickBot="1">
      <c r="A71" s="501" t="s">
        <v>362</v>
      </c>
      <c r="B71" s="502" t="s">
        <v>336</v>
      </c>
      <c r="C71" s="507"/>
      <c r="D71" s="507"/>
      <c r="E71" s="507"/>
      <c r="F71" s="507"/>
      <c r="G71" s="507"/>
      <c r="H71" s="507"/>
      <c r="I71" s="507"/>
      <c r="J71" s="507"/>
      <c r="K71" s="507"/>
    </row>
    <row r="72" spans="1:11" s="494" customFormat="1" ht="12" customHeight="1" thickBot="1">
      <c r="A72" s="510" t="s">
        <v>337</v>
      </c>
      <c r="B72" s="503" t="s">
        <v>338</v>
      </c>
      <c r="C72" s="493">
        <f aca="true" t="shared" si="16" ref="C72:I72">SUM(C73:C74)</f>
        <v>0</v>
      </c>
      <c r="D72" s="493">
        <f t="shared" si="16"/>
        <v>9361300</v>
      </c>
      <c r="E72" s="493">
        <f t="shared" si="16"/>
        <v>9361300</v>
      </c>
      <c r="F72" s="493">
        <f t="shared" si="16"/>
        <v>60000</v>
      </c>
      <c r="G72" s="493">
        <f t="shared" si="16"/>
        <v>9421300</v>
      </c>
      <c r="H72" s="493">
        <f t="shared" si="16"/>
        <v>0</v>
      </c>
      <c r="I72" s="493">
        <f t="shared" si="16"/>
        <v>9421300</v>
      </c>
      <c r="J72" s="493">
        <f>SUM(J73:J74)</f>
        <v>0</v>
      </c>
      <c r="K72" s="493">
        <f>SUM(K73:K74)</f>
        <v>9421300</v>
      </c>
    </row>
    <row r="73" spans="1:11" s="494" customFormat="1" ht="12" customHeight="1">
      <c r="A73" s="495" t="s">
        <v>363</v>
      </c>
      <c r="B73" s="496" t="s">
        <v>339</v>
      </c>
      <c r="C73" s="507"/>
      <c r="D73" s="507">
        <v>9361300</v>
      </c>
      <c r="E73" s="507">
        <f>C73+D73</f>
        <v>9361300</v>
      </c>
      <c r="F73" s="507">
        <v>60000</v>
      </c>
      <c r="G73" s="507">
        <f>E73+F73</f>
        <v>9421300</v>
      </c>
      <c r="H73" s="507"/>
      <c r="I73" s="507">
        <f>G73+H73</f>
        <v>9421300</v>
      </c>
      <c r="J73" s="507"/>
      <c r="K73" s="507">
        <f>I73+J73</f>
        <v>9421300</v>
      </c>
    </row>
    <row r="74" spans="1:11" s="494" customFormat="1" ht="12" customHeight="1" thickBot="1">
      <c r="A74" s="501" t="s">
        <v>364</v>
      </c>
      <c r="B74" s="502" t="s">
        <v>340</v>
      </c>
      <c r="C74" s="507"/>
      <c r="D74" s="507"/>
      <c r="E74" s="507"/>
      <c r="F74" s="507"/>
      <c r="G74" s="507"/>
      <c r="H74" s="507"/>
      <c r="I74" s="507"/>
      <c r="J74" s="507"/>
      <c r="K74" s="507"/>
    </row>
    <row r="75" spans="1:11" s="494" customFormat="1" ht="12" customHeight="1" thickBot="1">
      <c r="A75" s="510" t="s">
        <v>341</v>
      </c>
      <c r="B75" s="503" t="s">
        <v>342</v>
      </c>
      <c r="C75" s="493">
        <f aca="true" t="shared" si="17" ref="C75:I75">SUM(C76:C78)</f>
        <v>0</v>
      </c>
      <c r="D75" s="493">
        <f t="shared" si="17"/>
        <v>0</v>
      </c>
      <c r="E75" s="493">
        <f t="shared" si="17"/>
        <v>0</v>
      </c>
      <c r="F75" s="493">
        <f t="shared" si="17"/>
        <v>0</v>
      </c>
      <c r="G75" s="493">
        <f t="shared" si="17"/>
        <v>0</v>
      </c>
      <c r="H75" s="493">
        <f t="shared" si="17"/>
        <v>0</v>
      </c>
      <c r="I75" s="493">
        <f t="shared" si="17"/>
        <v>0</v>
      </c>
      <c r="J75" s="493">
        <f>SUM(J76:J78)</f>
        <v>0</v>
      </c>
      <c r="K75" s="493">
        <f>SUM(K76:K78)</f>
        <v>0</v>
      </c>
    </row>
    <row r="76" spans="1:11" s="494" customFormat="1" ht="12" customHeight="1">
      <c r="A76" s="495" t="s">
        <v>365</v>
      </c>
      <c r="B76" s="496" t="s">
        <v>343</v>
      </c>
      <c r="C76" s="507"/>
      <c r="D76" s="507"/>
      <c r="E76" s="507"/>
      <c r="F76" s="507"/>
      <c r="G76" s="507"/>
      <c r="H76" s="507"/>
      <c r="I76" s="507"/>
      <c r="J76" s="507"/>
      <c r="K76" s="507"/>
    </row>
    <row r="77" spans="1:11" s="494" customFormat="1" ht="12" customHeight="1">
      <c r="A77" s="498" t="s">
        <v>366</v>
      </c>
      <c r="B77" s="499" t="s">
        <v>344</v>
      </c>
      <c r="C77" s="507"/>
      <c r="D77" s="507"/>
      <c r="E77" s="507"/>
      <c r="F77" s="507"/>
      <c r="G77" s="507"/>
      <c r="H77" s="507"/>
      <c r="I77" s="507"/>
      <c r="J77" s="507"/>
      <c r="K77" s="507"/>
    </row>
    <row r="78" spans="1:11" s="494" customFormat="1" ht="12" customHeight="1" thickBot="1">
      <c r="A78" s="501" t="s">
        <v>367</v>
      </c>
      <c r="B78" s="502" t="s">
        <v>345</v>
      </c>
      <c r="C78" s="507"/>
      <c r="D78" s="507"/>
      <c r="E78" s="507"/>
      <c r="F78" s="507"/>
      <c r="G78" s="507"/>
      <c r="H78" s="507"/>
      <c r="I78" s="507"/>
      <c r="J78" s="507"/>
      <c r="K78" s="507"/>
    </row>
    <row r="79" spans="1:11" s="494" customFormat="1" ht="12" customHeight="1" thickBot="1">
      <c r="A79" s="510" t="s">
        <v>346</v>
      </c>
      <c r="B79" s="503" t="s">
        <v>368</v>
      </c>
      <c r="C79" s="493">
        <f aca="true" t="shared" si="18" ref="C79:I79">SUM(C80:C83)</f>
        <v>0</v>
      </c>
      <c r="D79" s="493">
        <f t="shared" si="18"/>
        <v>0</v>
      </c>
      <c r="E79" s="493">
        <f t="shared" si="18"/>
        <v>0</v>
      </c>
      <c r="F79" s="493">
        <f t="shared" si="18"/>
        <v>0</v>
      </c>
      <c r="G79" s="493">
        <f t="shared" si="18"/>
        <v>0</v>
      </c>
      <c r="H79" s="493">
        <f t="shared" si="18"/>
        <v>0</v>
      </c>
      <c r="I79" s="493">
        <f t="shared" si="18"/>
        <v>0</v>
      </c>
      <c r="J79" s="493">
        <f>SUM(J80:J83)</f>
        <v>0</v>
      </c>
      <c r="K79" s="493">
        <f>SUM(K80:K83)</f>
        <v>0</v>
      </c>
    </row>
    <row r="80" spans="1:11" s="494" customFormat="1" ht="12" customHeight="1">
      <c r="A80" s="512" t="s">
        <v>347</v>
      </c>
      <c r="B80" s="496" t="s">
        <v>348</v>
      </c>
      <c r="C80" s="507"/>
      <c r="D80" s="507"/>
      <c r="E80" s="507"/>
      <c r="F80" s="507"/>
      <c r="G80" s="507"/>
      <c r="H80" s="507"/>
      <c r="I80" s="507"/>
      <c r="J80" s="507"/>
      <c r="K80" s="507"/>
    </row>
    <row r="81" spans="1:11" s="494" customFormat="1" ht="12" customHeight="1">
      <c r="A81" s="513" t="s">
        <v>349</v>
      </c>
      <c r="B81" s="499" t="s">
        <v>350</v>
      </c>
      <c r="C81" s="507"/>
      <c r="D81" s="507"/>
      <c r="E81" s="507"/>
      <c r="F81" s="507"/>
      <c r="G81" s="507"/>
      <c r="H81" s="507"/>
      <c r="I81" s="507"/>
      <c r="J81" s="507"/>
      <c r="K81" s="507"/>
    </row>
    <row r="82" spans="1:11" s="494" customFormat="1" ht="12" customHeight="1">
      <c r="A82" s="513" t="s">
        <v>351</v>
      </c>
      <c r="B82" s="499" t="s">
        <v>352</v>
      </c>
      <c r="C82" s="507"/>
      <c r="D82" s="507"/>
      <c r="E82" s="507"/>
      <c r="F82" s="507"/>
      <c r="G82" s="507"/>
      <c r="H82" s="507"/>
      <c r="I82" s="507"/>
      <c r="J82" s="507"/>
      <c r="K82" s="507"/>
    </row>
    <row r="83" spans="1:11" s="494" customFormat="1" ht="12" customHeight="1" thickBot="1">
      <c r="A83" s="514" t="s">
        <v>353</v>
      </c>
      <c r="B83" s="502" t="s">
        <v>354</v>
      </c>
      <c r="C83" s="507"/>
      <c r="D83" s="507"/>
      <c r="E83" s="507"/>
      <c r="F83" s="507"/>
      <c r="G83" s="507"/>
      <c r="H83" s="507"/>
      <c r="I83" s="507"/>
      <c r="J83" s="507"/>
      <c r="K83" s="507"/>
    </row>
    <row r="84" spans="1:11" s="494" customFormat="1" ht="13.5" customHeight="1" thickBot="1">
      <c r="A84" s="510" t="s">
        <v>355</v>
      </c>
      <c r="B84" s="503" t="s">
        <v>356</v>
      </c>
      <c r="C84" s="515"/>
      <c r="D84" s="515"/>
      <c r="E84" s="515"/>
      <c r="F84" s="515"/>
      <c r="G84" s="515"/>
      <c r="H84" s="515"/>
      <c r="I84" s="515"/>
      <c r="J84" s="515"/>
      <c r="K84" s="515"/>
    </row>
    <row r="85" spans="1:11" s="494" customFormat="1" ht="15.75" customHeight="1" thickBot="1">
      <c r="A85" s="510" t="s">
        <v>357</v>
      </c>
      <c r="B85" s="516" t="s">
        <v>358</v>
      </c>
      <c r="C85" s="505">
        <f aca="true" t="shared" si="19" ref="C85:I85">+C63+C67+C72+C75+C79+C84</f>
        <v>0</v>
      </c>
      <c r="D85" s="505">
        <f t="shared" si="19"/>
        <v>9361300</v>
      </c>
      <c r="E85" s="505">
        <f t="shared" si="19"/>
        <v>9361300</v>
      </c>
      <c r="F85" s="505">
        <f t="shared" si="19"/>
        <v>60000</v>
      </c>
      <c r="G85" s="505">
        <f t="shared" si="19"/>
        <v>9421300</v>
      </c>
      <c r="H85" s="505">
        <f t="shared" si="19"/>
        <v>0</v>
      </c>
      <c r="I85" s="505">
        <f t="shared" si="19"/>
        <v>9421300</v>
      </c>
      <c r="J85" s="505">
        <f>+J63+J67+J72+J75+J79+J84</f>
        <v>0</v>
      </c>
      <c r="K85" s="505">
        <f>+K63+K67+K72+K75+K79+K84</f>
        <v>9421300</v>
      </c>
    </row>
    <row r="86" spans="1:11" s="494" customFormat="1" ht="16.5" customHeight="1" thickBot="1">
      <c r="A86" s="517" t="s">
        <v>371</v>
      </c>
      <c r="B86" s="518" t="s">
        <v>359</v>
      </c>
      <c r="C86" s="505">
        <f aca="true" t="shared" si="20" ref="C86:I86">+C62+C85</f>
        <v>0</v>
      </c>
      <c r="D86" s="505">
        <f t="shared" si="20"/>
        <v>11861300</v>
      </c>
      <c r="E86" s="505">
        <f t="shared" si="20"/>
        <v>11861300</v>
      </c>
      <c r="F86" s="505">
        <f t="shared" si="20"/>
        <v>870000</v>
      </c>
      <c r="G86" s="505">
        <f t="shared" si="20"/>
        <v>12731300</v>
      </c>
      <c r="H86" s="505">
        <f t="shared" si="20"/>
        <v>270000</v>
      </c>
      <c r="I86" s="505">
        <f t="shared" si="20"/>
        <v>13001300</v>
      </c>
      <c r="J86" s="505">
        <f>+J62+J85</f>
        <v>270000</v>
      </c>
      <c r="K86" s="505">
        <f>+K62+K85</f>
        <v>13271300</v>
      </c>
    </row>
    <row r="87" spans="1:11" s="494" customFormat="1" ht="83.25" customHeight="1">
      <c r="A87" s="519"/>
      <c r="B87" s="520"/>
      <c r="C87" s="521"/>
      <c r="D87" s="521"/>
      <c r="E87" s="521"/>
      <c r="F87" s="521"/>
      <c r="G87" s="521"/>
      <c r="H87" s="521"/>
      <c r="I87" s="521"/>
      <c r="J87" s="521"/>
      <c r="K87" s="521"/>
    </row>
    <row r="88" spans="1:11" ht="16.5" customHeight="1">
      <c r="A88" s="728" t="s">
        <v>48</v>
      </c>
      <c r="B88" s="728"/>
      <c r="C88" s="728"/>
      <c r="D88" s="729"/>
      <c r="E88" s="729"/>
      <c r="F88" s="729"/>
      <c r="G88" s="729"/>
      <c r="H88" s="729"/>
      <c r="I88" s="729"/>
      <c r="J88" s="729"/>
      <c r="K88" s="729"/>
    </row>
    <row r="89" spans="1:11" ht="16.5" customHeight="1" thickBot="1">
      <c r="A89" s="731" t="s">
        <v>157</v>
      </c>
      <c r="B89" s="731"/>
      <c r="C89" s="522"/>
      <c r="D89" s="522"/>
      <c r="E89" s="522"/>
      <c r="F89" s="522"/>
      <c r="G89" s="522"/>
      <c r="H89" s="522"/>
      <c r="I89" s="522"/>
      <c r="J89" s="522"/>
      <c r="K89" s="522" t="s">
        <v>535</v>
      </c>
    </row>
    <row r="90" spans="1:11" ht="37.5" customHeight="1" thickBot="1">
      <c r="A90" s="484" t="s">
        <v>76</v>
      </c>
      <c r="B90" s="485" t="s">
        <v>49</v>
      </c>
      <c r="C90" s="486" t="s">
        <v>540</v>
      </c>
      <c r="D90" s="486" t="s">
        <v>580</v>
      </c>
      <c r="E90" s="486" t="s">
        <v>581</v>
      </c>
      <c r="F90" s="486" t="s">
        <v>595</v>
      </c>
      <c r="G90" s="486" t="s">
        <v>581</v>
      </c>
      <c r="H90" s="486" t="s">
        <v>599</v>
      </c>
      <c r="I90" s="486" t="s">
        <v>581</v>
      </c>
      <c r="J90" s="486" t="s">
        <v>606</v>
      </c>
      <c r="K90" s="486" t="s">
        <v>581</v>
      </c>
    </row>
    <row r="91" spans="1:11" s="490" customFormat="1" ht="12" customHeight="1" thickBot="1">
      <c r="A91" s="523">
        <v>1</v>
      </c>
      <c r="B91" s="524">
        <v>2</v>
      </c>
      <c r="C91" s="525">
        <v>3</v>
      </c>
      <c r="D91" s="525">
        <v>4</v>
      </c>
      <c r="E91" s="525">
        <v>5</v>
      </c>
      <c r="F91" s="525">
        <v>4</v>
      </c>
      <c r="G91" s="525">
        <v>4</v>
      </c>
      <c r="H91" s="525">
        <v>5</v>
      </c>
      <c r="I91" s="525">
        <v>4</v>
      </c>
      <c r="J91" s="525">
        <v>5</v>
      </c>
      <c r="K91" s="525">
        <v>6</v>
      </c>
    </row>
    <row r="92" spans="1:11" ht="12" customHeight="1" thickBot="1">
      <c r="A92" s="526" t="s">
        <v>20</v>
      </c>
      <c r="B92" s="527" t="s">
        <v>374</v>
      </c>
      <c r="C92" s="528">
        <f aca="true" t="shared" si="21" ref="C92:I92">SUM(C93:C97)</f>
        <v>0</v>
      </c>
      <c r="D92" s="528">
        <f t="shared" si="21"/>
        <v>10461300</v>
      </c>
      <c r="E92" s="528">
        <f t="shared" si="21"/>
        <v>10461300</v>
      </c>
      <c r="F92" s="528">
        <f t="shared" si="21"/>
        <v>870000</v>
      </c>
      <c r="G92" s="528">
        <f t="shared" si="21"/>
        <v>11331300</v>
      </c>
      <c r="H92" s="528">
        <f t="shared" si="21"/>
        <v>270000</v>
      </c>
      <c r="I92" s="528">
        <f t="shared" si="21"/>
        <v>11601300</v>
      </c>
      <c r="J92" s="528">
        <f>SUM(J93:J97)</f>
        <v>270000</v>
      </c>
      <c r="K92" s="528">
        <f>SUM(K93:K97)</f>
        <v>11871300</v>
      </c>
    </row>
    <row r="93" spans="1:11" ht="12" customHeight="1">
      <c r="A93" s="529" t="s">
        <v>107</v>
      </c>
      <c r="B93" s="530" t="s">
        <v>50</v>
      </c>
      <c r="C93" s="531"/>
      <c r="D93" s="531">
        <v>4967000</v>
      </c>
      <c r="E93" s="532">
        <f>C93+D93</f>
        <v>4967000</v>
      </c>
      <c r="F93" s="531">
        <v>810000</v>
      </c>
      <c r="G93" s="532">
        <f>E93+F93</f>
        <v>5777000</v>
      </c>
      <c r="H93" s="531">
        <v>270000</v>
      </c>
      <c r="I93" s="532">
        <f>G93+H93</f>
        <v>6047000</v>
      </c>
      <c r="J93" s="531">
        <v>230000</v>
      </c>
      <c r="K93" s="532">
        <f>I93+J93</f>
        <v>6277000</v>
      </c>
    </row>
    <row r="94" spans="1:11" ht="12" customHeight="1">
      <c r="A94" s="498" t="s">
        <v>108</v>
      </c>
      <c r="B94" s="533" t="s">
        <v>187</v>
      </c>
      <c r="C94" s="500"/>
      <c r="D94" s="500">
        <v>974300</v>
      </c>
      <c r="E94" s="534">
        <f>C94+D94</f>
        <v>974300</v>
      </c>
      <c r="F94" s="500"/>
      <c r="G94" s="534">
        <f>E94+F94</f>
        <v>974300</v>
      </c>
      <c r="H94" s="500"/>
      <c r="I94" s="534">
        <f>G94+H94</f>
        <v>974300</v>
      </c>
      <c r="J94" s="500">
        <v>40000</v>
      </c>
      <c r="K94" s="534">
        <f>I94+J94</f>
        <v>1014300</v>
      </c>
    </row>
    <row r="95" spans="1:11" ht="12" customHeight="1">
      <c r="A95" s="498" t="s">
        <v>109</v>
      </c>
      <c r="B95" s="533" t="s">
        <v>143</v>
      </c>
      <c r="C95" s="504"/>
      <c r="D95" s="504">
        <v>270000</v>
      </c>
      <c r="E95" s="534">
        <f>C95+D95</f>
        <v>270000</v>
      </c>
      <c r="F95" s="504"/>
      <c r="G95" s="534">
        <f>E95+F95</f>
        <v>270000</v>
      </c>
      <c r="H95" s="504"/>
      <c r="I95" s="534">
        <f>G95+H95</f>
        <v>270000</v>
      </c>
      <c r="J95" s="504"/>
      <c r="K95" s="534">
        <f>I95+J95</f>
        <v>270000</v>
      </c>
    </row>
    <row r="96" spans="1:11" ht="12" customHeight="1">
      <c r="A96" s="498" t="s">
        <v>110</v>
      </c>
      <c r="B96" s="535" t="s">
        <v>188</v>
      </c>
      <c r="C96" s="504"/>
      <c r="D96" s="504"/>
      <c r="E96" s="534">
        <f>C96+D96</f>
        <v>0</v>
      </c>
      <c r="F96" s="504"/>
      <c r="G96" s="534">
        <f>E96+F96</f>
        <v>0</v>
      </c>
      <c r="H96" s="504"/>
      <c r="I96" s="534">
        <f>G96+H96</f>
        <v>0</v>
      </c>
      <c r="J96" s="504"/>
      <c r="K96" s="534">
        <f>I96+J96</f>
        <v>0</v>
      </c>
    </row>
    <row r="97" spans="1:11" ht="12" customHeight="1">
      <c r="A97" s="498" t="s">
        <v>121</v>
      </c>
      <c r="B97" s="536" t="s">
        <v>189</v>
      </c>
      <c r="C97" s="504"/>
      <c r="D97" s="504">
        <f aca="true" t="shared" si="22" ref="D97:I97">SUM(D98:D107)</f>
        <v>4250000</v>
      </c>
      <c r="E97" s="504">
        <f t="shared" si="22"/>
        <v>4250000</v>
      </c>
      <c r="F97" s="504">
        <f t="shared" si="22"/>
        <v>60000</v>
      </c>
      <c r="G97" s="504">
        <f t="shared" si="22"/>
        <v>4310000</v>
      </c>
      <c r="H97" s="504">
        <f t="shared" si="22"/>
        <v>0</v>
      </c>
      <c r="I97" s="504">
        <f t="shared" si="22"/>
        <v>4310000</v>
      </c>
      <c r="J97" s="504">
        <f>SUM(J98:J107)</f>
        <v>0</v>
      </c>
      <c r="K97" s="504">
        <f>SUM(K98:K107)</f>
        <v>4310000</v>
      </c>
    </row>
    <row r="98" spans="1:11" ht="12" customHeight="1">
      <c r="A98" s="498" t="s">
        <v>111</v>
      </c>
      <c r="B98" s="533" t="s">
        <v>375</v>
      </c>
      <c r="C98" s="504"/>
      <c r="D98" s="504"/>
      <c r="E98" s="504"/>
      <c r="F98" s="504"/>
      <c r="G98" s="504"/>
      <c r="H98" s="504"/>
      <c r="I98" s="504"/>
      <c r="J98" s="504"/>
      <c r="K98" s="504">
        <v>0</v>
      </c>
    </row>
    <row r="99" spans="1:11" ht="12" customHeight="1">
      <c r="A99" s="498" t="s">
        <v>112</v>
      </c>
      <c r="B99" s="537" t="s">
        <v>376</v>
      </c>
      <c r="C99" s="504"/>
      <c r="D99" s="504"/>
      <c r="E99" s="504"/>
      <c r="F99" s="504"/>
      <c r="G99" s="504"/>
      <c r="H99" s="504"/>
      <c r="I99" s="504"/>
      <c r="J99" s="504"/>
      <c r="K99" s="504"/>
    </row>
    <row r="100" spans="1:11" ht="12" customHeight="1">
      <c r="A100" s="498" t="s">
        <v>122</v>
      </c>
      <c r="B100" s="538" t="s">
        <v>377</v>
      </c>
      <c r="C100" s="504"/>
      <c r="D100" s="504"/>
      <c r="E100" s="504"/>
      <c r="F100" s="504"/>
      <c r="G100" s="504"/>
      <c r="H100" s="504"/>
      <c r="I100" s="504"/>
      <c r="J100" s="504"/>
      <c r="K100" s="504"/>
    </row>
    <row r="101" spans="1:11" ht="12" customHeight="1">
      <c r="A101" s="498" t="s">
        <v>123</v>
      </c>
      <c r="B101" s="538" t="s">
        <v>378</v>
      </c>
      <c r="C101" s="504"/>
      <c r="D101" s="504"/>
      <c r="E101" s="504"/>
      <c r="F101" s="504"/>
      <c r="G101" s="504"/>
      <c r="H101" s="504"/>
      <c r="I101" s="504"/>
      <c r="J101" s="504"/>
      <c r="K101" s="504"/>
    </row>
    <row r="102" spans="1:11" ht="12" customHeight="1">
      <c r="A102" s="498" t="s">
        <v>124</v>
      </c>
      <c r="B102" s="537" t="s">
        <v>379</v>
      </c>
      <c r="C102" s="504"/>
      <c r="D102" s="504"/>
      <c r="E102" s="504"/>
      <c r="F102" s="504"/>
      <c r="G102" s="504"/>
      <c r="H102" s="504"/>
      <c r="I102" s="504"/>
      <c r="J102" s="504"/>
      <c r="K102" s="504"/>
    </row>
    <row r="103" spans="1:11" ht="12" customHeight="1">
      <c r="A103" s="498" t="s">
        <v>125</v>
      </c>
      <c r="B103" s="537" t="s">
        <v>380</v>
      </c>
      <c r="C103" s="504"/>
      <c r="D103" s="504"/>
      <c r="E103" s="504"/>
      <c r="F103" s="504"/>
      <c r="G103" s="504"/>
      <c r="H103" s="504"/>
      <c r="I103" s="504"/>
      <c r="J103" s="504"/>
      <c r="K103" s="504"/>
    </row>
    <row r="104" spans="1:11" ht="12" customHeight="1">
      <c r="A104" s="498" t="s">
        <v>127</v>
      </c>
      <c r="B104" s="538" t="s">
        <v>381</v>
      </c>
      <c r="C104" s="504"/>
      <c r="D104" s="504"/>
      <c r="E104" s="504"/>
      <c r="F104" s="504"/>
      <c r="G104" s="504"/>
      <c r="H104" s="504"/>
      <c r="I104" s="504"/>
      <c r="J104" s="504"/>
      <c r="K104" s="504"/>
    </row>
    <row r="105" spans="1:11" ht="12" customHeight="1">
      <c r="A105" s="539" t="s">
        <v>190</v>
      </c>
      <c r="B105" s="540" t="s">
        <v>382</v>
      </c>
      <c r="C105" s="504"/>
      <c r="D105" s="504"/>
      <c r="E105" s="504"/>
      <c r="F105" s="504"/>
      <c r="G105" s="504"/>
      <c r="H105" s="504"/>
      <c r="I105" s="504"/>
      <c r="J105" s="504"/>
      <c r="K105" s="504"/>
    </row>
    <row r="106" spans="1:11" ht="12" customHeight="1">
      <c r="A106" s="498" t="s">
        <v>372</v>
      </c>
      <c r="B106" s="540" t="s">
        <v>383</v>
      </c>
      <c r="C106" s="504"/>
      <c r="D106" s="504"/>
      <c r="E106" s="504"/>
      <c r="F106" s="504"/>
      <c r="G106" s="504"/>
      <c r="H106" s="504"/>
      <c r="I106" s="504"/>
      <c r="J106" s="504"/>
      <c r="K106" s="504"/>
    </row>
    <row r="107" spans="1:11" ht="12" customHeight="1" thickBot="1">
      <c r="A107" s="541" t="s">
        <v>373</v>
      </c>
      <c r="B107" s="542" t="s">
        <v>384</v>
      </c>
      <c r="C107" s="543"/>
      <c r="D107" s="543">
        <v>4250000</v>
      </c>
      <c r="E107" s="543">
        <f>C107+D107</f>
        <v>4250000</v>
      </c>
      <c r="F107" s="543">
        <v>60000</v>
      </c>
      <c r="G107" s="543">
        <f>E107+F107</f>
        <v>4310000</v>
      </c>
      <c r="H107" s="543"/>
      <c r="I107" s="543">
        <f>G107+H107</f>
        <v>4310000</v>
      </c>
      <c r="J107" s="543"/>
      <c r="K107" s="543">
        <f>I107+J107</f>
        <v>4310000</v>
      </c>
    </row>
    <row r="108" spans="1:11" ht="12" customHeight="1" thickBot="1">
      <c r="A108" s="491" t="s">
        <v>21</v>
      </c>
      <c r="B108" s="544" t="s">
        <v>385</v>
      </c>
      <c r="C108" s="493">
        <f aca="true" t="shared" si="23" ref="C108:I108">+C109+C111+C113</f>
        <v>0</v>
      </c>
      <c r="D108" s="493">
        <f t="shared" si="23"/>
        <v>1400000</v>
      </c>
      <c r="E108" s="493">
        <f t="shared" si="23"/>
        <v>1400000</v>
      </c>
      <c r="F108" s="493">
        <f t="shared" si="23"/>
        <v>0</v>
      </c>
      <c r="G108" s="493">
        <f t="shared" si="23"/>
        <v>1400000</v>
      </c>
      <c r="H108" s="493">
        <f t="shared" si="23"/>
        <v>0</v>
      </c>
      <c r="I108" s="493">
        <f t="shared" si="23"/>
        <v>1400000</v>
      </c>
      <c r="J108" s="493">
        <f>+J109+J111+J113</f>
        <v>0</v>
      </c>
      <c r="K108" s="493">
        <f>+K109+K111+K113</f>
        <v>1400000</v>
      </c>
    </row>
    <row r="109" spans="1:11" ht="12" customHeight="1">
      <c r="A109" s="495" t="s">
        <v>113</v>
      </c>
      <c r="B109" s="533" t="s">
        <v>234</v>
      </c>
      <c r="C109" s="497"/>
      <c r="D109" s="497"/>
      <c r="E109" s="497">
        <f>C109+D109</f>
        <v>0</v>
      </c>
      <c r="F109" s="497"/>
      <c r="G109" s="497">
        <f>E109+F109</f>
        <v>0</v>
      </c>
      <c r="H109" s="497"/>
      <c r="I109" s="497">
        <f>G109+H109</f>
        <v>0</v>
      </c>
      <c r="J109" s="497"/>
      <c r="K109" s="497">
        <f>I109+J109</f>
        <v>0</v>
      </c>
    </row>
    <row r="110" spans="1:11" ht="12" customHeight="1">
      <c r="A110" s="495" t="s">
        <v>114</v>
      </c>
      <c r="B110" s="545" t="s">
        <v>389</v>
      </c>
      <c r="C110" s="497"/>
      <c r="D110" s="497"/>
      <c r="E110" s="497">
        <f aca="true" t="shared" si="24" ref="E110:E121">C110+D110</f>
        <v>0</v>
      </c>
      <c r="F110" s="497"/>
      <c r="G110" s="497">
        <f>E110+F110</f>
        <v>0</v>
      </c>
      <c r="H110" s="497"/>
      <c r="I110" s="497">
        <f>G110+H110</f>
        <v>0</v>
      </c>
      <c r="J110" s="497"/>
      <c r="K110" s="497">
        <f>I110+J110</f>
        <v>0</v>
      </c>
    </row>
    <row r="111" spans="1:11" ht="12" customHeight="1">
      <c r="A111" s="495" t="s">
        <v>115</v>
      </c>
      <c r="B111" s="545" t="s">
        <v>191</v>
      </c>
      <c r="C111" s="500"/>
      <c r="D111" s="500"/>
      <c r="E111" s="497">
        <f t="shared" si="24"/>
        <v>0</v>
      </c>
      <c r="F111" s="500"/>
      <c r="G111" s="497">
        <f>E111+F111</f>
        <v>0</v>
      </c>
      <c r="H111" s="500"/>
      <c r="I111" s="497">
        <f>G111+H111</f>
        <v>0</v>
      </c>
      <c r="J111" s="500"/>
      <c r="K111" s="497">
        <f>I111+J111</f>
        <v>0</v>
      </c>
    </row>
    <row r="112" spans="1:11" ht="12" customHeight="1">
      <c r="A112" s="495" t="s">
        <v>116</v>
      </c>
      <c r="B112" s="545" t="s">
        <v>390</v>
      </c>
      <c r="C112" s="546"/>
      <c r="D112" s="546"/>
      <c r="E112" s="497">
        <f t="shared" si="24"/>
        <v>0</v>
      </c>
      <c r="F112" s="546"/>
      <c r="G112" s="497">
        <f>E112+F112</f>
        <v>0</v>
      </c>
      <c r="H112" s="546"/>
      <c r="I112" s="497">
        <f>G112+H112</f>
        <v>0</v>
      </c>
      <c r="J112" s="546"/>
      <c r="K112" s="497">
        <f>I112+J112</f>
        <v>0</v>
      </c>
    </row>
    <row r="113" spans="1:11" ht="12" customHeight="1">
      <c r="A113" s="495" t="s">
        <v>117</v>
      </c>
      <c r="B113" s="547" t="s">
        <v>236</v>
      </c>
      <c r="C113" s="546"/>
      <c r="D113" s="546">
        <f>D121</f>
        <v>1400000</v>
      </c>
      <c r="E113" s="497">
        <f>C113+D113</f>
        <v>1400000</v>
      </c>
      <c r="F113" s="546">
        <f>F121</f>
        <v>0</v>
      </c>
      <c r="G113" s="497">
        <f>E113+F113</f>
        <v>1400000</v>
      </c>
      <c r="H113" s="546">
        <f>H121</f>
        <v>0</v>
      </c>
      <c r="I113" s="497">
        <f>G113+H113</f>
        <v>1400000</v>
      </c>
      <c r="J113" s="546">
        <f>J121</f>
        <v>0</v>
      </c>
      <c r="K113" s="497">
        <f>I113+J113</f>
        <v>1400000</v>
      </c>
    </row>
    <row r="114" spans="1:11" ht="12" customHeight="1">
      <c r="A114" s="495" t="s">
        <v>126</v>
      </c>
      <c r="B114" s="548" t="s">
        <v>499</v>
      </c>
      <c r="C114" s="546"/>
      <c r="D114" s="546"/>
      <c r="E114" s="497">
        <f t="shared" si="24"/>
        <v>0</v>
      </c>
      <c r="F114" s="546"/>
      <c r="G114" s="497">
        <f aca="true" t="shared" si="25" ref="G114:G121">E114+F114</f>
        <v>0</v>
      </c>
      <c r="H114" s="546"/>
      <c r="I114" s="497">
        <f aca="true" t="shared" si="26" ref="I114:I121">G114+H114</f>
        <v>0</v>
      </c>
      <c r="J114" s="546"/>
      <c r="K114" s="497">
        <f aca="true" t="shared" si="27" ref="K114:K121">I114+J114</f>
        <v>0</v>
      </c>
    </row>
    <row r="115" spans="1:11" ht="12" customHeight="1">
      <c r="A115" s="495" t="s">
        <v>128</v>
      </c>
      <c r="B115" s="549" t="s">
        <v>395</v>
      </c>
      <c r="C115" s="546"/>
      <c r="D115" s="546"/>
      <c r="E115" s="497">
        <f t="shared" si="24"/>
        <v>0</v>
      </c>
      <c r="F115" s="546"/>
      <c r="G115" s="497">
        <f t="shared" si="25"/>
        <v>0</v>
      </c>
      <c r="H115" s="546"/>
      <c r="I115" s="497">
        <f t="shared" si="26"/>
        <v>0</v>
      </c>
      <c r="J115" s="546"/>
      <c r="K115" s="497">
        <f t="shared" si="27"/>
        <v>0</v>
      </c>
    </row>
    <row r="116" spans="1:11" ht="15.75">
      <c r="A116" s="495" t="s">
        <v>192</v>
      </c>
      <c r="B116" s="538" t="s">
        <v>378</v>
      </c>
      <c r="C116" s="546"/>
      <c r="D116" s="546"/>
      <c r="E116" s="497">
        <f t="shared" si="24"/>
        <v>0</v>
      </c>
      <c r="F116" s="546"/>
      <c r="G116" s="497">
        <f t="shared" si="25"/>
        <v>0</v>
      </c>
      <c r="H116" s="546"/>
      <c r="I116" s="497">
        <f t="shared" si="26"/>
        <v>0</v>
      </c>
      <c r="J116" s="546"/>
      <c r="K116" s="497">
        <f t="shared" si="27"/>
        <v>0</v>
      </c>
    </row>
    <row r="117" spans="1:11" ht="12" customHeight="1">
      <c r="A117" s="495" t="s">
        <v>193</v>
      </c>
      <c r="B117" s="538" t="s">
        <v>394</v>
      </c>
      <c r="C117" s="546"/>
      <c r="D117" s="546"/>
      <c r="E117" s="497">
        <f t="shared" si="24"/>
        <v>0</v>
      </c>
      <c r="F117" s="546"/>
      <c r="G117" s="497">
        <f t="shared" si="25"/>
        <v>0</v>
      </c>
      <c r="H117" s="546"/>
      <c r="I117" s="497">
        <f t="shared" si="26"/>
        <v>0</v>
      </c>
      <c r="J117" s="546"/>
      <c r="K117" s="497">
        <f t="shared" si="27"/>
        <v>0</v>
      </c>
    </row>
    <row r="118" spans="1:11" ht="12" customHeight="1">
      <c r="A118" s="495" t="s">
        <v>194</v>
      </c>
      <c r="B118" s="538" t="s">
        <v>393</v>
      </c>
      <c r="C118" s="546"/>
      <c r="D118" s="546"/>
      <c r="E118" s="497">
        <f t="shared" si="24"/>
        <v>0</v>
      </c>
      <c r="F118" s="546"/>
      <c r="G118" s="497">
        <f t="shared" si="25"/>
        <v>0</v>
      </c>
      <c r="H118" s="546"/>
      <c r="I118" s="497">
        <f t="shared" si="26"/>
        <v>0</v>
      </c>
      <c r="J118" s="546"/>
      <c r="K118" s="497">
        <f t="shared" si="27"/>
        <v>0</v>
      </c>
    </row>
    <row r="119" spans="1:11" ht="12" customHeight="1">
      <c r="A119" s="495" t="s">
        <v>386</v>
      </c>
      <c r="B119" s="538" t="s">
        <v>381</v>
      </c>
      <c r="C119" s="546"/>
      <c r="D119" s="546"/>
      <c r="E119" s="497">
        <f t="shared" si="24"/>
        <v>0</v>
      </c>
      <c r="F119" s="546"/>
      <c r="G119" s="497">
        <f t="shared" si="25"/>
        <v>0</v>
      </c>
      <c r="H119" s="546"/>
      <c r="I119" s="497">
        <f t="shared" si="26"/>
        <v>0</v>
      </c>
      <c r="J119" s="546"/>
      <c r="K119" s="497">
        <f t="shared" si="27"/>
        <v>0</v>
      </c>
    </row>
    <row r="120" spans="1:11" ht="12" customHeight="1">
      <c r="A120" s="495" t="s">
        <v>387</v>
      </c>
      <c r="B120" s="538" t="s">
        <v>392</v>
      </c>
      <c r="C120" s="546"/>
      <c r="D120" s="546"/>
      <c r="E120" s="497">
        <f t="shared" si="24"/>
        <v>0</v>
      </c>
      <c r="F120" s="546"/>
      <c r="G120" s="497">
        <f t="shared" si="25"/>
        <v>0</v>
      </c>
      <c r="H120" s="546"/>
      <c r="I120" s="497">
        <f t="shared" si="26"/>
        <v>0</v>
      </c>
      <c r="J120" s="546"/>
      <c r="K120" s="497">
        <f t="shared" si="27"/>
        <v>0</v>
      </c>
    </row>
    <row r="121" spans="1:11" ht="16.5" thickBot="1">
      <c r="A121" s="539" t="s">
        <v>388</v>
      </c>
      <c r="B121" s="538" t="s">
        <v>391</v>
      </c>
      <c r="C121" s="550"/>
      <c r="D121" s="550">
        <v>1400000</v>
      </c>
      <c r="E121" s="497">
        <f t="shared" si="24"/>
        <v>1400000</v>
      </c>
      <c r="F121" s="550"/>
      <c r="G121" s="497">
        <f t="shared" si="25"/>
        <v>1400000</v>
      </c>
      <c r="H121" s="550"/>
      <c r="I121" s="497">
        <f t="shared" si="26"/>
        <v>1400000</v>
      </c>
      <c r="J121" s="550"/>
      <c r="K121" s="497">
        <f t="shared" si="27"/>
        <v>1400000</v>
      </c>
    </row>
    <row r="122" spans="1:11" ht="12" customHeight="1" thickBot="1">
      <c r="A122" s="491" t="s">
        <v>22</v>
      </c>
      <c r="B122" s="551" t="s">
        <v>396</v>
      </c>
      <c r="C122" s="493">
        <f aca="true" t="shared" si="28" ref="C122:I122">+C123+C124</f>
        <v>0</v>
      </c>
      <c r="D122" s="493">
        <f t="shared" si="28"/>
        <v>0</v>
      </c>
      <c r="E122" s="493">
        <f t="shared" si="28"/>
        <v>0</v>
      </c>
      <c r="F122" s="493">
        <f t="shared" si="28"/>
        <v>0</v>
      </c>
      <c r="G122" s="493">
        <f t="shared" si="28"/>
        <v>0</v>
      </c>
      <c r="H122" s="493">
        <f t="shared" si="28"/>
        <v>0</v>
      </c>
      <c r="I122" s="493">
        <f t="shared" si="28"/>
        <v>0</v>
      </c>
      <c r="J122" s="493">
        <f>+J123+J124</f>
        <v>0</v>
      </c>
      <c r="K122" s="493">
        <f>+K123+K124</f>
        <v>0</v>
      </c>
    </row>
    <row r="123" spans="1:11" ht="12" customHeight="1">
      <c r="A123" s="495" t="s">
        <v>96</v>
      </c>
      <c r="B123" s="552" t="s">
        <v>63</v>
      </c>
      <c r="C123" s="497"/>
      <c r="D123" s="497"/>
      <c r="E123" s="497">
        <f>C123+D123</f>
        <v>0</v>
      </c>
      <c r="F123" s="497"/>
      <c r="G123" s="497">
        <f>E123+F123</f>
        <v>0</v>
      </c>
      <c r="H123" s="497"/>
      <c r="I123" s="497">
        <f>G123+H123</f>
        <v>0</v>
      </c>
      <c r="J123" s="497"/>
      <c r="K123" s="497">
        <f>I123+J123</f>
        <v>0</v>
      </c>
    </row>
    <row r="124" spans="1:11" ht="12" customHeight="1" thickBot="1">
      <c r="A124" s="501" t="s">
        <v>97</v>
      </c>
      <c r="B124" s="545" t="s">
        <v>64</v>
      </c>
      <c r="C124" s="504"/>
      <c r="D124" s="504"/>
      <c r="E124" s="504"/>
      <c r="F124" s="504"/>
      <c r="G124" s="504"/>
      <c r="H124" s="504"/>
      <c r="I124" s="504"/>
      <c r="J124" s="504"/>
      <c r="K124" s="504"/>
    </row>
    <row r="125" spans="1:11" ht="12" customHeight="1" thickBot="1">
      <c r="A125" s="491" t="s">
        <v>23</v>
      </c>
      <c r="B125" s="551" t="s">
        <v>397</v>
      </c>
      <c r="C125" s="493">
        <f aca="true" t="shared" si="29" ref="C125:I125">+C92+C108+C122</f>
        <v>0</v>
      </c>
      <c r="D125" s="493">
        <f t="shared" si="29"/>
        <v>11861300</v>
      </c>
      <c r="E125" s="493">
        <f t="shared" si="29"/>
        <v>11861300</v>
      </c>
      <c r="F125" s="493">
        <f t="shared" si="29"/>
        <v>870000</v>
      </c>
      <c r="G125" s="493">
        <f t="shared" si="29"/>
        <v>12731300</v>
      </c>
      <c r="H125" s="493">
        <f t="shared" si="29"/>
        <v>270000</v>
      </c>
      <c r="I125" s="493">
        <f t="shared" si="29"/>
        <v>13001300</v>
      </c>
      <c r="J125" s="493">
        <f>+J92+J108+J122</f>
        <v>270000</v>
      </c>
      <c r="K125" s="493">
        <f>+K92+K108+K122</f>
        <v>13271300</v>
      </c>
    </row>
    <row r="126" spans="1:11" ht="12" customHeight="1" thickBot="1">
      <c r="A126" s="491" t="s">
        <v>24</v>
      </c>
      <c r="B126" s="551" t="s">
        <v>398</v>
      </c>
      <c r="C126" s="493">
        <f aca="true" t="shared" si="30" ref="C126:I126">+C127+C128+C129</f>
        <v>0</v>
      </c>
      <c r="D126" s="493">
        <f t="shared" si="30"/>
        <v>0</v>
      </c>
      <c r="E126" s="493">
        <f t="shared" si="30"/>
        <v>0</v>
      </c>
      <c r="F126" s="493">
        <f t="shared" si="30"/>
        <v>0</v>
      </c>
      <c r="G126" s="493">
        <f t="shared" si="30"/>
        <v>0</v>
      </c>
      <c r="H126" s="493">
        <f t="shared" si="30"/>
        <v>0</v>
      </c>
      <c r="I126" s="493">
        <f t="shared" si="30"/>
        <v>0</v>
      </c>
      <c r="J126" s="493">
        <f>+J127+J128+J129</f>
        <v>0</v>
      </c>
      <c r="K126" s="493">
        <f>+K127+K128+K129</f>
        <v>0</v>
      </c>
    </row>
    <row r="127" spans="1:11" ht="12" customHeight="1">
      <c r="A127" s="495" t="s">
        <v>100</v>
      </c>
      <c r="B127" s="552" t="s">
        <v>399</v>
      </c>
      <c r="C127" s="546"/>
      <c r="D127" s="546"/>
      <c r="E127" s="546"/>
      <c r="F127" s="546"/>
      <c r="G127" s="546"/>
      <c r="H127" s="546"/>
      <c r="I127" s="546"/>
      <c r="J127" s="546"/>
      <c r="K127" s="546"/>
    </row>
    <row r="128" spans="1:11" ht="12" customHeight="1">
      <c r="A128" s="495" t="s">
        <v>101</v>
      </c>
      <c r="B128" s="552" t="s">
        <v>400</v>
      </c>
      <c r="C128" s="546"/>
      <c r="D128" s="546"/>
      <c r="E128" s="546"/>
      <c r="F128" s="546"/>
      <c r="G128" s="546"/>
      <c r="H128" s="546"/>
      <c r="I128" s="546"/>
      <c r="J128" s="546"/>
      <c r="K128" s="546"/>
    </row>
    <row r="129" spans="1:11" ht="12" customHeight="1" thickBot="1">
      <c r="A129" s="539" t="s">
        <v>102</v>
      </c>
      <c r="B129" s="553" t="s">
        <v>401</v>
      </c>
      <c r="C129" s="546"/>
      <c r="D129" s="546"/>
      <c r="E129" s="546"/>
      <c r="F129" s="546"/>
      <c r="G129" s="546"/>
      <c r="H129" s="546"/>
      <c r="I129" s="546"/>
      <c r="J129" s="546"/>
      <c r="K129" s="546"/>
    </row>
    <row r="130" spans="1:11" ht="12" customHeight="1" thickBot="1">
      <c r="A130" s="491" t="s">
        <v>25</v>
      </c>
      <c r="B130" s="551" t="s">
        <v>458</v>
      </c>
      <c r="C130" s="493">
        <f aca="true" t="shared" si="31" ref="C130:I130">+C131+C132+C133+C134</f>
        <v>0</v>
      </c>
      <c r="D130" s="493">
        <f t="shared" si="31"/>
        <v>0</v>
      </c>
      <c r="E130" s="493">
        <f t="shared" si="31"/>
        <v>0</v>
      </c>
      <c r="F130" s="493">
        <f t="shared" si="31"/>
        <v>0</v>
      </c>
      <c r="G130" s="493">
        <f t="shared" si="31"/>
        <v>0</v>
      </c>
      <c r="H130" s="493">
        <f t="shared" si="31"/>
        <v>0</v>
      </c>
      <c r="I130" s="493">
        <f t="shared" si="31"/>
        <v>0</v>
      </c>
      <c r="J130" s="493">
        <f>+J131+J132+J133+J134</f>
        <v>0</v>
      </c>
      <c r="K130" s="493">
        <f>+K131+K132+K133+K134</f>
        <v>0</v>
      </c>
    </row>
    <row r="131" spans="1:11" ht="12" customHeight="1">
      <c r="A131" s="495" t="s">
        <v>103</v>
      </c>
      <c r="B131" s="552" t="s">
        <v>402</v>
      </c>
      <c r="C131" s="546"/>
      <c r="D131" s="546"/>
      <c r="E131" s="546"/>
      <c r="F131" s="546"/>
      <c r="G131" s="546"/>
      <c r="H131" s="546"/>
      <c r="I131" s="546"/>
      <c r="J131" s="546"/>
      <c r="K131" s="546"/>
    </row>
    <row r="132" spans="1:11" ht="12" customHeight="1">
      <c r="A132" s="495" t="s">
        <v>104</v>
      </c>
      <c r="B132" s="552" t="s">
        <v>403</v>
      </c>
      <c r="C132" s="546"/>
      <c r="D132" s="546"/>
      <c r="E132" s="546"/>
      <c r="F132" s="546"/>
      <c r="G132" s="546"/>
      <c r="H132" s="546"/>
      <c r="I132" s="546"/>
      <c r="J132" s="546"/>
      <c r="K132" s="546"/>
    </row>
    <row r="133" spans="1:11" ht="12" customHeight="1">
      <c r="A133" s="495" t="s">
        <v>305</v>
      </c>
      <c r="B133" s="552" t="s">
        <v>404</v>
      </c>
      <c r="C133" s="546"/>
      <c r="D133" s="546"/>
      <c r="E133" s="546"/>
      <c r="F133" s="546"/>
      <c r="G133" s="546"/>
      <c r="H133" s="546"/>
      <c r="I133" s="546"/>
      <c r="J133" s="546"/>
      <c r="K133" s="546"/>
    </row>
    <row r="134" spans="1:11" ht="12" customHeight="1" thickBot="1">
      <c r="A134" s="539" t="s">
        <v>306</v>
      </c>
      <c r="B134" s="553" t="s">
        <v>405</v>
      </c>
      <c r="C134" s="546"/>
      <c r="D134" s="546"/>
      <c r="E134" s="546"/>
      <c r="F134" s="546"/>
      <c r="G134" s="546"/>
      <c r="H134" s="546"/>
      <c r="I134" s="546"/>
      <c r="J134" s="546"/>
      <c r="K134" s="546"/>
    </row>
    <row r="135" spans="1:11" ht="12" customHeight="1" thickBot="1">
      <c r="A135" s="491" t="s">
        <v>26</v>
      </c>
      <c r="B135" s="551" t="s">
        <v>406</v>
      </c>
      <c r="C135" s="505">
        <f aca="true" t="shared" si="32" ref="C135:I135">+C136+C137+C138+C139</f>
        <v>0</v>
      </c>
      <c r="D135" s="505">
        <f t="shared" si="32"/>
        <v>0</v>
      </c>
      <c r="E135" s="505">
        <f t="shared" si="32"/>
        <v>0</v>
      </c>
      <c r="F135" s="505">
        <f t="shared" si="32"/>
        <v>0</v>
      </c>
      <c r="G135" s="505">
        <f t="shared" si="32"/>
        <v>0</v>
      </c>
      <c r="H135" s="505">
        <f t="shared" si="32"/>
        <v>0</v>
      </c>
      <c r="I135" s="505">
        <f t="shared" si="32"/>
        <v>0</v>
      </c>
      <c r="J135" s="505">
        <f>+J136+J137+J138+J139</f>
        <v>0</v>
      </c>
      <c r="K135" s="505">
        <f>+K136+K137+K138+K139</f>
        <v>0</v>
      </c>
    </row>
    <row r="136" spans="1:11" ht="12" customHeight="1">
      <c r="A136" s="495" t="s">
        <v>105</v>
      </c>
      <c r="B136" s="552" t="s">
        <v>407</v>
      </c>
      <c r="C136" s="546"/>
      <c r="D136" s="546"/>
      <c r="E136" s="546"/>
      <c r="F136" s="546"/>
      <c r="G136" s="546"/>
      <c r="H136" s="546"/>
      <c r="I136" s="546"/>
      <c r="J136" s="546"/>
      <c r="K136" s="546"/>
    </row>
    <row r="137" spans="1:11" ht="12" customHeight="1">
      <c r="A137" s="495" t="s">
        <v>106</v>
      </c>
      <c r="B137" s="552" t="s">
        <v>417</v>
      </c>
      <c r="C137" s="546"/>
      <c r="D137" s="546"/>
      <c r="E137" s="546">
        <f>C137+D137</f>
        <v>0</v>
      </c>
      <c r="F137" s="546"/>
      <c r="G137" s="546">
        <f>E137+F137</f>
        <v>0</v>
      </c>
      <c r="H137" s="546"/>
      <c r="I137" s="546">
        <f>G137+H137</f>
        <v>0</v>
      </c>
      <c r="J137" s="546"/>
      <c r="K137" s="546">
        <f>I137+J137</f>
        <v>0</v>
      </c>
    </row>
    <row r="138" spans="1:11" ht="12" customHeight="1">
      <c r="A138" s="495" t="s">
        <v>318</v>
      </c>
      <c r="B138" s="552" t="s">
        <v>408</v>
      </c>
      <c r="C138" s="546"/>
      <c r="D138" s="546"/>
      <c r="E138" s="546"/>
      <c r="F138" s="546"/>
      <c r="G138" s="546"/>
      <c r="H138" s="546"/>
      <c r="I138" s="546"/>
      <c r="J138" s="546"/>
      <c r="K138" s="546"/>
    </row>
    <row r="139" spans="1:11" ht="12" customHeight="1" thickBot="1">
      <c r="A139" s="539" t="s">
        <v>319</v>
      </c>
      <c r="B139" s="553" t="s">
        <v>409</v>
      </c>
      <c r="C139" s="546"/>
      <c r="D139" s="546"/>
      <c r="E139" s="546"/>
      <c r="F139" s="546"/>
      <c r="G139" s="546"/>
      <c r="H139" s="546"/>
      <c r="I139" s="546"/>
      <c r="J139" s="546"/>
      <c r="K139" s="546"/>
    </row>
    <row r="140" spans="1:11" ht="12" customHeight="1" thickBot="1">
      <c r="A140" s="491" t="s">
        <v>27</v>
      </c>
      <c r="B140" s="551" t="s">
        <v>410</v>
      </c>
      <c r="C140" s="554">
        <f aca="true" t="shared" si="33" ref="C140:I140">+C141+C142+C143+C144</f>
        <v>0</v>
      </c>
      <c r="D140" s="554">
        <f t="shared" si="33"/>
        <v>0</v>
      </c>
      <c r="E140" s="554">
        <f t="shared" si="33"/>
        <v>0</v>
      </c>
      <c r="F140" s="554">
        <f t="shared" si="33"/>
        <v>0</v>
      </c>
      <c r="G140" s="554">
        <f t="shared" si="33"/>
        <v>0</v>
      </c>
      <c r="H140" s="554">
        <f t="shared" si="33"/>
        <v>0</v>
      </c>
      <c r="I140" s="554">
        <f t="shared" si="33"/>
        <v>0</v>
      </c>
      <c r="J140" s="554">
        <f>+J141+J142+J143+J144</f>
        <v>0</v>
      </c>
      <c r="K140" s="554">
        <f>+K141+K142+K143+K144</f>
        <v>0</v>
      </c>
    </row>
    <row r="141" spans="1:11" ht="12" customHeight="1">
      <c r="A141" s="495" t="s">
        <v>185</v>
      </c>
      <c r="B141" s="552" t="s">
        <v>411</v>
      </c>
      <c r="C141" s="546"/>
      <c r="D141" s="546"/>
      <c r="E141" s="546"/>
      <c r="F141" s="546"/>
      <c r="G141" s="546"/>
      <c r="H141" s="546"/>
      <c r="I141" s="546"/>
      <c r="J141" s="546"/>
      <c r="K141" s="546"/>
    </row>
    <row r="142" spans="1:11" ht="12" customHeight="1">
      <c r="A142" s="495" t="s">
        <v>186</v>
      </c>
      <c r="B142" s="552" t="s">
        <v>412</v>
      </c>
      <c r="C142" s="546"/>
      <c r="D142" s="546"/>
      <c r="E142" s="546"/>
      <c r="F142" s="546"/>
      <c r="G142" s="546"/>
      <c r="H142" s="546"/>
      <c r="I142" s="546"/>
      <c r="J142" s="546"/>
      <c r="K142" s="546"/>
    </row>
    <row r="143" spans="1:11" ht="12" customHeight="1">
      <c r="A143" s="495" t="s">
        <v>235</v>
      </c>
      <c r="B143" s="552" t="s">
        <v>413</v>
      </c>
      <c r="C143" s="546"/>
      <c r="D143" s="546"/>
      <c r="E143" s="546"/>
      <c r="F143" s="546"/>
      <c r="G143" s="546"/>
      <c r="H143" s="546"/>
      <c r="I143" s="546"/>
      <c r="J143" s="546"/>
      <c r="K143" s="546"/>
    </row>
    <row r="144" spans="1:11" ht="12" customHeight="1" thickBot="1">
      <c r="A144" s="495" t="s">
        <v>321</v>
      </c>
      <c r="B144" s="552" t="s">
        <v>414</v>
      </c>
      <c r="C144" s="546"/>
      <c r="D144" s="546"/>
      <c r="E144" s="546"/>
      <c r="F144" s="546"/>
      <c r="G144" s="546"/>
      <c r="H144" s="546"/>
      <c r="I144" s="546"/>
      <c r="J144" s="546"/>
      <c r="K144" s="546"/>
    </row>
    <row r="145" spans="1:15" ht="15" customHeight="1" thickBot="1">
      <c r="A145" s="491" t="s">
        <v>28</v>
      </c>
      <c r="B145" s="551" t="s">
        <v>415</v>
      </c>
      <c r="C145" s="555">
        <f aca="true" t="shared" si="34" ref="C145:I145">+C126+C130+C135+C140</f>
        <v>0</v>
      </c>
      <c r="D145" s="555">
        <f t="shared" si="34"/>
        <v>0</v>
      </c>
      <c r="E145" s="555">
        <f t="shared" si="34"/>
        <v>0</v>
      </c>
      <c r="F145" s="555">
        <f t="shared" si="34"/>
        <v>0</v>
      </c>
      <c r="G145" s="555">
        <f t="shared" si="34"/>
        <v>0</v>
      </c>
      <c r="H145" s="555">
        <f t="shared" si="34"/>
        <v>0</v>
      </c>
      <c r="I145" s="555">
        <f t="shared" si="34"/>
        <v>0</v>
      </c>
      <c r="J145" s="555">
        <f>+J126+J130+J135+J140</f>
        <v>0</v>
      </c>
      <c r="K145" s="555">
        <f>+K126+K130+K135+K140</f>
        <v>0</v>
      </c>
      <c r="L145" s="556"/>
      <c r="M145" s="557"/>
      <c r="N145" s="557"/>
      <c r="O145" s="557"/>
    </row>
    <row r="146" spans="1:11" s="494" customFormat="1" ht="12.75" customHeight="1" thickBot="1">
      <c r="A146" s="558" t="s">
        <v>29</v>
      </c>
      <c r="B146" s="559" t="s">
        <v>416</v>
      </c>
      <c r="C146" s="555">
        <f aca="true" t="shared" si="35" ref="C146:I146">+C125+C145</f>
        <v>0</v>
      </c>
      <c r="D146" s="555">
        <f t="shared" si="35"/>
        <v>11861300</v>
      </c>
      <c r="E146" s="555">
        <f t="shared" si="35"/>
        <v>11861300</v>
      </c>
      <c r="F146" s="555">
        <f t="shared" si="35"/>
        <v>870000</v>
      </c>
      <c r="G146" s="555">
        <f t="shared" si="35"/>
        <v>12731300</v>
      </c>
      <c r="H146" s="555">
        <f t="shared" si="35"/>
        <v>270000</v>
      </c>
      <c r="I146" s="555">
        <f t="shared" si="35"/>
        <v>13001300</v>
      </c>
      <c r="J146" s="555">
        <f>+J125+J145</f>
        <v>270000</v>
      </c>
      <c r="K146" s="555">
        <f>+K125+K145</f>
        <v>13271300</v>
      </c>
    </row>
    <row r="147" ht="7.5" customHeight="1"/>
    <row r="148" spans="1:11" ht="15.75">
      <c r="A148" s="732" t="s">
        <v>418</v>
      </c>
      <c r="B148" s="732"/>
      <c r="C148" s="732"/>
      <c r="D148" s="482"/>
      <c r="E148" s="482"/>
      <c r="F148" s="482"/>
      <c r="G148" s="482"/>
      <c r="H148" s="482"/>
      <c r="I148" s="482"/>
      <c r="J148" s="482"/>
      <c r="K148" s="482"/>
    </row>
    <row r="149" spans="1:11" ht="15" customHeight="1" thickBot="1">
      <c r="A149" s="730" t="s">
        <v>158</v>
      </c>
      <c r="B149" s="730"/>
      <c r="C149" s="483"/>
      <c r="D149" s="483"/>
      <c r="E149" s="483"/>
      <c r="F149" s="483"/>
      <c r="G149" s="483"/>
      <c r="H149" s="483"/>
      <c r="I149" s="483"/>
      <c r="J149" s="483"/>
      <c r="K149" s="483" t="s">
        <v>535</v>
      </c>
    </row>
    <row r="150" spans="1:11" ht="21.75" thickBot="1">
      <c r="A150" s="491">
        <v>1</v>
      </c>
      <c r="B150" s="544" t="s">
        <v>419</v>
      </c>
      <c r="C150" s="493">
        <f aca="true" t="shared" si="36" ref="C150:I150">+C62-C125</f>
        <v>0</v>
      </c>
      <c r="D150" s="493">
        <f t="shared" si="36"/>
        <v>-9361300</v>
      </c>
      <c r="E150" s="493">
        <f t="shared" si="36"/>
        <v>-9361300</v>
      </c>
      <c r="F150" s="493">
        <f t="shared" si="36"/>
        <v>-60000</v>
      </c>
      <c r="G150" s="493">
        <f t="shared" si="36"/>
        <v>-9421300</v>
      </c>
      <c r="H150" s="493">
        <f t="shared" si="36"/>
        <v>0</v>
      </c>
      <c r="I150" s="493">
        <f t="shared" si="36"/>
        <v>-9421300</v>
      </c>
      <c r="J150" s="493">
        <f>+J62-J125</f>
        <v>0</v>
      </c>
      <c r="K150" s="493">
        <f>+K62-K125</f>
        <v>-9421300</v>
      </c>
    </row>
    <row r="151" spans="1:11" ht="27.75" customHeight="1" thickBot="1">
      <c r="A151" s="491" t="s">
        <v>21</v>
      </c>
      <c r="B151" s="544" t="s">
        <v>420</v>
      </c>
      <c r="C151" s="493">
        <f aca="true" t="shared" si="37" ref="C151:I151">+C85-C145</f>
        <v>0</v>
      </c>
      <c r="D151" s="493">
        <f t="shared" si="37"/>
        <v>9361300</v>
      </c>
      <c r="E151" s="493">
        <f t="shared" si="37"/>
        <v>9361300</v>
      </c>
      <c r="F151" s="493">
        <f t="shared" si="37"/>
        <v>60000</v>
      </c>
      <c r="G151" s="493">
        <f t="shared" si="37"/>
        <v>9421300</v>
      </c>
      <c r="H151" s="493">
        <f t="shared" si="37"/>
        <v>0</v>
      </c>
      <c r="I151" s="493">
        <f t="shared" si="37"/>
        <v>9421300</v>
      </c>
      <c r="J151" s="493">
        <f>+J85-J145</f>
        <v>0</v>
      </c>
      <c r="K151" s="493">
        <f>+K85-K145</f>
        <v>9421300</v>
      </c>
    </row>
  </sheetData>
  <sheetProtection/>
  <mergeCells count="6">
    <mergeCell ref="A3:K3"/>
    <mergeCell ref="A4:B4"/>
    <mergeCell ref="A88:K88"/>
    <mergeCell ref="A89:B89"/>
    <mergeCell ref="A148:C148"/>
    <mergeCell ref="A149:B14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2" r:id="rId1"/>
  <headerFooter alignWithMargins="0">
    <oddHeader xml:space="preserve">&amp;C&amp;"Times New Roman CE,Félkövér"&amp;12
Tengelic Község Önkormányzat
2019. ÉVI KÖLTSÉGVETÉS
ÖNKÉNT VÁLLALT FELADATAINAK MÉRLEGE
&amp;R&amp;"Times New Roman CE,Félkövér dőlt"&amp;11 </oddHeader>
  </headerFooter>
  <rowBreaks count="1" manualBreakCount="1">
    <brk id="86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">
      <selection activeCell="G115" sqref="G115"/>
    </sheetView>
  </sheetViews>
  <sheetFormatPr defaultColWidth="9.00390625" defaultRowHeight="12.75"/>
  <cols>
    <col min="1" max="1" width="9.50390625" style="333" customWidth="1"/>
    <col min="2" max="2" width="91.625" style="333" customWidth="1"/>
    <col min="3" max="3" width="21.625" style="334" customWidth="1"/>
    <col min="4" max="4" width="9.00390625" style="363" customWidth="1"/>
    <col min="5" max="16384" width="9.375" style="363" customWidth="1"/>
  </cols>
  <sheetData>
    <row r="1" spans="1:3" ht="15.75" customHeight="1">
      <c r="A1" s="735" t="s">
        <v>17</v>
      </c>
      <c r="B1" s="735"/>
      <c r="C1" s="735"/>
    </row>
    <row r="2" spans="1:3" ht="15.75" customHeight="1" thickBot="1">
      <c r="A2" s="734" t="s">
        <v>156</v>
      </c>
      <c r="B2" s="734"/>
      <c r="C2" s="296" t="s">
        <v>535</v>
      </c>
    </row>
    <row r="3" spans="1:3" ht="37.5" customHeight="1" thickBot="1">
      <c r="A3" s="23" t="s">
        <v>76</v>
      </c>
      <c r="B3" s="24" t="s">
        <v>19</v>
      </c>
      <c r="C3" s="37" t="s">
        <v>540</v>
      </c>
    </row>
    <row r="4" spans="1:3" s="364" customFormat="1" ht="12" customHeight="1" thickBot="1">
      <c r="A4" s="358">
        <v>1</v>
      </c>
      <c r="B4" s="359">
        <v>2</v>
      </c>
      <c r="C4" s="360">
        <v>3</v>
      </c>
    </row>
    <row r="5" spans="1:3" s="365" customFormat="1" ht="12" customHeight="1" thickBot="1">
      <c r="A5" s="20" t="s">
        <v>20</v>
      </c>
      <c r="B5" s="21" t="s">
        <v>261</v>
      </c>
      <c r="C5" s="286">
        <f>+C6+C7+C8+C9+C10+C11</f>
        <v>0</v>
      </c>
    </row>
    <row r="6" spans="1:3" s="365" customFormat="1" ht="12" customHeight="1">
      <c r="A6" s="15" t="s">
        <v>107</v>
      </c>
      <c r="B6" s="366" t="s">
        <v>262</v>
      </c>
      <c r="C6" s="289"/>
    </row>
    <row r="7" spans="1:3" s="365" customFormat="1" ht="12" customHeight="1">
      <c r="A7" s="14" t="s">
        <v>108</v>
      </c>
      <c r="B7" s="367" t="s">
        <v>263</v>
      </c>
      <c r="C7" s="288"/>
    </row>
    <row r="8" spans="1:3" s="365" customFormat="1" ht="12" customHeight="1">
      <c r="A8" s="14" t="s">
        <v>109</v>
      </c>
      <c r="B8" s="367" t="s">
        <v>264</v>
      </c>
      <c r="C8" s="288"/>
    </row>
    <row r="9" spans="1:3" s="365" customFormat="1" ht="12" customHeight="1">
      <c r="A9" s="14" t="s">
        <v>110</v>
      </c>
      <c r="B9" s="367" t="s">
        <v>265</v>
      </c>
      <c r="C9" s="288"/>
    </row>
    <row r="10" spans="1:3" s="365" customFormat="1" ht="12" customHeight="1">
      <c r="A10" s="14" t="s">
        <v>152</v>
      </c>
      <c r="B10" s="367" t="s">
        <v>266</v>
      </c>
      <c r="C10" s="288"/>
    </row>
    <row r="11" spans="1:3" s="365" customFormat="1" ht="12" customHeight="1" thickBot="1">
      <c r="A11" s="16" t="s">
        <v>111</v>
      </c>
      <c r="B11" s="368" t="s">
        <v>267</v>
      </c>
      <c r="C11" s="288"/>
    </row>
    <row r="12" spans="1:3" s="365" customFormat="1" ht="12" customHeight="1" thickBot="1">
      <c r="A12" s="20" t="s">
        <v>21</v>
      </c>
      <c r="B12" s="281" t="s">
        <v>268</v>
      </c>
      <c r="C12" s="286">
        <f>+C13+C14+C15+C16+C17</f>
        <v>0</v>
      </c>
    </row>
    <row r="13" spans="1:3" s="365" customFormat="1" ht="12" customHeight="1">
      <c r="A13" s="15" t="s">
        <v>113</v>
      </c>
      <c r="B13" s="366" t="s">
        <v>269</v>
      </c>
      <c r="C13" s="289"/>
    </row>
    <row r="14" spans="1:3" s="365" customFormat="1" ht="12" customHeight="1">
      <c r="A14" s="14" t="s">
        <v>114</v>
      </c>
      <c r="B14" s="367" t="s">
        <v>270</v>
      </c>
      <c r="C14" s="288"/>
    </row>
    <row r="15" spans="1:3" s="365" customFormat="1" ht="12" customHeight="1">
      <c r="A15" s="14" t="s">
        <v>115</v>
      </c>
      <c r="B15" s="367" t="s">
        <v>493</v>
      </c>
      <c r="C15" s="288"/>
    </row>
    <row r="16" spans="1:3" s="365" customFormat="1" ht="12" customHeight="1">
      <c r="A16" s="14" t="s">
        <v>116</v>
      </c>
      <c r="B16" s="367" t="s">
        <v>494</v>
      </c>
      <c r="C16" s="288"/>
    </row>
    <row r="17" spans="1:3" s="365" customFormat="1" ht="12" customHeight="1">
      <c r="A17" s="14" t="s">
        <v>117</v>
      </c>
      <c r="B17" s="367" t="s">
        <v>271</v>
      </c>
      <c r="C17" s="288"/>
    </row>
    <row r="18" spans="1:3" s="365" customFormat="1" ht="12" customHeight="1" thickBot="1">
      <c r="A18" s="16" t="s">
        <v>126</v>
      </c>
      <c r="B18" s="368" t="s">
        <v>272</v>
      </c>
      <c r="C18" s="290"/>
    </row>
    <row r="19" spans="1:3" s="365" customFormat="1" ht="12" customHeight="1" thickBot="1">
      <c r="A19" s="20" t="s">
        <v>22</v>
      </c>
      <c r="B19" s="21" t="s">
        <v>273</v>
      </c>
      <c r="C19" s="286">
        <f>+C20+C21+C22+C23+C24</f>
        <v>0</v>
      </c>
    </row>
    <row r="20" spans="1:3" s="365" customFormat="1" ht="12" customHeight="1">
      <c r="A20" s="15" t="s">
        <v>96</v>
      </c>
      <c r="B20" s="366" t="s">
        <v>274</v>
      </c>
      <c r="C20" s="289"/>
    </row>
    <row r="21" spans="1:3" s="365" customFormat="1" ht="12" customHeight="1">
      <c r="A21" s="14" t="s">
        <v>97</v>
      </c>
      <c r="B21" s="367" t="s">
        <v>275</v>
      </c>
      <c r="C21" s="288"/>
    </row>
    <row r="22" spans="1:3" s="365" customFormat="1" ht="12" customHeight="1">
      <c r="A22" s="14" t="s">
        <v>98</v>
      </c>
      <c r="B22" s="367" t="s">
        <v>495</v>
      </c>
      <c r="C22" s="288"/>
    </row>
    <row r="23" spans="1:3" s="365" customFormat="1" ht="12" customHeight="1">
      <c r="A23" s="14" t="s">
        <v>99</v>
      </c>
      <c r="B23" s="367" t="s">
        <v>496</v>
      </c>
      <c r="C23" s="288"/>
    </row>
    <row r="24" spans="1:3" s="365" customFormat="1" ht="12" customHeight="1">
      <c r="A24" s="14" t="s">
        <v>175</v>
      </c>
      <c r="B24" s="367" t="s">
        <v>276</v>
      </c>
      <c r="C24" s="288"/>
    </row>
    <row r="25" spans="1:3" s="365" customFormat="1" ht="12" customHeight="1" thickBot="1">
      <c r="A25" s="16" t="s">
        <v>176</v>
      </c>
      <c r="B25" s="368" t="s">
        <v>277</v>
      </c>
      <c r="C25" s="290"/>
    </row>
    <row r="26" spans="1:3" s="365" customFormat="1" ht="12" customHeight="1" thickBot="1">
      <c r="A26" s="20" t="s">
        <v>177</v>
      </c>
      <c r="B26" s="21" t="s">
        <v>278</v>
      </c>
      <c r="C26" s="292">
        <f>+C27+C30+C31+C32</f>
        <v>0</v>
      </c>
    </row>
    <row r="27" spans="1:3" s="365" customFormat="1" ht="12" customHeight="1">
      <c r="A27" s="15" t="s">
        <v>279</v>
      </c>
      <c r="B27" s="366" t="s">
        <v>285</v>
      </c>
      <c r="C27" s="361">
        <f>+C28+C29</f>
        <v>0</v>
      </c>
    </row>
    <row r="28" spans="1:3" s="365" customFormat="1" ht="12" customHeight="1">
      <c r="A28" s="14" t="s">
        <v>280</v>
      </c>
      <c r="B28" s="367" t="s">
        <v>286</v>
      </c>
      <c r="C28" s="288"/>
    </row>
    <row r="29" spans="1:3" s="365" customFormat="1" ht="12" customHeight="1">
      <c r="A29" s="14" t="s">
        <v>281</v>
      </c>
      <c r="B29" s="367" t="s">
        <v>287</v>
      </c>
      <c r="C29" s="288"/>
    </row>
    <row r="30" spans="1:3" s="365" customFormat="1" ht="12" customHeight="1">
      <c r="A30" s="14" t="s">
        <v>282</v>
      </c>
      <c r="B30" s="367" t="s">
        <v>288</v>
      </c>
      <c r="C30" s="288"/>
    </row>
    <row r="31" spans="1:3" s="365" customFormat="1" ht="12" customHeight="1">
      <c r="A31" s="14" t="s">
        <v>283</v>
      </c>
      <c r="B31" s="367" t="s">
        <v>289</v>
      </c>
      <c r="C31" s="288"/>
    </row>
    <row r="32" spans="1:3" s="365" customFormat="1" ht="12" customHeight="1" thickBot="1">
      <c r="A32" s="16" t="s">
        <v>284</v>
      </c>
      <c r="B32" s="368" t="s">
        <v>290</v>
      </c>
      <c r="C32" s="290"/>
    </row>
    <row r="33" spans="1:3" s="365" customFormat="1" ht="12" customHeight="1" thickBot="1">
      <c r="A33" s="20" t="s">
        <v>24</v>
      </c>
      <c r="B33" s="21" t="s">
        <v>291</v>
      </c>
      <c r="C33" s="286">
        <f>SUM(C34:C43)</f>
        <v>0</v>
      </c>
    </row>
    <row r="34" spans="1:3" s="365" customFormat="1" ht="12" customHeight="1">
      <c r="A34" s="15" t="s">
        <v>100</v>
      </c>
      <c r="B34" s="366" t="s">
        <v>294</v>
      </c>
      <c r="C34" s="289"/>
    </row>
    <row r="35" spans="1:3" s="365" customFormat="1" ht="12" customHeight="1">
      <c r="A35" s="14" t="s">
        <v>101</v>
      </c>
      <c r="B35" s="367" t="s">
        <v>295</v>
      </c>
      <c r="C35" s="288"/>
    </row>
    <row r="36" spans="1:3" s="365" customFormat="1" ht="12" customHeight="1">
      <c r="A36" s="14" t="s">
        <v>102</v>
      </c>
      <c r="B36" s="367" t="s">
        <v>296</v>
      </c>
      <c r="C36" s="288"/>
    </row>
    <row r="37" spans="1:3" s="365" customFormat="1" ht="12" customHeight="1">
      <c r="A37" s="14" t="s">
        <v>179</v>
      </c>
      <c r="B37" s="367" t="s">
        <v>297</v>
      </c>
      <c r="C37" s="288"/>
    </row>
    <row r="38" spans="1:3" s="365" customFormat="1" ht="12" customHeight="1">
      <c r="A38" s="14" t="s">
        <v>180</v>
      </c>
      <c r="B38" s="367" t="s">
        <v>298</v>
      </c>
      <c r="C38" s="288"/>
    </row>
    <row r="39" spans="1:3" s="365" customFormat="1" ht="12" customHeight="1">
      <c r="A39" s="14" t="s">
        <v>181</v>
      </c>
      <c r="B39" s="367" t="s">
        <v>299</v>
      </c>
      <c r="C39" s="288"/>
    </row>
    <row r="40" spans="1:3" s="365" customFormat="1" ht="12" customHeight="1">
      <c r="A40" s="14" t="s">
        <v>182</v>
      </c>
      <c r="B40" s="367" t="s">
        <v>300</v>
      </c>
      <c r="C40" s="288"/>
    </row>
    <row r="41" spans="1:3" s="365" customFormat="1" ht="12" customHeight="1">
      <c r="A41" s="14" t="s">
        <v>183</v>
      </c>
      <c r="B41" s="367" t="s">
        <v>301</v>
      </c>
      <c r="C41" s="288"/>
    </row>
    <row r="42" spans="1:3" s="365" customFormat="1" ht="12" customHeight="1">
      <c r="A42" s="14" t="s">
        <v>292</v>
      </c>
      <c r="B42" s="367" t="s">
        <v>302</v>
      </c>
      <c r="C42" s="291"/>
    </row>
    <row r="43" spans="1:3" s="365" customFormat="1" ht="12" customHeight="1" thickBot="1">
      <c r="A43" s="16" t="s">
        <v>293</v>
      </c>
      <c r="B43" s="368" t="s">
        <v>303</v>
      </c>
      <c r="C43" s="352"/>
    </row>
    <row r="44" spans="1:3" s="365" customFormat="1" ht="12" customHeight="1" thickBot="1">
      <c r="A44" s="20" t="s">
        <v>25</v>
      </c>
      <c r="B44" s="21" t="s">
        <v>304</v>
      </c>
      <c r="C44" s="286">
        <f>SUM(C45:C49)</f>
        <v>0</v>
      </c>
    </row>
    <row r="45" spans="1:3" s="365" customFormat="1" ht="12" customHeight="1">
      <c r="A45" s="15" t="s">
        <v>103</v>
      </c>
      <c r="B45" s="366" t="s">
        <v>308</v>
      </c>
      <c r="C45" s="412"/>
    </row>
    <row r="46" spans="1:3" s="365" customFormat="1" ht="12" customHeight="1">
      <c r="A46" s="14" t="s">
        <v>104</v>
      </c>
      <c r="B46" s="367" t="s">
        <v>309</v>
      </c>
      <c r="C46" s="291"/>
    </row>
    <row r="47" spans="1:3" s="365" customFormat="1" ht="12" customHeight="1">
      <c r="A47" s="14" t="s">
        <v>305</v>
      </c>
      <c r="B47" s="367" t="s">
        <v>310</v>
      </c>
      <c r="C47" s="291"/>
    </row>
    <row r="48" spans="1:3" s="365" customFormat="1" ht="12" customHeight="1">
      <c r="A48" s="14" t="s">
        <v>306</v>
      </c>
      <c r="B48" s="367" t="s">
        <v>311</v>
      </c>
      <c r="C48" s="291"/>
    </row>
    <row r="49" spans="1:3" s="365" customFormat="1" ht="12" customHeight="1" thickBot="1">
      <c r="A49" s="16" t="s">
        <v>307</v>
      </c>
      <c r="B49" s="368" t="s">
        <v>312</v>
      </c>
      <c r="C49" s="352"/>
    </row>
    <row r="50" spans="1:3" s="365" customFormat="1" ht="12" customHeight="1" thickBot="1">
      <c r="A50" s="20" t="s">
        <v>184</v>
      </c>
      <c r="B50" s="21" t="s">
        <v>313</v>
      </c>
      <c r="C50" s="286">
        <f>SUM(C51:C53)</f>
        <v>0</v>
      </c>
    </row>
    <row r="51" spans="1:3" s="365" customFormat="1" ht="12" customHeight="1">
      <c r="A51" s="15" t="s">
        <v>105</v>
      </c>
      <c r="B51" s="366" t="s">
        <v>314</v>
      </c>
      <c r="C51" s="289"/>
    </row>
    <row r="52" spans="1:3" s="365" customFormat="1" ht="12" customHeight="1">
      <c r="A52" s="14" t="s">
        <v>106</v>
      </c>
      <c r="B52" s="367" t="s">
        <v>497</v>
      </c>
      <c r="C52" s="288"/>
    </row>
    <row r="53" spans="1:3" s="365" customFormat="1" ht="12" customHeight="1">
      <c r="A53" s="14" t="s">
        <v>318</v>
      </c>
      <c r="B53" s="367" t="s">
        <v>316</v>
      </c>
      <c r="C53" s="288"/>
    </row>
    <row r="54" spans="1:3" s="365" customFormat="1" ht="12" customHeight="1" thickBot="1">
      <c r="A54" s="16" t="s">
        <v>319</v>
      </c>
      <c r="B54" s="368" t="s">
        <v>317</v>
      </c>
      <c r="C54" s="290"/>
    </row>
    <row r="55" spans="1:3" s="365" customFormat="1" ht="12" customHeight="1" thickBot="1">
      <c r="A55" s="20" t="s">
        <v>27</v>
      </c>
      <c r="B55" s="281" t="s">
        <v>320</v>
      </c>
      <c r="C55" s="286">
        <f>SUM(C56:C58)</f>
        <v>0</v>
      </c>
    </row>
    <row r="56" spans="1:3" s="365" customFormat="1" ht="12" customHeight="1">
      <c r="A56" s="15" t="s">
        <v>185</v>
      </c>
      <c r="B56" s="366" t="s">
        <v>322</v>
      </c>
      <c r="C56" s="291"/>
    </row>
    <row r="57" spans="1:3" s="365" customFormat="1" ht="12" customHeight="1">
      <c r="A57" s="14" t="s">
        <v>186</v>
      </c>
      <c r="B57" s="367" t="s">
        <v>498</v>
      </c>
      <c r="C57" s="291"/>
    </row>
    <row r="58" spans="1:3" s="365" customFormat="1" ht="12" customHeight="1">
      <c r="A58" s="14" t="s">
        <v>235</v>
      </c>
      <c r="B58" s="367" t="s">
        <v>323</v>
      </c>
      <c r="C58" s="291"/>
    </row>
    <row r="59" spans="1:3" s="365" customFormat="1" ht="12" customHeight="1" thickBot="1">
      <c r="A59" s="16" t="s">
        <v>321</v>
      </c>
      <c r="B59" s="368" t="s">
        <v>324</v>
      </c>
      <c r="C59" s="291"/>
    </row>
    <row r="60" spans="1:3" s="365" customFormat="1" ht="12" customHeight="1" thickBot="1">
      <c r="A60" s="20" t="s">
        <v>28</v>
      </c>
      <c r="B60" s="21" t="s">
        <v>325</v>
      </c>
      <c r="C60" s="292">
        <f>+C5+C12+C19+C26+C33+C44+C50+C55</f>
        <v>0</v>
      </c>
    </row>
    <row r="61" spans="1:3" s="365" customFormat="1" ht="12" customHeight="1" thickBot="1">
      <c r="A61" s="369" t="s">
        <v>326</v>
      </c>
      <c r="B61" s="281" t="s">
        <v>327</v>
      </c>
      <c r="C61" s="286">
        <f>SUM(C62:C64)</f>
        <v>0</v>
      </c>
    </row>
    <row r="62" spans="1:3" s="365" customFormat="1" ht="12" customHeight="1">
      <c r="A62" s="15" t="s">
        <v>360</v>
      </c>
      <c r="B62" s="366" t="s">
        <v>328</v>
      </c>
      <c r="C62" s="291"/>
    </row>
    <row r="63" spans="1:3" s="365" customFormat="1" ht="12" customHeight="1">
      <c r="A63" s="14" t="s">
        <v>369</v>
      </c>
      <c r="B63" s="367" t="s">
        <v>329</v>
      </c>
      <c r="C63" s="291"/>
    </row>
    <row r="64" spans="1:3" s="365" customFormat="1" ht="12" customHeight="1" thickBot="1">
      <c r="A64" s="16" t="s">
        <v>370</v>
      </c>
      <c r="B64" s="370" t="s">
        <v>330</v>
      </c>
      <c r="C64" s="291"/>
    </row>
    <row r="65" spans="1:3" s="365" customFormat="1" ht="12" customHeight="1" thickBot="1">
      <c r="A65" s="369" t="s">
        <v>331</v>
      </c>
      <c r="B65" s="281" t="s">
        <v>332</v>
      </c>
      <c r="C65" s="286">
        <f>SUM(C66:C69)</f>
        <v>0</v>
      </c>
    </row>
    <row r="66" spans="1:3" s="365" customFormat="1" ht="12" customHeight="1">
      <c r="A66" s="15" t="s">
        <v>153</v>
      </c>
      <c r="B66" s="366" t="s">
        <v>333</v>
      </c>
      <c r="C66" s="291"/>
    </row>
    <row r="67" spans="1:3" s="365" customFormat="1" ht="12" customHeight="1">
      <c r="A67" s="14" t="s">
        <v>154</v>
      </c>
      <c r="B67" s="367" t="s">
        <v>334</v>
      </c>
      <c r="C67" s="291"/>
    </row>
    <row r="68" spans="1:3" s="365" customFormat="1" ht="12" customHeight="1">
      <c r="A68" s="14" t="s">
        <v>361</v>
      </c>
      <c r="B68" s="367" t="s">
        <v>335</v>
      </c>
      <c r="C68" s="291"/>
    </row>
    <row r="69" spans="1:3" s="365" customFormat="1" ht="12" customHeight="1" thickBot="1">
      <c r="A69" s="16" t="s">
        <v>362</v>
      </c>
      <c r="B69" s="368" t="s">
        <v>336</v>
      </c>
      <c r="C69" s="291"/>
    </row>
    <row r="70" spans="1:3" s="365" customFormat="1" ht="12" customHeight="1" thickBot="1">
      <c r="A70" s="369" t="s">
        <v>337</v>
      </c>
      <c r="B70" s="281" t="s">
        <v>338</v>
      </c>
      <c r="C70" s="286">
        <f>SUM(C71:C72)</f>
        <v>0</v>
      </c>
    </row>
    <row r="71" spans="1:3" s="365" customFormat="1" ht="12" customHeight="1">
      <c r="A71" s="15" t="s">
        <v>363</v>
      </c>
      <c r="B71" s="366" t="s">
        <v>339</v>
      </c>
      <c r="C71" s="291"/>
    </row>
    <row r="72" spans="1:3" s="365" customFormat="1" ht="12" customHeight="1" thickBot="1">
      <c r="A72" s="16" t="s">
        <v>364</v>
      </c>
      <c r="B72" s="368" t="s">
        <v>340</v>
      </c>
      <c r="C72" s="291"/>
    </row>
    <row r="73" spans="1:3" s="365" customFormat="1" ht="12" customHeight="1" thickBot="1">
      <c r="A73" s="369" t="s">
        <v>341</v>
      </c>
      <c r="B73" s="281" t="s">
        <v>342</v>
      </c>
      <c r="C73" s="286">
        <f>SUM(C74:C76)</f>
        <v>0</v>
      </c>
    </row>
    <row r="74" spans="1:3" s="365" customFormat="1" ht="12" customHeight="1">
      <c r="A74" s="15" t="s">
        <v>365</v>
      </c>
      <c r="B74" s="366" t="s">
        <v>343</v>
      </c>
      <c r="C74" s="291"/>
    </row>
    <row r="75" spans="1:3" s="365" customFormat="1" ht="12" customHeight="1">
      <c r="A75" s="14" t="s">
        <v>366</v>
      </c>
      <c r="B75" s="367" t="s">
        <v>344</v>
      </c>
      <c r="C75" s="291"/>
    </row>
    <row r="76" spans="1:3" s="365" customFormat="1" ht="12" customHeight="1" thickBot="1">
      <c r="A76" s="16" t="s">
        <v>367</v>
      </c>
      <c r="B76" s="368" t="s">
        <v>345</v>
      </c>
      <c r="C76" s="291"/>
    </row>
    <row r="77" spans="1:3" s="365" customFormat="1" ht="12" customHeight="1" thickBot="1">
      <c r="A77" s="369" t="s">
        <v>346</v>
      </c>
      <c r="B77" s="281" t="s">
        <v>368</v>
      </c>
      <c r="C77" s="286">
        <f>SUM(C78:C81)</f>
        <v>0</v>
      </c>
    </row>
    <row r="78" spans="1:3" s="365" customFormat="1" ht="12" customHeight="1">
      <c r="A78" s="371" t="s">
        <v>347</v>
      </c>
      <c r="B78" s="366" t="s">
        <v>348</v>
      </c>
      <c r="C78" s="291"/>
    </row>
    <row r="79" spans="1:3" s="365" customFormat="1" ht="12" customHeight="1">
      <c r="A79" s="372" t="s">
        <v>349</v>
      </c>
      <c r="B79" s="367" t="s">
        <v>350</v>
      </c>
      <c r="C79" s="291"/>
    </row>
    <row r="80" spans="1:3" s="365" customFormat="1" ht="12" customHeight="1">
      <c r="A80" s="372" t="s">
        <v>351</v>
      </c>
      <c r="B80" s="367" t="s">
        <v>352</v>
      </c>
      <c r="C80" s="291"/>
    </row>
    <row r="81" spans="1:3" s="365" customFormat="1" ht="12" customHeight="1" thickBot="1">
      <c r="A81" s="373" t="s">
        <v>353</v>
      </c>
      <c r="B81" s="368" t="s">
        <v>354</v>
      </c>
      <c r="C81" s="291"/>
    </row>
    <row r="82" spans="1:3" s="365" customFormat="1" ht="13.5" customHeight="1" thickBot="1">
      <c r="A82" s="369" t="s">
        <v>355</v>
      </c>
      <c r="B82" s="281" t="s">
        <v>356</v>
      </c>
      <c r="C82" s="413"/>
    </row>
    <row r="83" spans="1:3" s="365" customFormat="1" ht="15.75" customHeight="1" thickBot="1">
      <c r="A83" s="369" t="s">
        <v>357</v>
      </c>
      <c r="B83" s="374" t="s">
        <v>358</v>
      </c>
      <c r="C83" s="292">
        <f>+C61+C65+C70+C73+C77+C82</f>
        <v>0</v>
      </c>
    </row>
    <row r="84" spans="1:3" s="365" customFormat="1" ht="16.5" customHeight="1" thickBot="1">
      <c r="A84" s="375" t="s">
        <v>371</v>
      </c>
      <c r="B84" s="376" t="s">
        <v>359</v>
      </c>
      <c r="C84" s="292">
        <f>+C60+C83</f>
        <v>0</v>
      </c>
    </row>
    <row r="85" spans="1:3" s="365" customFormat="1" ht="83.25" customHeight="1">
      <c r="A85" s="5"/>
      <c r="B85" s="6"/>
      <c r="C85" s="293"/>
    </row>
    <row r="86" spans="1:3" ht="16.5" customHeight="1">
      <c r="A86" s="735" t="s">
        <v>48</v>
      </c>
      <c r="B86" s="735"/>
      <c r="C86" s="735"/>
    </row>
    <row r="87" spans="1:3" s="377" customFormat="1" ht="16.5" customHeight="1" thickBot="1">
      <c r="A87" s="736" t="s">
        <v>157</v>
      </c>
      <c r="B87" s="736"/>
      <c r="C87" s="130" t="s">
        <v>535</v>
      </c>
    </row>
    <row r="88" spans="1:3" ht="37.5" customHeight="1" thickBot="1">
      <c r="A88" s="23" t="s">
        <v>76</v>
      </c>
      <c r="B88" s="24" t="s">
        <v>49</v>
      </c>
      <c r="C88" s="37" t="s">
        <v>540</v>
      </c>
    </row>
    <row r="89" spans="1:3" s="364" customFormat="1" ht="12" customHeight="1" thickBot="1">
      <c r="A89" s="32">
        <v>1</v>
      </c>
      <c r="B89" s="33">
        <v>2</v>
      </c>
      <c r="C89" s="34">
        <v>3</v>
      </c>
    </row>
    <row r="90" spans="1:3" ht="12" customHeight="1" thickBot="1">
      <c r="A90" s="22" t="s">
        <v>20</v>
      </c>
      <c r="B90" s="31" t="s">
        <v>374</v>
      </c>
      <c r="C90" s="285">
        <f>SUM(C91:C95)</f>
        <v>0</v>
      </c>
    </row>
    <row r="91" spans="1:3" ht="12" customHeight="1">
      <c r="A91" s="17" t="s">
        <v>107</v>
      </c>
      <c r="B91" s="10" t="s">
        <v>50</v>
      </c>
      <c r="C91" s="287"/>
    </row>
    <row r="92" spans="1:3" ht="12" customHeight="1">
      <c r="A92" s="14" t="s">
        <v>108</v>
      </c>
      <c r="B92" s="8" t="s">
        <v>187</v>
      </c>
      <c r="C92" s="288"/>
    </row>
    <row r="93" spans="1:3" ht="12" customHeight="1">
      <c r="A93" s="14" t="s">
        <v>109</v>
      </c>
      <c r="B93" s="8" t="s">
        <v>143</v>
      </c>
      <c r="C93" s="290"/>
    </row>
    <row r="94" spans="1:3" ht="12" customHeight="1">
      <c r="A94" s="14" t="s">
        <v>110</v>
      </c>
      <c r="B94" s="11" t="s">
        <v>188</v>
      </c>
      <c r="C94" s="290"/>
    </row>
    <row r="95" spans="1:3" ht="12" customHeight="1">
      <c r="A95" s="14" t="s">
        <v>121</v>
      </c>
      <c r="B95" s="19" t="s">
        <v>189</v>
      </c>
      <c r="C95" s="290"/>
    </row>
    <row r="96" spans="1:3" ht="12" customHeight="1">
      <c r="A96" s="14" t="s">
        <v>111</v>
      </c>
      <c r="B96" s="8" t="s">
        <v>375</v>
      </c>
      <c r="C96" s="290"/>
    </row>
    <row r="97" spans="1:3" ht="12" customHeight="1">
      <c r="A97" s="14" t="s">
        <v>112</v>
      </c>
      <c r="B97" s="133" t="s">
        <v>376</v>
      </c>
      <c r="C97" s="290"/>
    </row>
    <row r="98" spans="1:3" ht="12" customHeight="1">
      <c r="A98" s="14" t="s">
        <v>122</v>
      </c>
      <c r="B98" s="134" t="s">
        <v>377</v>
      </c>
      <c r="C98" s="290"/>
    </row>
    <row r="99" spans="1:3" ht="12" customHeight="1">
      <c r="A99" s="14" t="s">
        <v>123</v>
      </c>
      <c r="B99" s="134" t="s">
        <v>378</v>
      </c>
      <c r="C99" s="290"/>
    </row>
    <row r="100" spans="1:3" ht="12" customHeight="1">
      <c r="A100" s="14" t="s">
        <v>124</v>
      </c>
      <c r="B100" s="133" t="s">
        <v>379</v>
      </c>
      <c r="C100" s="290"/>
    </row>
    <row r="101" spans="1:3" ht="12" customHeight="1">
      <c r="A101" s="14" t="s">
        <v>125</v>
      </c>
      <c r="B101" s="133" t="s">
        <v>380</v>
      </c>
      <c r="C101" s="290"/>
    </row>
    <row r="102" spans="1:3" ht="12" customHeight="1">
      <c r="A102" s="14" t="s">
        <v>127</v>
      </c>
      <c r="B102" s="134" t="s">
        <v>381</v>
      </c>
      <c r="C102" s="290"/>
    </row>
    <row r="103" spans="1:3" ht="12" customHeight="1">
      <c r="A103" s="13" t="s">
        <v>190</v>
      </c>
      <c r="B103" s="135" t="s">
        <v>382</v>
      </c>
      <c r="C103" s="290"/>
    </row>
    <row r="104" spans="1:3" ht="12" customHeight="1">
      <c r="A104" s="14" t="s">
        <v>372</v>
      </c>
      <c r="B104" s="135" t="s">
        <v>383</v>
      </c>
      <c r="C104" s="290"/>
    </row>
    <row r="105" spans="1:3" ht="12" customHeight="1" thickBot="1">
      <c r="A105" s="18" t="s">
        <v>373</v>
      </c>
      <c r="B105" s="136" t="s">
        <v>384</v>
      </c>
      <c r="C105" s="294"/>
    </row>
    <row r="106" spans="1:3" ht="12" customHeight="1" thickBot="1">
      <c r="A106" s="20" t="s">
        <v>21</v>
      </c>
      <c r="B106" s="30" t="s">
        <v>385</v>
      </c>
      <c r="C106" s="286">
        <f>+C107+C109+C111</f>
        <v>0</v>
      </c>
    </row>
    <row r="107" spans="1:3" ht="12" customHeight="1">
      <c r="A107" s="15" t="s">
        <v>113</v>
      </c>
      <c r="B107" s="8" t="s">
        <v>234</v>
      </c>
      <c r="C107" s="289"/>
    </row>
    <row r="108" spans="1:3" ht="12" customHeight="1">
      <c r="A108" s="15" t="s">
        <v>114</v>
      </c>
      <c r="B108" s="12" t="s">
        <v>389</v>
      </c>
      <c r="C108" s="289"/>
    </row>
    <row r="109" spans="1:3" ht="12" customHeight="1">
      <c r="A109" s="15" t="s">
        <v>115</v>
      </c>
      <c r="B109" s="12" t="s">
        <v>191</v>
      </c>
      <c r="C109" s="288"/>
    </row>
    <row r="110" spans="1:3" ht="12" customHeight="1">
      <c r="A110" s="15" t="s">
        <v>116</v>
      </c>
      <c r="B110" s="12" t="s">
        <v>390</v>
      </c>
      <c r="C110" s="262"/>
    </row>
    <row r="111" spans="1:3" ht="12" customHeight="1">
      <c r="A111" s="15" t="s">
        <v>117</v>
      </c>
      <c r="B111" s="283" t="s">
        <v>236</v>
      </c>
      <c r="C111" s="262"/>
    </row>
    <row r="112" spans="1:3" ht="12" customHeight="1">
      <c r="A112" s="15" t="s">
        <v>126</v>
      </c>
      <c r="B112" s="282" t="s">
        <v>499</v>
      </c>
      <c r="C112" s="262"/>
    </row>
    <row r="113" spans="1:3" ht="12" customHeight="1">
      <c r="A113" s="15" t="s">
        <v>128</v>
      </c>
      <c r="B113" s="362" t="s">
        <v>395</v>
      </c>
      <c r="C113" s="262"/>
    </row>
    <row r="114" spans="1:3" ht="15.75">
      <c r="A114" s="15" t="s">
        <v>192</v>
      </c>
      <c r="B114" s="134" t="s">
        <v>378</v>
      </c>
      <c r="C114" s="262"/>
    </row>
    <row r="115" spans="1:3" ht="12" customHeight="1">
      <c r="A115" s="15" t="s">
        <v>193</v>
      </c>
      <c r="B115" s="134" t="s">
        <v>394</v>
      </c>
      <c r="C115" s="262"/>
    </row>
    <row r="116" spans="1:3" ht="12" customHeight="1">
      <c r="A116" s="15" t="s">
        <v>194</v>
      </c>
      <c r="B116" s="134" t="s">
        <v>393</v>
      </c>
      <c r="C116" s="262"/>
    </row>
    <row r="117" spans="1:3" ht="12" customHeight="1">
      <c r="A117" s="15" t="s">
        <v>386</v>
      </c>
      <c r="B117" s="134" t="s">
        <v>381</v>
      </c>
      <c r="C117" s="262"/>
    </row>
    <row r="118" spans="1:3" ht="12" customHeight="1">
      <c r="A118" s="15" t="s">
        <v>387</v>
      </c>
      <c r="B118" s="134" t="s">
        <v>392</v>
      </c>
      <c r="C118" s="262"/>
    </row>
    <row r="119" spans="1:3" ht="16.5" thickBot="1">
      <c r="A119" s="13" t="s">
        <v>388</v>
      </c>
      <c r="B119" s="134" t="s">
        <v>391</v>
      </c>
      <c r="C119" s="263"/>
    </row>
    <row r="120" spans="1:3" ht="12" customHeight="1" thickBot="1">
      <c r="A120" s="20" t="s">
        <v>22</v>
      </c>
      <c r="B120" s="119" t="s">
        <v>396</v>
      </c>
      <c r="C120" s="286">
        <f>+C121+C122</f>
        <v>0</v>
      </c>
    </row>
    <row r="121" spans="1:3" ht="12" customHeight="1">
      <c r="A121" s="15" t="s">
        <v>96</v>
      </c>
      <c r="B121" s="9" t="s">
        <v>63</v>
      </c>
      <c r="C121" s="289"/>
    </row>
    <row r="122" spans="1:3" ht="12" customHeight="1" thickBot="1">
      <c r="A122" s="16" t="s">
        <v>97</v>
      </c>
      <c r="B122" s="12" t="s">
        <v>64</v>
      </c>
      <c r="C122" s="290"/>
    </row>
    <row r="123" spans="1:3" ht="12" customHeight="1" thickBot="1">
      <c r="A123" s="20" t="s">
        <v>23</v>
      </c>
      <c r="B123" s="119" t="s">
        <v>397</v>
      </c>
      <c r="C123" s="286">
        <f>+C90+C106+C120</f>
        <v>0</v>
      </c>
    </row>
    <row r="124" spans="1:3" ht="12" customHeight="1" thickBot="1">
      <c r="A124" s="20" t="s">
        <v>24</v>
      </c>
      <c r="B124" s="119" t="s">
        <v>398</v>
      </c>
      <c r="C124" s="286">
        <f>+C125+C126+C127</f>
        <v>0</v>
      </c>
    </row>
    <row r="125" spans="1:3" ht="12" customHeight="1">
      <c r="A125" s="15" t="s">
        <v>100</v>
      </c>
      <c r="B125" s="9" t="s">
        <v>399</v>
      </c>
      <c r="C125" s="262"/>
    </row>
    <row r="126" spans="1:3" ht="12" customHeight="1">
      <c r="A126" s="15" t="s">
        <v>101</v>
      </c>
      <c r="B126" s="9" t="s">
        <v>400</v>
      </c>
      <c r="C126" s="262"/>
    </row>
    <row r="127" spans="1:3" ht="12" customHeight="1" thickBot="1">
      <c r="A127" s="13" t="s">
        <v>102</v>
      </c>
      <c r="B127" s="7" t="s">
        <v>401</v>
      </c>
      <c r="C127" s="262"/>
    </row>
    <row r="128" spans="1:3" ht="12" customHeight="1" thickBot="1">
      <c r="A128" s="20" t="s">
        <v>25</v>
      </c>
      <c r="B128" s="119" t="s">
        <v>458</v>
      </c>
      <c r="C128" s="286">
        <f>+C129+C130+C131+C132</f>
        <v>0</v>
      </c>
    </row>
    <row r="129" spans="1:3" ht="12" customHeight="1">
      <c r="A129" s="15" t="s">
        <v>103</v>
      </c>
      <c r="B129" s="9" t="s">
        <v>402</v>
      </c>
      <c r="C129" s="262"/>
    </row>
    <row r="130" spans="1:3" ht="12" customHeight="1">
      <c r="A130" s="15" t="s">
        <v>104</v>
      </c>
      <c r="B130" s="9" t="s">
        <v>403</v>
      </c>
      <c r="C130" s="262"/>
    </row>
    <row r="131" spans="1:3" ht="12" customHeight="1">
      <c r="A131" s="15" t="s">
        <v>305</v>
      </c>
      <c r="B131" s="9" t="s">
        <v>404</v>
      </c>
      <c r="C131" s="262"/>
    </row>
    <row r="132" spans="1:3" ht="12" customHeight="1" thickBot="1">
      <c r="A132" s="13" t="s">
        <v>306</v>
      </c>
      <c r="B132" s="7" t="s">
        <v>405</v>
      </c>
      <c r="C132" s="262"/>
    </row>
    <row r="133" spans="1:3" ht="12" customHeight="1" thickBot="1">
      <c r="A133" s="20" t="s">
        <v>26</v>
      </c>
      <c r="B133" s="119" t="s">
        <v>406</v>
      </c>
      <c r="C133" s="292">
        <f>+C134+C135+C136+C137</f>
        <v>0</v>
      </c>
    </row>
    <row r="134" spans="1:3" ht="12" customHeight="1">
      <c r="A134" s="15" t="s">
        <v>105</v>
      </c>
      <c r="B134" s="9" t="s">
        <v>407</v>
      </c>
      <c r="C134" s="262"/>
    </row>
    <row r="135" spans="1:3" ht="12" customHeight="1">
      <c r="A135" s="15" t="s">
        <v>106</v>
      </c>
      <c r="B135" s="9" t="s">
        <v>417</v>
      </c>
      <c r="C135" s="262"/>
    </row>
    <row r="136" spans="1:3" ht="12" customHeight="1">
      <c r="A136" s="15" t="s">
        <v>318</v>
      </c>
      <c r="B136" s="9" t="s">
        <v>408</v>
      </c>
      <c r="C136" s="262"/>
    </row>
    <row r="137" spans="1:3" ht="12" customHeight="1" thickBot="1">
      <c r="A137" s="13" t="s">
        <v>319</v>
      </c>
      <c r="B137" s="7" t="s">
        <v>409</v>
      </c>
      <c r="C137" s="262"/>
    </row>
    <row r="138" spans="1:3" ht="12" customHeight="1" thickBot="1">
      <c r="A138" s="20" t="s">
        <v>27</v>
      </c>
      <c r="B138" s="119" t="s">
        <v>410</v>
      </c>
      <c r="C138" s="295">
        <f>+C139+C140+C141+C142</f>
        <v>0</v>
      </c>
    </row>
    <row r="139" spans="1:3" ht="12" customHeight="1">
      <c r="A139" s="15" t="s">
        <v>185</v>
      </c>
      <c r="B139" s="9" t="s">
        <v>411</v>
      </c>
      <c r="C139" s="262"/>
    </row>
    <row r="140" spans="1:3" ht="12" customHeight="1">
      <c r="A140" s="15" t="s">
        <v>186</v>
      </c>
      <c r="B140" s="9" t="s">
        <v>412</v>
      </c>
      <c r="C140" s="262"/>
    </row>
    <row r="141" spans="1:3" ht="12" customHeight="1">
      <c r="A141" s="15" t="s">
        <v>235</v>
      </c>
      <c r="B141" s="9" t="s">
        <v>413</v>
      </c>
      <c r="C141" s="262"/>
    </row>
    <row r="142" spans="1:3" ht="12" customHeight="1" thickBot="1">
      <c r="A142" s="15" t="s">
        <v>321</v>
      </c>
      <c r="B142" s="9" t="s">
        <v>414</v>
      </c>
      <c r="C142" s="262"/>
    </row>
    <row r="143" spans="1:9" ht="15" customHeight="1" thickBot="1">
      <c r="A143" s="20" t="s">
        <v>28</v>
      </c>
      <c r="B143" s="119" t="s">
        <v>415</v>
      </c>
      <c r="C143" s="378">
        <f>+C124+C128+C133+C138</f>
        <v>0</v>
      </c>
      <c r="F143" s="379"/>
      <c r="G143" s="380"/>
      <c r="H143" s="380"/>
      <c r="I143" s="380"/>
    </row>
    <row r="144" spans="1:3" s="365" customFormat="1" ht="12.75" customHeight="1" thickBot="1">
      <c r="A144" s="284" t="s">
        <v>29</v>
      </c>
      <c r="B144" s="332" t="s">
        <v>416</v>
      </c>
      <c r="C144" s="378">
        <f>+C123+C143</f>
        <v>0</v>
      </c>
    </row>
    <row r="145" ht="7.5" customHeight="1"/>
    <row r="146" spans="1:3" ht="15.75">
      <c r="A146" s="733" t="s">
        <v>418</v>
      </c>
      <c r="B146" s="733"/>
      <c r="C146" s="733"/>
    </row>
    <row r="147" spans="1:3" ht="15" customHeight="1" thickBot="1">
      <c r="A147" s="734" t="s">
        <v>158</v>
      </c>
      <c r="B147" s="734"/>
      <c r="C147" s="296" t="s">
        <v>535</v>
      </c>
    </row>
    <row r="148" spans="1:4" ht="13.5" customHeight="1" thickBot="1">
      <c r="A148" s="20">
        <v>1</v>
      </c>
      <c r="B148" s="30" t="s">
        <v>419</v>
      </c>
      <c r="C148" s="286">
        <f>+C60-C123</f>
        <v>0</v>
      </c>
      <c r="D148" s="381"/>
    </row>
    <row r="149" spans="1:3" ht="27.75" customHeight="1" thickBot="1">
      <c r="A149" s="20" t="s">
        <v>21</v>
      </c>
      <c r="B149" s="30" t="s">
        <v>420</v>
      </c>
      <c r="C149" s="286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Tengelic Község Önkormányzat
2019. ÉVI KÖLTSÉGVETÉS
ÁLLAMI (ÁLLAMIGAZGATÁSI) FELADATOK MÉRLEGE
&amp;R&amp;"Times New Roman CE,Félkövér dőlt"&amp;11 1.4. melléklet a 3 /2019. (II.11.) önkormányzati rendelethez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E31"/>
  <sheetViews>
    <sheetView zoomScale="115" zoomScaleNormal="115" zoomScaleSheetLayoutView="100" workbookViewId="0" topLeftCell="C7">
      <selection activeCell="I1" sqref="I1:K1"/>
    </sheetView>
  </sheetViews>
  <sheetFormatPr defaultColWidth="9.00390625" defaultRowHeight="12.75"/>
  <cols>
    <col min="1" max="1" width="6.875" style="636" customWidth="1"/>
    <col min="2" max="2" width="46.875" style="639" customWidth="1"/>
    <col min="3" max="3" width="14.375" style="636" customWidth="1"/>
    <col min="4" max="4" width="14.50390625" style="636" hidden="1" customWidth="1"/>
    <col min="5" max="5" width="15.375" style="636" hidden="1" customWidth="1"/>
    <col min="6" max="6" width="12.625" style="636" hidden="1" customWidth="1"/>
    <col min="7" max="7" width="14.125" style="636" hidden="1" customWidth="1"/>
    <col min="8" max="8" width="12.625" style="636" hidden="1" customWidth="1"/>
    <col min="9" max="9" width="14.125" style="636" hidden="1" customWidth="1"/>
    <col min="10" max="10" width="12.625" style="636" hidden="1" customWidth="1"/>
    <col min="11" max="11" width="14.125" style="636" hidden="1" customWidth="1"/>
    <col min="12" max="12" width="12.625" style="636" hidden="1" customWidth="1"/>
    <col min="13" max="13" width="14.125" style="636" customWidth="1"/>
    <col min="14" max="14" width="12.625" style="636" customWidth="1"/>
    <col min="15" max="15" width="14.125" style="636" customWidth="1"/>
    <col min="16" max="16" width="49.875" style="636" customWidth="1"/>
    <col min="17" max="17" width="14.625" style="636" customWidth="1"/>
    <col min="18" max="18" width="16.375" style="636" hidden="1" customWidth="1"/>
    <col min="19" max="19" width="14.625" style="636" hidden="1" customWidth="1"/>
    <col min="20" max="20" width="13.375" style="636" hidden="1" customWidth="1"/>
    <col min="21" max="21" width="14.625" style="636" hidden="1" customWidth="1"/>
    <col min="22" max="22" width="13.375" style="636" hidden="1" customWidth="1"/>
    <col min="23" max="23" width="14.625" style="636" hidden="1" customWidth="1"/>
    <col min="24" max="24" width="13.375" style="636" hidden="1" customWidth="1"/>
    <col min="25" max="25" width="14.625" style="636" hidden="1" customWidth="1"/>
    <col min="26" max="26" width="13.375" style="636" hidden="1" customWidth="1"/>
    <col min="27" max="27" width="14.625" style="636" customWidth="1"/>
    <col min="28" max="28" width="13.375" style="636" customWidth="1"/>
    <col min="29" max="29" width="14.625" style="636" customWidth="1"/>
    <col min="30" max="31" width="4.875" style="636" customWidth="1"/>
    <col min="32" max="16384" width="9.375" style="636" customWidth="1"/>
  </cols>
  <sheetData>
    <row r="1" spans="2:31" ht="39.75" customHeight="1">
      <c r="B1" s="637" t="s">
        <v>162</v>
      </c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  <c r="Q1" s="638"/>
      <c r="R1" s="638"/>
      <c r="S1" s="638"/>
      <c r="T1" s="638"/>
      <c r="U1" s="638"/>
      <c r="V1" s="638"/>
      <c r="W1" s="638"/>
      <c r="X1" s="638"/>
      <c r="Y1" s="638"/>
      <c r="Z1" s="638"/>
      <c r="AA1" s="638"/>
      <c r="AB1" s="638"/>
      <c r="AC1" s="638"/>
      <c r="AD1" s="737" t="s">
        <v>566</v>
      </c>
      <c r="AE1" s="737" t="s">
        <v>617</v>
      </c>
    </row>
    <row r="2" spans="17:31" ht="14.25" thickBot="1">
      <c r="Q2" s="634"/>
      <c r="R2" s="634"/>
      <c r="S2" s="634"/>
      <c r="T2" s="634"/>
      <c r="U2" s="634"/>
      <c r="V2" s="634"/>
      <c r="W2" s="634"/>
      <c r="X2" s="634"/>
      <c r="Y2" s="634"/>
      <c r="Z2" s="634"/>
      <c r="AA2" s="634"/>
      <c r="AB2" s="634"/>
      <c r="AC2" s="634" t="s">
        <v>535</v>
      </c>
      <c r="AD2" s="737"/>
      <c r="AE2" s="737"/>
    </row>
    <row r="3" spans="1:31" ht="18" customHeight="1" thickBot="1">
      <c r="A3" s="738" t="s">
        <v>76</v>
      </c>
      <c r="B3" s="640" t="s">
        <v>59</v>
      </c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0" t="s">
        <v>61</v>
      </c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737"/>
      <c r="AE3" s="737"/>
    </row>
    <row r="4" spans="1:31" s="645" customFormat="1" ht="35.25" customHeight="1" thickBot="1">
      <c r="A4" s="739"/>
      <c r="B4" s="643" t="s">
        <v>68</v>
      </c>
      <c r="C4" s="644" t="s">
        <v>540</v>
      </c>
      <c r="D4" s="644" t="s">
        <v>592</v>
      </c>
      <c r="E4" s="644" t="s">
        <v>581</v>
      </c>
      <c r="F4" s="644" t="s">
        <v>596</v>
      </c>
      <c r="G4" s="644" t="s">
        <v>581</v>
      </c>
      <c r="H4" s="644" t="s">
        <v>600</v>
      </c>
      <c r="I4" s="644" t="s">
        <v>581</v>
      </c>
      <c r="J4" s="644" t="s">
        <v>603</v>
      </c>
      <c r="K4" s="644" t="s">
        <v>581</v>
      </c>
      <c r="L4" s="644" t="s">
        <v>608</v>
      </c>
      <c r="M4" s="644" t="s">
        <v>581</v>
      </c>
      <c r="N4" s="644" t="s">
        <v>618</v>
      </c>
      <c r="O4" s="644" t="s">
        <v>581</v>
      </c>
      <c r="P4" s="643" t="s">
        <v>68</v>
      </c>
      <c r="Q4" s="644" t="s">
        <v>540</v>
      </c>
      <c r="R4" s="644" t="s">
        <v>592</v>
      </c>
      <c r="S4" s="644" t="s">
        <v>581</v>
      </c>
      <c r="T4" s="644" t="s">
        <v>596</v>
      </c>
      <c r="U4" s="644" t="s">
        <v>581</v>
      </c>
      <c r="V4" s="644" t="s">
        <v>600</v>
      </c>
      <c r="W4" s="644" t="s">
        <v>581</v>
      </c>
      <c r="X4" s="644" t="s">
        <v>603</v>
      </c>
      <c r="Y4" s="644" t="s">
        <v>581</v>
      </c>
      <c r="Z4" s="644" t="s">
        <v>608</v>
      </c>
      <c r="AA4" s="644" t="s">
        <v>581</v>
      </c>
      <c r="AB4" s="644" t="s">
        <v>618</v>
      </c>
      <c r="AC4" s="644" t="s">
        <v>581</v>
      </c>
      <c r="AD4" s="737"/>
      <c r="AE4" s="737"/>
    </row>
    <row r="5" spans="1:31" s="650" customFormat="1" ht="12" customHeight="1" thickBot="1">
      <c r="A5" s="646">
        <v>1</v>
      </c>
      <c r="B5" s="647">
        <v>2</v>
      </c>
      <c r="C5" s="648" t="s">
        <v>22</v>
      </c>
      <c r="D5" s="648" t="s">
        <v>23</v>
      </c>
      <c r="E5" s="648" t="s">
        <v>23</v>
      </c>
      <c r="F5" s="648" t="s">
        <v>24</v>
      </c>
      <c r="G5" s="648" t="s">
        <v>23</v>
      </c>
      <c r="H5" s="648" t="s">
        <v>24</v>
      </c>
      <c r="I5" s="648" t="s">
        <v>23</v>
      </c>
      <c r="J5" s="648" t="s">
        <v>24</v>
      </c>
      <c r="K5" s="648" t="s">
        <v>23</v>
      </c>
      <c r="L5" s="648" t="s">
        <v>24</v>
      </c>
      <c r="M5" s="648" t="s">
        <v>23</v>
      </c>
      <c r="N5" s="648" t="s">
        <v>24</v>
      </c>
      <c r="O5" s="648" t="s">
        <v>25</v>
      </c>
      <c r="P5" s="647" t="s">
        <v>26</v>
      </c>
      <c r="Q5" s="649" t="s">
        <v>27</v>
      </c>
      <c r="R5" s="649" t="s">
        <v>28</v>
      </c>
      <c r="S5" s="649" t="s">
        <v>28</v>
      </c>
      <c r="T5" s="649" t="s">
        <v>29</v>
      </c>
      <c r="U5" s="649" t="s">
        <v>28</v>
      </c>
      <c r="V5" s="649" t="s">
        <v>29</v>
      </c>
      <c r="W5" s="649" t="s">
        <v>28</v>
      </c>
      <c r="X5" s="649" t="s">
        <v>29</v>
      </c>
      <c r="Y5" s="649" t="s">
        <v>28</v>
      </c>
      <c r="Z5" s="649" t="s">
        <v>29</v>
      </c>
      <c r="AA5" s="649" t="s">
        <v>28</v>
      </c>
      <c r="AB5" s="649" t="s">
        <v>29</v>
      </c>
      <c r="AC5" s="649" t="s">
        <v>30</v>
      </c>
      <c r="AD5" s="737"/>
      <c r="AE5" s="737"/>
    </row>
    <row r="6" spans="1:31" ht="12.75" customHeight="1">
      <c r="A6" s="651" t="s">
        <v>20</v>
      </c>
      <c r="B6" s="652" t="s">
        <v>421</v>
      </c>
      <c r="C6" s="653">
        <v>129283891</v>
      </c>
      <c r="D6" s="653"/>
      <c r="E6" s="653">
        <v>129283891</v>
      </c>
      <c r="F6" s="653">
        <v>10147793</v>
      </c>
      <c r="G6" s="657">
        <f>E6+F6</f>
        <v>139431684</v>
      </c>
      <c r="H6" s="653">
        <v>3202208</v>
      </c>
      <c r="I6" s="657">
        <f>G6+H6</f>
        <v>142633892</v>
      </c>
      <c r="J6" s="653"/>
      <c r="K6" s="657">
        <f>I6+J6</f>
        <v>142633892</v>
      </c>
      <c r="L6" s="653">
        <v>-672993</v>
      </c>
      <c r="M6" s="657">
        <f>K6+L6</f>
        <v>141960899</v>
      </c>
      <c r="N6" s="653">
        <v>254503</v>
      </c>
      <c r="O6" s="657">
        <f>M6+N6</f>
        <v>142215402</v>
      </c>
      <c r="P6" s="652" t="s">
        <v>69</v>
      </c>
      <c r="Q6" s="654">
        <v>119826392</v>
      </c>
      <c r="R6" s="654">
        <v>835200</v>
      </c>
      <c r="S6" s="654">
        <f aca="true" t="shared" si="0" ref="S6:S11">Q6+R6</f>
        <v>120661592</v>
      </c>
      <c r="T6" s="654">
        <v>12211476</v>
      </c>
      <c r="U6" s="654">
        <f aca="true" t="shared" si="1" ref="U6:U11">S6+T6</f>
        <v>132873068</v>
      </c>
      <c r="V6" s="654">
        <v>5239548</v>
      </c>
      <c r="W6" s="654">
        <f aca="true" t="shared" si="2" ref="W6:W11">U6+V6</f>
        <v>138112616</v>
      </c>
      <c r="X6" s="654">
        <v>745536</v>
      </c>
      <c r="Y6" s="654">
        <f aca="true" t="shared" si="3" ref="Y6:Y11">W6+X6</f>
        <v>138858152</v>
      </c>
      <c r="Z6" s="654">
        <v>990680</v>
      </c>
      <c r="AA6" s="654">
        <f aca="true" t="shared" si="4" ref="AA6:AA11">Y6+Z6</f>
        <v>139848832</v>
      </c>
      <c r="AB6" s="654"/>
      <c r="AC6" s="654">
        <f aca="true" t="shared" si="5" ref="AC6:AC11">AA6+AB6</f>
        <v>139848832</v>
      </c>
      <c r="AD6" s="737"/>
      <c r="AE6" s="737"/>
    </row>
    <row r="7" spans="1:31" ht="12.75" customHeight="1">
      <c r="A7" s="655" t="s">
        <v>21</v>
      </c>
      <c r="B7" s="656" t="s">
        <v>422</v>
      </c>
      <c r="C7" s="657">
        <v>15820260</v>
      </c>
      <c r="D7" s="657">
        <v>1154708</v>
      </c>
      <c r="E7" s="657">
        <f>C7+D7</f>
        <v>16974968</v>
      </c>
      <c r="F7" s="657">
        <v>5055083</v>
      </c>
      <c r="G7" s="657">
        <f>E7+F7</f>
        <v>22030051</v>
      </c>
      <c r="H7" s="657">
        <v>4781368</v>
      </c>
      <c r="I7" s="657">
        <f>G7+H7</f>
        <v>26811419</v>
      </c>
      <c r="J7" s="657">
        <v>745536</v>
      </c>
      <c r="K7" s="657">
        <f>I7+J7</f>
        <v>27556955</v>
      </c>
      <c r="L7" s="657">
        <v>1084547</v>
      </c>
      <c r="M7" s="657">
        <f>K7+L7</f>
        <v>28641502</v>
      </c>
      <c r="N7" s="657"/>
      <c r="O7" s="657">
        <f>M7+N7</f>
        <v>28641502</v>
      </c>
      <c r="P7" s="656" t="s">
        <v>187</v>
      </c>
      <c r="Q7" s="658">
        <v>25470696</v>
      </c>
      <c r="R7" s="658">
        <v>170978</v>
      </c>
      <c r="S7" s="654">
        <f t="shared" si="0"/>
        <v>25641674</v>
      </c>
      <c r="T7" s="658">
        <v>2223900</v>
      </c>
      <c r="U7" s="654">
        <f t="shared" si="1"/>
        <v>27865574</v>
      </c>
      <c r="V7" s="658">
        <v>695050</v>
      </c>
      <c r="W7" s="654">
        <f t="shared" si="2"/>
        <v>28560624</v>
      </c>
      <c r="X7" s="658"/>
      <c r="Y7" s="654">
        <f t="shared" si="3"/>
        <v>28560624</v>
      </c>
      <c r="Z7" s="658">
        <v>130635</v>
      </c>
      <c r="AA7" s="654">
        <f t="shared" si="4"/>
        <v>28691259</v>
      </c>
      <c r="AB7" s="658"/>
      <c r="AC7" s="654">
        <f t="shared" si="5"/>
        <v>28691259</v>
      </c>
      <c r="AD7" s="737"/>
      <c r="AE7" s="737"/>
    </row>
    <row r="8" spans="1:31" ht="12.75" customHeight="1">
      <c r="A8" s="655" t="s">
        <v>22</v>
      </c>
      <c r="B8" s="656" t="s">
        <v>460</v>
      </c>
      <c r="C8" s="657"/>
      <c r="D8" s="657"/>
      <c r="E8" s="657"/>
      <c r="F8" s="657"/>
      <c r="G8" s="657"/>
      <c r="H8" s="657"/>
      <c r="I8" s="657"/>
      <c r="J8" s="657"/>
      <c r="K8" s="657"/>
      <c r="L8" s="657"/>
      <c r="M8" s="657"/>
      <c r="N8" s="657"/>
      <c r="O8" s="657"/>
      <c r="P8" s="656" t="s">
        <v>239</v>
      </c>
      <c r="Q8" s="658">
        <v>141077799</v>
      </c>
      <c r="R8" s="658">
        <v>619866</v>
      </c>
      <c r="S8" s="654">
        <f t="shared" si="0"/>
        <v>141697665</v>
      </c>
      <c r="T8" s="658">
        <v>1687000</v>
      </c>
      <c r="U8" s="654">
        <f t="shared" si="1"/>
        <v>143384665</v>
      </c>
      <c r="V8" s="658">
        <v>3010478</v>
      </c>
      <c r="W8" s="654">
        <f t="shared" si="2"/>
        <v>146395143</v>
      </c>
      <c r="X8" s="658">
        <v>100000</v>
      </c>
      <c r="Y8" s="654">
        <f t="shared" si="3"/>
        <v>146495143</v>
      </c>
      <c r="Z8" s="658">
        <v>3980935</v>
      </c>
      <c r="AA8" s="654">
        <f t="shared" si="4"/>
        <v>150476078</v>
      </c>
      <c r="AB8" s="658">
        <v>-9</v>
      </c>
      <c r="AC8" s="654">
        <f t="shared" si="5"/>
        <v>150476069</v>
      </c>
      <c r="AD8" s="737"/>
      <c r="AE8" s="737"/>
    </row>
    <row r="9" spans="1:31" ht="12.75" customHeight="1">
      <c r="A9" s="655" t="s">
        <v>23</v>
      </c>
      <c r="B9" s="656" t="s">
        <v>178</v>
      </c>
      <c r="C9" s="657">
        <v>60200000</v>
      </c>
      <c r="D9" s="657"/>
      <c r="E9" s="657">
        <v>60200000</v>
      </c>
      <c r="F9" s="657"/>
      <c r="G9" s="657">
        <v>60200000</v>
      </c>
      <c r="H9" s="657"/>
      <c r="I9" s="657">
        <v>60200000</v>
      </c>
      <c r="J9" s="657">
        <v>11255764</v>
      </c>
      <c r="K9" s="657">
        <f>I9+J9</f>
        <v>71455764</v>
      </c>
      <c r="L9" s="657">
        <v>24111367</v>
      </c>
      <c r="M9" s="657">
        <f>K9+L9</f>
        <v>95567131</v>
      </c>
      <c r="N9" s="657"/>
      <c r="O9" s="657">
        <f>M9+N9</f>
        <v>95567131</v>
      </c>
      <c r="P9" s="656" t="s">
        <v>188</v>
      </c>
      <c r="Q9" s="658">
        <v>7954700</v>
      </c>
      <c r="R9" s="658"/>
      <c r="S9" s="654">
        <f t="shared" si="0"/>
        <v>7954700</v>
      </c>
      <c r="T9" s="658">
        <v>367500</v>
      </c>
      <c r="U9" s="654">
        <f t="shared" si="1"/>
        <v>8322200</v>
      </c>
      <c r="V9" s="658">
        <v>-367500</v>
      </c>
      <c r="W9" s="654">
        <f t="shared" si="2"/>
        <v>7954700</v>
      </c>
      <c r="X9" s="658"/>
      <c r="Y9" s="654">
        <f t="shared" si="3"/>
        <v>7954700</v>
      </c>
      <c r="Z9" s="658"/>
      <c r="AA9" s="654">
        <f t="shared" si="4"/>
        <v>7954700</v>
      </c>
      <c r="AB9" s="658"/>
      <c r="AC9" s="654">
        <f t="shared" si="5"/>
        <v>7954700</v>
      </c>
      <c r="AD9" s="737"/>
      <c r="AE9" s="737"/>
    </row>
    <row r="10" spans="1:31" ht="12.75" customHeight="1">
      <c r="A10" s="655" t="s">
        <v>24</v>
      </c>
      <c r="B10" s="659" t="s">
        <v>423</v>
      </c>
      <c r="C10" s="657"/>
      <c r="D10" s="657"/>
      <c r="E10" s="657"/>
      <c r="F10" s="657"/>
      <c r="G10" s="657"/>
      <c r="H10" s="657"/>
      <c r="I10" s="657"/>
      <c r="J10" s="657"/>
      <c r="K10" s="657"/>
      <c r="L10" s="657"/>
      <c r="M10" s="657"/>
      <c r="N10" s="657"/>
      <c r="O10" s="657"/>
      <c r="P10" s="656" t="s">
        <v>189</v>
      </c>
      <c r="Q10" s="658">
        <v>8250000</v>
      </c>
      <c r="R10" s="658">
        <v>766189</v>
      </c>
      <c r="S10" s="654">
        <f t="shared" si="0"/>
        <v>9016189</v>
      </c>
      <c r="T10" s="658">
        <v>60000</v>
      </c>
      <c r="U10" s="654">
        <f t="shared" si="1"/>
        <v>9076189</v>
      </c>
      <c r="V10" s="658"/>
      <c r="W10" s="654">
        <f t="shared" si="2"/>
        <v>9076189</v>
      </c>
      <c r="X10" s="658">
        <v>129202</v>
      </c>
      <c r="Y10" s="654">
        <f t="shared" si="3"/>
        <v>9205391</v>
      </c>
      <c r="Z10" s="658"/>
      <c r="AA10" s="654">
        <f t="shared" si="4"/>
        <v>9205391</v>
      </c>
      <c r="AB10" s="658">
        <v>-129202</v>
      </c>
      <c r="AC10" s="654">
        <f t="shared" si="5"/>
        <v>9076189</v>
      </c>
      <c r="AD10" s="737"/>
      <c r="AE10" s="737"/>
    </row>
    <row r="11" spans="1:31" ht="12.75" customHeight="1">
      <c r="A11" s="655" t="s">
        <v>25</v>
      </c>
      <c r="B11" s="656" t="s">
        <v>424</v>
      </c>
      <c r="C11" s="660"/>
      <c r="D11" s="660"/>
      <c r="E11" s="660"/>
      <c r="F11" s="660"/>
      <c r="G11" s="660"/>
      <c r="H11" s="660"/>
      <c r="I11" s="660"/>
      <c r="J11" s="660"/>
      <c r="K11" s="660"/>
      <c r="L11" s="660"/>
      <c r="M11" s="660"/>
      <c r="N11" s="660"/>
      <c r="O11" s="660"/>
      <c r="P11" s="656" t="s">
        <v>51</v>
      </c>
      <c r="Q11" s="658">
        <v>6000000</v>
      </c>
      <c r="R11" s="658">
        <v>-2118248</v>
      </c>
      <c r="S11" s="654">
        <f t="shared" si="0"/>
        <v>3881752</v>
      </c>
      <c r="T11" s="658">
        <v>-60000</v>
      </c>
      <c r="U11" s="654">
        <f t="shared" si="1"/>
        <v>3821752</v>
      </c>
      <c r="V11" s="658">
        <v>0</v>
      </c>
      <c r="W11" s="654">
        <f t="shared" si="2"/>
        <v>3821752</v>
      </c>
      <c r="X11" s="658">
        <v>-129202</v>
      </c>
      <c r="Y11" s="654">
        <f t="shared" si="3"/>
        <v>3692550</v>
      </c>
      <c r="Z11" s="658">
        <v>31477480</v>
      </c>
      <c r="AA11" s="654">
        <f t="shared" si="4"/>
        <v>35170030</v>
      </c>
      <c r="AB11" s="658">
        <v>383705</v>
      </c>
      <c r="AC11" s="654">
        <f t="shared" si="5"/>
        <v>35553735</v>
      </c>
      <c r="AD11" s="737"/>
      <c r="AE11" s="737"/>
    </row>
    <row r="12" spans="1:31" ht="12.75" customHeight="1">
      <c r="A12" s="655" t="s">
        <v>26</v>
      </c>
      <c r="B12" s="656" t="s">
        <v>303</v>
      </c>
      <c r="C12" s="657">
        <v>31025876</v>
      </c>
      <c r="D12" s="657">
        <v>501000</v>
      </c>
      <c r="E12" s="657">
        <f>C12+D12</f>
        <v>31526876</v>
      </c>
      <c r="F12" s="657">
        <v>1287000</v>
      </c>
      <c r="G12" s="657">
        <f>E12+F12</f>
        <v>32813876</v>
      </c>
      <c r="H12" s="657">
        <v>594000</v>
      </c>
      <c r="I12" s="657">
        <f>G12+H12</f>
        <v>33407876</v>
      </c>
      <c r="J12" s="657"/>
      <c r="K12" s="657">
        <f>I12+J12</f>
        <v>33407876</v>
      </c>
      <c r="L12" s="657">
        <v>12056809</v>
      </c>
      <c r="M12" s="657">
        <f>K12+L12</f>
        <v>45464685</v>
      </c>
      <c r="N12" s="657">
        <v>-9</v>
      </c>
      <c r="O12" s="657">
        <f>M12+N12</f>
        <v>45464676</v>
      </c>
      <c r="P12" s="661"/>
      <c r="Q12" s="658"/>
      <c r="R12" s="658"/>
      <c r="S12" s="658"/>
      <c r="T12" s="658"/>
      <c r="U12" s="658"/>
      <c r="V12" s="658"/>
      <c r="W12" s="658"/>
      <c r="X12" s="658"/>
      <c r="Y12" s="658"/>
      <c r="Z12" s="658"/>
      <c r="AA12" s="658"/>
      <c r="AB12" s="658"/>
      <c r="AC12" s="658"/>
      <c r="AD12" s="737"/>
      <c r="AE12" s="737"/>
    </row>
    <row r="13" spans="1:31" ht="12.75" customHeight="1">
      <c r="A13" s="655" t="s">
        <v>27</v>
      </c>
      <c r="B13" s="661"/>
      <c r="C13" s="657"/>
      <c r="D13" s="657"/>
      <c r="E13" s="657"/>
      <c r="F13" s="657"/>
      <c r="G13" s="657"/>
      <c r="H13" s="657"/>
      <c r="I13" s="657"/>
      <c r="J13" s="657"/>
      <c r="K13" s="657"/>
      <c r="L13" s="657"/>
      <c r="M13" s="657"/>
      <c r="N13" s="657"/>
      <c r="O13" s="657"/>
      <c r="P13" s="661"/>
      <c r="Q13" s="658"/>
      <c r="R13" s="658"/>
      <c r="S13" s="658"/>
      <c r="T13" s="658"/>
      <c r="U13" s="658"/>
      <c r="V13" s="658"/>
      <c r="W13" s="658"/>
      <c r="X13" s="658"/>
      <c r="Y13" s="658"/>
      <c r="Z13" s="658"/>
      <c r="AA13" s="658"/>
      <c r="AB13" s="658"/>
      <c r="AC13" s="658"/>
      <c r="AD13" s="737"/>
      <c r="AE13" s="737"/>
    </row>
    <row r="14" spans="1:31" ht="12.75" customHeight="1">
      <c r="A14" s="655" t="s">
        <v>28</v>
      </c>
      <c r="B14" s="662"/>
      <c r="C14" s="660"/>
      <c r="D14" s="660"/>
      <c r="E14" s="660"/>
      <c r="F14" s="660"/>
      <c r="G14" s="660"/>
      <c r="H14" s="660"/>
      <c r="I14" s="660"/>
      <c r="J14" s="660"/>
      <c r="K14" s="660"/>
      <c r="L14" s="660"/>
      <c r="M14" s="660"/>
      <c r="N14" s="660"/>
      <c r="O14" s="660"/>
      <c r="P14" s="661"/>
      <c r="Q14" s="658"/>
      <c r="R14" s="658"/>
      <c r="S14" s="658"/>
      <c r="T14" s="658"/>
      <c r="U14" s="658"/>
      <c r="V14" s="658"/>
      <c r="W14" s="658"/>
      <c r="X14" s="658"/>
      <c r="Y14" s="658"/>
      <c r="Z14" s="658"/>
      <c r="AA14" s="658"/>
      <c r="AB14" s="658"/>
      <c r="AC14" s="658"/>
      <c r="AD14" s="737"/>
      <c r="AE14" s="737"/>
    </row>
    <row r="15" spans="1:31" ht="12.75" customHeight="1">
      <c r="A15" s="655" t="s">
        <v>29</v>
      </c>
      <c r="B15" s="661"/>
      <c r="C15" s="657"/>
      <c r="D15" s="657"/>
      <c r="E15" s="657"/>
      <c r="F15" s="657"/>
      <c r="G15" s="657"/>
      <c r="H15" s="657"/>
      <c r="I15" s="657"/>
      <c r="J15" s="657"/>
      <c r="K15" s="657"/>
      <c r="L15" s="657"/>
      <c r="M15" s="657"/>
      <c r="N15" s="657"/>
      <c r="O15" s="657"/>
      <c r="P15" s="661"/>
      <c r="Q15" s="658"/>
      <c r="R15" s="658"/>
      <c r="S15" s="658"/>
      <c r="T15" s="658"/>
      <c r="U15" s="658"/>
      <c r="V15" s="658"/>
      <c r="W15" s="658"/>
      <c r="X15" s="658"/>
      <c r="Y15" s="658"/>
      <c r="Z15" s="658"/>
      <c r="AA15" s="658"/>
      <c r="AB15" s="658"/>
      <c r="AC15" s="658"/>
      <c r="AD15" s="737"/>
      <c r="AE15" s="737"/>
    </row>
    <row r="16" spans="1:31" ht="12.75" customHeight="1">
      <c r="A16" s="655" t="s">
        <v>30</v>
      </c>
      <c r="B16" s="661"/>
      <c r="C16" s="657"/>
      <c r="D16" s="657"/>
      <c r="E16" s="657"/>
      <c r="F16" s="657"/>
      <c r="G16" s="657"/>
      <c r="H16" s="657"/>
      <c r="I16" s="657"/>
      <c r="J16" s="657"/>
      <c r="K16" s="657"/>
      <c r="L16" s="657"/>
      <c r="M16" s="657"/>
      <c r="N16" s="657"/>
      <c r="O16" s="657"/>
      <c r="P16" s="661"/>
      <c r="Q16" s="658"/>
      <c r="R16" s="658"/>
      <c r="S16" s="658"/>
      <c r="T16" s="658"/>
      <c r="U16" s="658"/>
      <c r="V16" s="658"/>
      <c r="W16" s="658"/>
      <c r="X16" s="658"/>
      <c r="Y16" s="658"/>
      <c r="Z16" s="658"/>
      <c r="AA16" s="658"/>
      <c r="AB16" s="658"/>
      <c r="AC16" s="658"/>
      <c r="AD16" s="737"/>
      <c r="AE16" s="737"/>
    </row>
    <row r="17" spans="1:31" ht="12.75" customHeight="1" thickBot="1">
      <c r="A17" s="655" t="s">
        <v>31</v>
      </c>
      <c r="B17" s="663"/>
      <c r="C17" s="664"/>
      <c r="D17" s="664"/>
      <c r="E17" s="664"/>
      <c r="F17" s="664"/>
      <c r="G17" s="664"/>
      <c r="H17" s="664"/>
      <c r="I17" s="664"/>
      <c r="J17" s="664"/>
      <c r="K17" s="664"/>
      <c r="L17" s="664"/>
      <c r="M17" s="664"/>
      <c r="N17" s="664"/>
      <c r="O17" s="664"/>
      <c r="P17" s="661"/>
      <c r="Q17" s="665"/>
      <c r="R17" s="665"/>
      <c r="S17" s="665"/>
      <c r="T17" s="665"/>
      <c r="U17" s="665"/>
      <c r="V17" s="665"/>
      <c r="W17" s="665"/>
      <c r="X17" s="665"/>
      <c r="Y17" s="665"/>
      <c r="Z17" s="665"/>
      <c r="AA17" s="665"/>
      <c r="AB17" s="665"/>
      <c r="AC17" s="665"/>
      <c r="AD17" s="737"/>
      <c r="AE17" s="737"/>
    </row>
    <row r="18" spans="1:31" ht="15.75" customHeight="1" thickBot="1">
      <c r="A18" s="666" t="s">
        <v>32</v>
      </c>
      <c r="B18" s="667" t="s">
        <v>461</v>
      </c>
      <c r="C18" s="668">
        <f aca="true" t="shared" si="6" ref="C18:O18">+C6+C7+C9+C10+C12+C13+C14+C15+C16+C17</f>
        <v>236330027</v>
      </c>
      <c r="D18" s="668">
        <f t="shared" si="6"/>
        <v>1655708</v>
      </c>
      <c r="E18" s="668">
        <f t="shared" si="6"/>
        <v>237985735</v>
      </c>
      <c r="F18" s="668">
        <f t="shared" si="6"/>
        <v>16489876</v>
      </c>
      <c r="G18" s="668">
        <f t="shared" si="6"/>
        <v>254475611</v>
      </c>
      <c r="H18" s="668">
        <f t="shared" si="6"/>
        <v>8577576</v>
      </c>
      <c r="I18" s="668">
        <f t="shared" si="6"/>
        <v>263053187</v>
      </c>
      <c r="J18" s="668">
        <f t="shared" si="6"/>
        <v>12001300</v>
      </c>
      <c r="K18" s="668">
        <f t="shared" si="6"/>
        <v>275054487</v>
      </c>
      <c r="L18" s="668">
        <f t="shared" si="6"/>
        <v>36579730</v>
      </c>
      <c r="M18" s="668">
        <f t="shared" si="6"/>
        <v>311634217</v>
      </c>
      <c r="N18" s="668">
        <f t="shared" si="6"/>
        <v>254494</v>
      </c>
      <c r="O18" s="668">
        <f t="shared" si="6"/>
        <v>311888711</v>
      </c>
      <c r="P18" s="667" t="s">
        <v>432</v>
      </c>
      <c r="Q18" s="669">
        <f aca="true" t="shared" si="7" ref="Q18:AC18">SUM(Q6:Q17)</f>
        <v>308579587</v>
      </c>
      <c r="R18" s="669">
        <f t="shared" si="7"/>
        <v>273985</v>
      </c>
      <c r="S18" s="669">
        <f t="shared" si="7"/>
        <v>308853572</v>
      </c>
      <c r="T18" s="669">
        <f t="shared" si="7"/>
        <v>16489876</v>
      </c>
      <c r="U18" s="669">
        <f t="shared" si="7"/>
        <v>325343448</v>
      </c>
      <c r="V18" s="669">
        <f t="shared" si="7"/>
        <v>8577576</v>
      </c>
      <c r="W18" s="669">
        <f t="shared" si="7"/>
        <v>333921024</v>
      </c>
      <c r="X18" s="669">
        <f t="shared" si="7"/>
        <v>845536</v>
      </c>
      <c r="Y18" s="669">
        <f t="shared" si="7"/>
        <v>334766560</v>
      </c>
      <c r="Z18" s="669">
        <f t="shared" si="7"/>
        <v>36579730</v>
      </c>
      <c r="AA18" s="669">
        <f t="shared" si="7"/>
        <v>371346290</v>
      </c>
      <c r="AB18" s="669">
        <f t="shared" si="7"/>
        <v>254494</v>
      </c>
      <c r="AC18" s="669">
        <f t="shared" si="7"/>
        <v>371600784</v>
      </c>
      <c r="AD18" s="737"/>
      <c r="AE18" s="737"/>
    </row>
    <row r="19" spans="1:31" ht="12.75" customHeight="1">
      <c r="A19" s="670" t="s">
        <v>33</v>
      </c>
      <c r="B19" s="671" t="s">
        <v>427</v>
      </c>
      <c r="C19" s="672">
        <f aca="true" t="shared" si="8" ref="C19:O19">+C20+C21+C22+C23</f>
        <v>76899247</v>
      </c>
      <c r="D19" s="672">
        <f t="shared" si="8"/>
        <v>-1381723</v>
      </c>
      <c r="E19" s="672">
        <f t="shared" si="8"/>
        <v>75517524</v>
      </c>
      <c r="F19" s="672">
        <f t="shared" si="8"/>
        <v>0</v>
      </c>
      <c r="G19" s="672">
        <f t="shared" si="8"/>
        <v>75517524</v>
      </c>
      <c r="H19" s="672">
        <f t="shared" si="8"/>
        <v>0</v>
      </c>
      <c r="I19" s="672">
        <f t="shared" si="8"/>
        <v>75517524</v>
      </c>
      <c r="J19" s="672">
        <f t="shared" si="8"/>
        <v>-11155764</v>
      </c>
      <c r="K19" s="672">
        <f t="shared" si="8"/>
        <v>64361760</v>
      </c>
      <c r="L19" s="672">
        <f t="shared" si="8"/>
        <v>0</v>
      </c>
      <c r="M19" s="672">
        <f t="shared" si="8"/>
        <v>64361760</v>
      </c>
      <c r="N19" s="672">
        <f t="shared" si="8"/>
        <v>0</v>
      </c>
      <c r="O19" s="672">
        <f t="shared" si="8"/>
        <v>64361760</v>
      </c>
      <c r="P19" s="673" t="s">
        <v>195</v>
      </c>
      <c r="Q19" s="674"/>
      <c r="R19" s="674"/>
      <c r="S19" s="674"/>
      <c r="T19" s="674"/>
      <c r="U19" s="674"/>
      <c r="V19" s="674"/>
      <c r="W19" s="674"/>
      <c r="X19" s="674"/>
      <c r="Y19" s="674"/>
      <c r="Z19" s="674"/>
      <c r="AA19" s="674"/>
      <c r="AB19" s="674"/>
      <c r="AC19" s="674"/>
      <c r="AD19" s="737"/>
      <c r="AE19" s="737"/>
    </row>
    <row r="20" spans="1:31" ht="12.75" customHeight="1">
      <c r="A20" s="675" t="s">
        <v>34</v>
      </c>
      <c r="B20" s="673" t="s">
        <v>232</v>
      </c>
      <c r="C20" s="618">
        <v>76899247</v>
      </c>
      <c r="D20" s="618">
        <v>-1381723</v>
      </c>
      <c r="E20" s="618">
        <f>C20+D20</f>
        <v>75517524</v>
      </c>
      <c r="F20" s="618">
        <v>0</v>
      </c>
      <c r="G20" s="618">
        <f>E20+F20</f>
        <v>75517524</v>
      </c>
      <c r="H20" s="618">
        <v>0</v>
      </c>
      <c r="I20" s="618">
        <f>G20+H20</f>
        <v>75517524</v>
      </c>
      <c r="J20" s="618">
        <f>-11255764+100000</f>
        <v>-11155764</v>
      </c>
      <c r="K20" s="618">
        <f>I20+J20</f>
        <v>64361760</v>
      </c>
      <c r="L20" s="618"/>
      <c r="M20" s="618">
        <f>K20+L20</f>
        <v>64361760</v>
      </c>
      <c r="N20" s="618"/>
      <c r="O20" s="618">
        <f>M20+N20</f>
        <v>64361760</v>
      </c>
      <c r="P20" s="673" t="s">
        <v>431</v>
      </c>
      <c r="Q20" s="617"/>
      <c r="R20" s="617"/>
      <c r="S20" s="617"/>
      <c r="T20" s="617"/>
      <c r="U20" s="617"/>
      <c r="V20" s="617"/>
      <c r="W20" s="617"/>
      <c r="X20" s="617"/>
      <c r="Y20" s="617"/>
      <c r="Z20" s="617"/>
      <c r="AA20" s="617"/>
      <c r="AB20" s="617"/>
      <c r="AC20" s="617"/>
      <c r="AD20" s="737"/>
      <c r="AE20" s="737"/>
    </row>
    <row r="21" spans="1:31" ht="12.75" customHeight="1">
      <c r="A21" s="675" t="s">
        <v>35</v>
      </c>
      <c r="B21" s="673" t="s">
        <v>233</v>
      </c>
      <c r="C21" s="618"/>
      <c r="D21" s="618"/>
      <c r="E21" s="618"/>
      <c r="F21" s="618"/>
      <c r="G21" s="618"/>
      <c r="H21" s="618"/>
      <c r="I21" s="618"/>
      <c r="J21" s="618"/>
      <c r="K21" s="618"/>
      <c r="L21" s="618"/>
      <c r="M21" s="618"/>
      <c r="N21" s="618"/>
      <c r="O21" s="618"/>
      <c r="P21" s="673" t="s">
        <v>160</v>
      </c>
      <c r="Q21" s="617"/>
      <c r="R21" s="617"/>
      <c r="S21" s="617"/>
      <c r="T21" s="617"/>
      <c r="U21" s="617"/>
      <c r="V21" s="617"/>
      <c r="W21" s="617"/>
      <c r="X21" s="617"/>
      <c r="Y21" s="617"/>
      <c r="Z21" s="617"/>
      <c r="AA21" s="617"/>
      <c r="AB21" s="617"/>
      <c r="AC21" s="617"/>
      <c r="AD21" s="737"/>
      <c r="AE21" s="737"/>
    </row>
    <row r="22" spans="1:31" ht="12.75" customHeight="1">
      <c r="A22" s="675" t="s">
        <v>36</v>
      </c>
      <c r="B22" s="673" t="s">
        <v>237</v>
      </c>
      <c r="C22" s="618"/>
      <c r="D22" s="618"/>
      <c r="E22" s="618"/>
      <c r="F22" s="618"/>
      <c r="G22" s="618"/>
      <c r="H22" s="618"/>
      <c r="I22" s="618"/>
      <c r="J22" s="618"/>
      <c r="K22" s="618"/>
      <c r="L22" s="618"/>
      <c r="M22" s="618"/>
      <c r="N22" s="618"/>
      <c r="O22" s="618"/>
      <c r="P22" s="673" t="s">
        <v>161</v>
      </c>
      <c r="Q22" s="617"/>
      <c r="R22" s="617"/>
      <c r="S22" s="617"/>
      <c r="T22" s="617"/>
      <c r="U22" s="617"/>
      <c r="V22" s="617"/>
      <c r="W22" s="617"/>
      <c r="X22" s="617"/>
      <c r="Y22" s="617"/>
      <c r="Z22" s="617"/>
      <c r="AA22" s="617"/>
      <c r="AB22" s="617"/>
      <c r="AC22" s="617"/>
      <c r="AD22" s="737"/>
      <c r="AE22" s="737"/>
    </row>
    <row r="23" spans="1:31" ht="12.75" customHeight="1">
      <c r="A23" s="675" t="s">
        <v>37</v>
      </c>
      <c r="B23" s="673" t="s">
        <v>238</v>
      </c>
      <c r="C23" s="618"/>
      <c r="D23" s="618"/>
      <c r="E23" s="618"/>
      <c r="F23" s="618"/>
      <c r="G23" s="618"/>
      <c r="H23" s="618"/>
      <c r="I23" s="618"/>
      <c r="J23" s="618"/>
      <c r="K23" s="618"/>
      <c r="L23" s="618"/>
      <c r="M23" s="618"/>
      <c r="N23" s="618"/>
      <c r="O23" s="618"/>
      <c r="P23" s="671" t="s">
        <v>240</v>
      </c>
      <c r="Q23" s="617"/>
      <c r="R23" s="617"/>
      <c r="S23" s="617"/>
      <c r="T23" s="617"/>
      <c r="U23" s="617"/>
      <c r="V23" s="617"/>
      <c r="W23" s="617"/>
      <c r="X23" s="617"/>
      <c r="Y23" s="617"/>
      <c r="Z23" s="617"/>
      <c r="AA23" s="617"/>
      <c r="AB23" s="617"/>
      <c r="AC23" s="617"/>
      <c r="AD23" s="737"/>
      <c r="AE23" s="737"/>
    </row>
    <row r="24" spans="1:31" ht="12.75" customHeight="1">
      <c r="A24" s="675" t="s">
        <v>38</v>
      </c>
      <c r="B24" s="673" t="s">
        <v>428</v>
      </c>
      <c r="C24" s="676">
        <f aca="true" t="shared" si="9" ref="C24:O24">+C25+C26</f>
        <v>0</v>
      </c>
      <c r="D24" s="676">
        <f t="shared" si="9"/>
        <v>0</v>
      </c>
      <c r="E24" s="676">
        <f t="shared" si="9"/>
        <v>0</v>
      </c>
      <c r="F24" s="676">
        <f t="shared" si="9"/>
        <v>0</v>
      </c>
      <c r="G24" s="676">
        <f t="shared" si="9"/>
        <v>0</v>
      </c>
      <c r="H24" s="676">
        <f t="shared" si="9"/>
        <v>0</v>
      </c>
      <c r="I24" s="676">
        <f t="shared" si="9"/>
        <v>0</v>
      </c>
      <c r="J24" s="676">
        <f t="shared" si="9"/>
        <v>0</v>
      </c>
      <c r="K24" s="676">
        <f t="shared" si="9"/>
        <v>0</v>
      </c>
      <c r="L24" s="676">
        <f t="shared" si="9"/>
        <v>0</v>
      </c>
      <c r="M24" s="676">
        <f t="shared" si="9"/>
        <v>0</v>
      </c>
      <c r="N24" s="676">
        <f t="shared" si="9"/>
        <v>0</v>
      </c>
      <c r="O24" s="676">
        <f t="shared" si="9"/>
        <v>0</v>
      </c>
      <c r="P24" s="673" t="s">
        <v>196</v>
      </c>
      <c r="Q24" s="617"/>
      <c r="R24" s="617"/>
      <c r="S24" s="617"/>
      <c r="T24" s="617"/>
      <c r="U24" s="617"/>
      <c r="V24" s="617"/>
      <c r="W24" s="617"/>
      <c r="X24" s="617"/>
      <c r="Y24" s="617"/>
      <c r="Z24" s="617"/>
      <c r="AA24" s="617"/>
      <c r="AB24" s="617"/>
      <c r="AC24" s="617"/>
      <c r="AD24" s="737"/>
      <c r="AE24" s="737"/>
    </row>
    <row r="25" spans="1:31" ht="12.75" customHeight="1">
      <c r="A25" s="670" t="s">
        <v>39</v>
      </c>
      <c r="B25" s="671" t="s">
        <v>425</v>
      </c>
      <c r="C25" s="677"/>
      <c r="D25" s="677"/>
      <c r="E25" s="677"/>
      <c r="F25" s="677"/>
      <c r="G25" s="677"/>
      <c r="H25" s="677"/>
      <c r="I25" s="677"/>
      <c r="J25" s="677"/>
      <c r="K25" s="677"/>
      <c r="L25" s="677"/>
      <c r="M25" s="677"/>
      <c r="N25" s="677"/>
      <c r="O25" s="677"/>
      <c r="P25" s="652" t="s">
        <v>197</v>
      </c>
      <c r="Q25" s="674"/>
      <c r="R25" s="674"/>
      <c r="S25" s="674"/>
      <c r="T25" s="674"/>
      <c r="U25" s="674"/>
      <c r="V25" s="674"/>
      <c r="W25" s="674"/>
      <c r="X25" s="674"/>
      <c r="Y25" s="674"/>
      <c r="Z25" s="674"/>
      <c r="AA25" s="674"/>
      <c r="AB25" s="674"/>
      <c r="AC25" s="674"/>
      <c r="AD25" s="737"/>
      <c r="AE25" s="737"/>
    </row>
    <row r="26" spans="1:31" ht="12.75" customHeight="1" thickBot="1">
      <c r="A26" s="675" t="s">
        <v>40</v>
      </c>
      <c r="B26" s="673" t="s">
        <v>426</v>
      </c>
      <c r="C26" s="618"/>
      <c r="D26" s="618"/>
      <c r="E26" s="618"/>
      <c r="F26" s="618"/>
      <c r="G26" s="618"/>
      <c r="H26" s="618"/>
      <c r="I26" s="618"/>
      <c r="J26" s="618"/>
      <c r="K26" s="618"/>
      <c r="L26" s="618"/>
      <c r="M26" s="618"/>
      <c r="N26" s="618"/>
      <c r="O26" s="618"/>
      <c r="P26" s="661" t="s">
        <v>538</v>
      </c>
      <c r="Q26" s="617">
        <v>4649687</v>
      </c>
      <c r="R26" s="617"/>
      <c r="S26" s="617">
        <v>4649687</v>
      </c>
      <c r="T26" s="617"/>
      <c r="U26" s="617">
        <v>4649687</v>
      </c>
      <c r="V26" s="617"/>
      <c r="W26" s="617">
        <v>4649687</v>
      </c>
      <c r="X26" s="617"/>
      <c r="Y26" s="617">
        <v>4649687</v>
      </c>
      <c r="Z26" s="617"/>
      <c r="AA26" s="617">
        <v>4649687</v>
      </c>
      <c r="AB26" s="617"/>
      <c r="AC26" s="617">
        <v>4649687</v>
      </c>
      <c r="AD26" s="737"/>
      <c r="AE26" s="737"/>
    </row>
    <row r="27" spans="1:31" ht="15.75" customHeight="1" thickBot="1">
      <c r="A27" s="666" t="s">
        <v>41</v>
      </c>
      <c r="B27" s="667" t="s">
        <v>429</v>
      </c>
      <c r="C27" s="668">
        <f aca="true" t="shared" si="10" ref="C27:O27">+C19+C24</f>
        <v>76899247</v>
      </c>
      <c r="D27" s="668">
        <f t="shared" si="10"/>
        <v>-1381723</v>
      </c>
      <c r="E27" s="668">
        <f t="shared" si="10"/>
        <v>75517524</v>
      </c>
      <c r="F27" s="668">
        <f t="shared" si="10"/>
        <v>0</v>
      </c>
      <c r="G27" s="668">
        <f t="shared" si="10"/>
        <v>75517524</v>
      </c>
      <c r="H27" s="668">
        <f t="shared" si="10"/>
        <v>0</v>
      </c>
      <c r="I27" s="668">
        <f t="shared" si="10"/>
        <v>75517524</v>
      </c>
      <c r="J27" s="668">
        <f t="shared" si="10"/>
        <v>-11155764</v>
      </c>
      <c r="K27" s="668">
        <f t="shared" si="10"/>
        <v>64361760</v>
      </c>
      <c r="L27" s="668">
        <f t="shared" si="10"/>
        <v>0</v>
      </c>
      <c r="M27" s="668">
        <f t="shared" si="10"/>
        <v>64361760</v>
      </c>
      <c r="N27" s="668">
        <f t="shared" si="10"/>
        <v>0</v>
      </c>
      <c r="O27" s="668">
        <f t="shared" si="10"/>
        <v>64361760</v>
      </c>
      <c r="P27" s="667" t="s">
        <v>433</v>
      </c>
      <c r="Q27" s="669">
        <f aca="true" t="shared" si="11" ref="Q27:AC27">SUM(Q19:Q26)</f>
        <v>4649687</v>
      </c>
      <c r="R27" s="669">
        <f t="shared" si="11"/>
        <v>0</v>
      </c>
      <c r="S27" s="669">
        <f t="shared" si="11"/>
        <v>4649687</v>
      </c>
      <c r="T27" s="669">
        <f t="shared" si="11"/>
        <v>0</v>
      </c>
      <c r="U27" s="669">
        <f t="shared" si="11"/>
        <v>4649687</v>
      </c>
      <c r="V27" s="669">
        <f t="shared" si="11"/>
        <v>0</v>
      </c>
      <c r="W27" s="669">
        <f t="shared" si="11"/>
        <v>4649687</v>
      </c>
      <c r="X27" s="669">
        <f t="shared" si="11"/>
        <v>0</v>
      </c>
      <c r="Y27" s="669">
        <f t="shared" si="11"/>
        <v>4649687</v>
      </c>
      <c r="Z27" s="669">
        <f t="shared" si="11"/>
        <v>0</v>
      </c>
      <c r="AA27" s="669">
        <f t="shared" si="11"/>
        <v>4649687</v>
      </c>
      <c r="AB27" s="669">
        <f t="shared" si="11"/>
        <v>0</v>
      </c>
      <c r="AC27" s="669">
        <f t="shared" si="11"/>
        <v>4649687</v>
      </c>
      <c r="AD27" s="737"/>
      <c r="AE27" s="737"/>
    </row>
    <row r="28" spans="1:31" ht="13.5" thickBot="1">
      <c r="A28" s="666" t="s">
        <v>42</v>
      </c>
      <c r="B28" s="678" t="s">
        <v>430</v>
      </c>
      <c r="C28" s="679">
        <f aca="true" t="shared" si="12" ref="C28:O28">+C18+C27</f>
        <v>313229274</v>
      </c>
      <c r="D28" s="722">
        <f t="shared" si="12"/>
        <v>273985</v>
      </c>
      <c r="E28" s="722">
        <f t="shared" si="12"/>
        <v>313503259</v>
      </c>
      <c r="F28" s="722">
        <f t="shared" si="12"/>
        <v>16489876</v>
      </c>
      <c r="G28" s="722">
        <f t="shared" si="12"/>
        <v>329993135</v>
      </c>
      <c r="H28" s="679">
        <f t="shared" si="12"/>
        <v>8577576</v>
      </c>
      <c r="I28" s="722">
        <f t="shared" si="12"/>
        <v>338570711</v>
      </c>
      <c r="J28" s="679">
        <f t="shared" si="12"/>
        <v>845536</v>
      </c>
      <c r="K28" s="679">
        <f t="shared" si="12"/>
        <v>339416247</v>
      </c>
      <c r="L28" s="679">
        <f t="shared" si="12"/>
        <v>36579730</v>
      </c>
      <c r="M28" s="679">
        <f t="shared" si="12"/>
        <v>375995977</v>
      </c>
      <c r="N28" s="679">
        <f t="shared" si="12"/>
        <v>254494</v>
      </c>
      <c r="O28" s="679">
        <f t="shared" si="12"/>
        <v>376250471</v>
      </c>
      <c r="P28" s="678" t="s">
        <v>434</v>
      </c>
      <c r="Q28" s="679">
        <f aca="true" t="shared" si="13" ref="Q28:AC28">+Q18+Q27</f>
        <v>313229274</v>
      </c>
      <c r="R28" s="722">
        <f t="shared" si="13"/>
        <v>273985</v>
      </c>
      <c r="S28" s="722">
        <f t="shared" si="13"/>
        <v>313503259</v>
      </c>
      <c r="T28" s="722">
        <f t="shared" si="13"/>
        <v>16489876</v>
      </c>
      <c r="U28" s="722">
        <f t="shared" si="13"/>
        <v>329993135</v>
      </c>
      <c r="V28" s="722">
        <f t="shared" si="13"/>
        <v>8577576</v>
      </c>
      <c r="W28" s="722">
        <f t="shared" si="13"/>
        <v>338570711</v>
      </c>
      <c r="X28" s="679">
        <f t="shared" si="13"/>
        <v>845536</v>
      </c>
      <c r="Y28" s="679">
        <f t="shared" si="13"/>
        <v>339416247</v>
      </c>
      <c r="Z28" s="679">
        <f t="shared" si="13"/>
        <v>36579730</v>
      </c>
      <c r="AA28" s="679">
        <f t="shared" si="13"/>
        <v>375995977</v>
      </c>
      <c r="AB28" s="679">
        <f t="shared" si="13"/>
        <v>254494</v>
      </c>
      <c r="AC28" s="679">
        <f t="shared" si="13"/>
        <v>376250471</v>
      </c>
      <c r="AD28" s="737"/>
      <c r="AE28" s="737"/>
    </row>
    <row r="29" spans="1:31" ht="13.5" thickBot="1">
      <c r="A29" s="666" t="s">
        <v>43</v>
      </c>
      <c r="B29" s="678" t="s">
        <v>173</v>
      </c>
      <c r="C29" s="679">
        <f>IF(C18-Q18&lt;0,Q18-C18,"-")</f>
        <v>72249560</v>
      </c>
      <c r="D29" s="679" t="str">
        <f aca="true" t="shared" si="14" ref="D29:O29">IF(D18-AD18&lt;0,AD18-D18,"-")</f>
        <v>-</v>
      </c>
      <c r="E29" s="679" t="str">
        <f t="shared" si="14"/>
        <v>-</v>
      </c>
      <c r="F29" s="679" t="str">
        <f t="shared" si="14"/>
        <v>-</v>
      </c>
      <c r="G29" s="679" t="str">
        <f t="shared" si="14"/>
        <v>-</v>
      </c>
      <c r="H29" s="679" t="str">
        <f t="shared" si="14"/>
        <v>-</v>
      </c>
      <c r="I29" s="679" t="str">
        <f t="shared" si="14"/>
        <v>-</v>
      </c>
      <c r="J29" s="679" t="str">
        <f t="shared" si="14"/>
        <v>-</v>
      </c>
      <c r="K29" s="679" t="str">
        <f t="shared" si="14"/>
        <v>-</v>
      </c>
      <c r="L29" s="679" t="str">
        <f t="shared" si="14"/>
        <v>-</v>
      </c>
      <c r="M29" s="679" t="str">
        <f t="shared" si="14"/>
        <v>-</v>
      </c>
      <c r="N29" s="679" t="str">
        <f t="shared" si="14"/>
        <v>-</v>
      </c>
      <c r="O29" s="679" t="str">
        <f t="shared" si="14"/>
        <v>-</v>
      </c>
      <c r="P29" s="678" t="s">
        <v>174</v>
      </c>
      <c r="Q29" s="679" t="str">
        <f aca="true" t="shared" si="15" ref="Q29:AC29">IF(C18-Q18&gt;0,C18-Q18,"-")</f>
        <v>-</v>
      </c>
      <c r="R29" s="679">
        <f t="shared" si="15"/>
        <v>1381723</v>
      </c>
      <c r="S29" s="679" t="str">
        <f t="shared" si="15"/>
        <v>-</v>
      </c>
      <c r="T29" s="679" t="str">
        <f t="shared" si="15"/>
        <v>-</v>
      </c>
      <c r="U29" s="679" t="str">
        <f t="shared" si="15"/>
        <v>-</v>
      </c>
      <c r="V29" s="679" t="str">
        <f t="shared" si="15"/>
        <v>-</v>
      </c>
      <c r="W29" s="679" t="str">
        <f t="shared" si="15"/>
        <v>-</v>
      </c>
      <c r="X29" s="679">
        <f t="shared" si="15"/>
        <v>11155764</v>
      </c>
      <c r="Y29" s="679" t="str">
        <f t="shared" si="15"/>
        <v>-</v>
      </c>
      <c r="Z29" s="679" t="str">
        <f t="shared" si="15"/>
        <v>-</v>
      </c>
      <c r="AA29" s="679" t="str">
        <f t="shared" si="15"/>
        <v>-</v>
      </c>
      <c r="AB29" s="679" t="str">
        <f t="shared" si="15"/>
        <v>-</v>
      </c>
      <c r="AC29" s="679" t="str">
        <f t="shared" si="15"/>
        <v>-</v>
      </c>
      <c r="AD29" s="737"/>
      <c r="AE29" s="737"/>
    </row>
    <row r="30" spans="1:31" ht="13.5" thickBot="1">
      <c r="A30" s="666" t="s">
        <v>44</v>
      </c>
      <c r="B30" s="678" t="s">
        <v>241</v>
      </c>
      <c r="C30" s="679" t="str">
        <f>IF(C18+C19-Q28&lt;0,Q28-(C18+C19),"-")</f>
        <v>-</v>
      </c>
      <c r="D30" s="679" t="str">
        <f aca="true" t="shared" si="16" ref="D30:O30">IF(D18+D19-AD28&lt;0,AD28-(D18+D19),"-")</f>
        <v>-</v>
      </c>
      <c r="E30" s="679" t="str">
        <f t="shared" si="16"/>
        <v>-</v>
      </c>
      <c r="F30" s="679" t="str">
        <f t="shared" si="16"/>
        <v>-</v>
      </c>
      <c r="G30" s="679" t="str">
        <f t="shared" si="16"/>
        <v>-</v>
      </c>
      <c r="H30" s="679" t="str">
        <f t="shared" si="16"/>
        <v>-</v>
      </c>
      <c r="I30" s="679" t="str">
        <f t="shared" si="16"/>
        <v>-</v>
      </c>
      <c r="J30" s="679" t="str">
        <f t="shared" si="16"/>
        <v>-</v>
      </c>
      <c r="K30" s="679" t="str">
        <f t="shared" si="16"/>
        <v>-</v>
      </c>
      <c r="L30" s="679" t="str">
        <f t="shared" si="16"/>
        <v>-</v>
      </c>
      <c r="M30" s="679" t="str">
        <f t="shared" si="16"/>
        <v>-</v>
      </c>
      <c r="N30" s="679" t="str">
        <f t="shared" si="16"/>
        <v>-</v>
      </c>
      <c r="O30" s="679" t="str">
        <f t="shared" si="16"/>
        <v>-</v>
      </c>
      <c r="P30" s="678" t="s">
        <v>242</v>
      </c>
      <c r="Q30" s="679" t="str">
        <f aca="true" t="shared" si="17" ref="Q30:AC30">IF(C18+C19-Q28&gt;0,C18+C19-Q28,"-")</f>
        <v>-</v>
      </c>
      <c r="R30" s="679" t="str">
        <f t="shared" si="17"/>
        <v>-</v>
      </c>
      <c r="S30" s="679" t="str">
        <f t="shared" si="17"/>
        <v>-</v>
      </c>
      <c r="T30" s="679" t="str">
        <f t="shared" si="17"/>
        <v>-</v>
      </c>
      <c r="U30" s="679" t="str">
        <f t="shared" si="17"/>
        <v>-</v>
      </c>
      <c r="V30" s="679" t="str">
        <f t="shared" si="17"/>
        <v>-</v>
      </c>
      <c r="W30" s="679" t="str">
        <f t="shared" si="17"/>
        <v>-</v>
      </c>
      <c r="X30" s="679" t="str">
        <f t="shared" si="17"/>
        <v>-</v>
      </c>
      <c r="Y30" s="679" t="str">
        <f t="shared" si="17"/>
        <v>-</v>
      </c>
      <c r="Z30" s="679" t="str">
        <f t="shared" si="17"/>
        <v>-</v>
      </c>
      <c r="AA30" s="679" t="str">
        <f t="shared" si="17"/>
        <v>-</v>
      </c>
      <c r="AB30" s="679" t="str">
        <f t="shared" si="17"/>
        <v>-</v>
      </c>
      <c r="AC30" s="679" t="str">
        <f t="shared" si="17"/>
        <v>-</v>
      </c>
      <c r="AD30" s="737"/>
      <c r="AE30" s="737"/>
    </row>
    <row r="31" spans="2:16" ht="18.75">
      <c r="B31" s="740"/>
      <c r="C31" s="740"/>
      <c r="D31" s="740"/>
      <c r="E31" s="740"/>
      <c r="F31" s="740"/>
      <c r="G31" s="740"/>
      <c r="H31" s="740"/>
      <c r="I31" s="740"/>
      <c r="J31" s="740"/>
      <c r="K31" s="740"/>
      <c r="L31" s="740"/>
      <c r="M31" s="740"/>
      <c r="N31" s="740"/>
      <c r="O31" s="740"/>
      <c r="P31" s="740"/>
    </row>
  </sheetData>
  <sheetProtection/>
  <mergeCells count="4">
    <mergeCell ref="AD1:AD30"/>
    <mergeCell ref="AE1:AE30"/>
    <mergeCell ref="A3:A4"/>
    <mergeCell ref="B31:P31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scale="65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W33"/>
  <sheetViews>
    <sheetView view="pageBreakPreview" zoomScale="115" zoomScaleSheetLayoutView="115" workbookViewId="0" topLeftCell="B7">
      <selection activeCell="Y12" sqref="Y12"/>
    </sheetView>
  </sheetViews>
  <sheetFormatPr defaultColWidth="9.00390625" defaultRowHeight="12.75"/>
  <cols>
    <col min="1" max="1" width="6.875" style="636" customWidth="1"/>
    <col min="2" max="2" width="55.125" style="639" customWidth="1"/>
    <col min="3" max="3" width="16.375" style="636" customWidth="1"/>
    <col min="4" max="8" width="16.375" style="636" hidden="1" customWidth="1"/>
    <col min="9" max="11" width="16.375" style="636" customWidth="1"/>
    <col min="12" max="12" width="55.125" style="636" customWidth="1"/>
    <col min="13" max="13" width="16.375" style="636" customWidth="1"/>
    <col min="14" max="18" width="16.375" style="636" hidden="1" customWidth="1"/>
    <col min="19" max="21" width="16.375" style="636" customWidth="1"/>
    <col min="22" max="23" width="4.875" style="636" customWidth="1"/>
    <col min="24" max="16384" width="9.375" style="636" customWidth="1"/>
  </cols>
  <sheetData>
    <row r="1" spans="2:23" ht="31.5" customHeight="1">
      <c r="B1" s="637" t="s">
        <v>163</v>
      </c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  <c r="Q1" s="638"/>
      <c r="R1" s="638"/>
      <c r="S1" s="638"/>
      <c r="T1" s="638"/>
      <c r="U1" s="638"/>
      <c r="V1" s="737" t="s">
        <v>567</v>
      </c>
      <c r="W1" s="737" t="s">
        <v>609</v>
      </c>
    </row>
    <row r="2" spans="13:23" ht="14.25" thickBot="1">
      <c r="M2" s="634"/>
      <c r="O2" s="634"/>
      <c r="Q2" s="634"/>
      <c r="S2" s="634"/>
      <c r="U2" s="634" t="s">
        <v>535</v>
      </c>
      <c r="V2" s="737"/>
      <c r="W2" s="737"/>
    </row>
    <row r="3" spans="1:23" ht="13.5" thickBot="1">
      <c r="A3" s="741" t="s">
        <v>76</v>
      </c>
      <c r="B3" s="640" t="s">
        <v>59</v>
      </c>
      <c r="C3" s="641"/>
      <c r="D3" s="641"/>
      <c r="E3" s="641"/>
      <c r="F3" s="641"/>
      <c r="G3" s="641"/>
      <c r="H3" s="641"/>
      <c r="I3" s="641"/>
      <c r="J3" s="641"/>
      <c r="K3" s="641"/>
      <c r="L3" s="640" t="s">
        <v>61</v>
      </c>
      <c r="M3" s="642"/>
      <c r="N3" s="641"/>
      <c r="O3" s="641"/>
      <c r="P3" s="641"/>
      <c r="Q3" s="641"/>
      <c r="R3" s="641"/>
      <c r="S3" s="641"/>
      <c r="T3" s="641"/>
      <c r="U3" s="641"/>
      <c r="V3" s="737"/>
      <c r="W3" s="737"/>
    </row>
    <row r="4" spans="1:23" s="645" customFormat="1" ht="36.75" thickBot="1">
      <c r="A4" s="742"/>
      <c r="B4" s="643" t="s">
        <v>68</v>
      </c>
      <c r="C4" s="644" t="s">
        <v>540</v>
      </c>
      <c r="D4" s="644" t="s">
        <v>596</v>
      </c>
      <c r="E4" s="644" t="s">
        <v>581</v>
      </c>
      <c r="F4" s="644" t="s">
        <v>600</v>
      </c>
      <c r="G4" s="644" t="s">
        <v>581</v>
      </c>
      <c r="H4" s="644" t="s">
        <v>603</v>
      </c>
      <c r="I4" s="644" t="s">
        <v>581</v>
      </c>
      <c r="J4" s="644" t="s">
        <v>608</v>
      </c>
      <c r="K4" s="644" t="s">
        <v>581</v>
      </c>
      <c r="L4" s="643" t="s">
        <v>68</v>
      </c>
      <c r="M4" s="644" t="s">
        <v>540</v>
      </c>
      <c r="N4" s="644" t="s">
        <v>596</v>
      </c>
      <c r="O4" s="705" t="s">
        <v>581</v>
      </c>
      <c r="P4" s="644" t="s">
        <v>600</v>
      </c>
      <c r="Q4" s="705" t="s">
        <v>581</v>
      </c>
      <c r="R4" s="644" t="s">
        <v>603</v>
      </c>
      <c r="S4" s="705" t="s">
        <v>581</v>
      </c>
      <c r="T4" s="644" t="s">
        <v>608</v>
      </c>
      <c r="U4" s="705" t="s">
        <v>581</v>
      </c>
      <c r="V4" s="737"/>
      <c r="W4" s="737"/>
    </row>
    <row r="5" spans="1:23" s="645" customFormat="1" ht="13.5" thickBot="1">
      <c r="A5" s="646">
        <v>1</v>
      </c>
      <c r="B5" s="647">
        <v>2</v>
      </c>
      <c r="C5" s="648">
        <v>3</v>
      </c>
      <c r="D5" s="648">
        <v>4</v>
      </c>
      <c r="E5" s="648">
        <v>4</v>
      </c>
      <c r="F5" s="648">
        <v>5</v>
      </c>
      <c r="G5" s="648">
        <v>4</v>
      </c>
      <c r="H5" s="648">
        <v>5</v>
      </c>
      <c r="I5" s="648">
        <v>4</v>
      </c>
      <c r="J5" s="648">
        <v>5</v>
      </c>
      <c r="K5" s="648">
        <v>6</v>
      </c>
      <c r="L5" s="647">
        <v>7</v>
      </c>
      <c r="M5" s="649">
        <v>8</v>
      </c>
      <c r="N5" s="648">
        <v>9</v>
      </c>
      <c r="O5" s="649">
        <v>9</v>
      </c>
      <c r="P5" s="648">
        <v>10</v>
      </c>
      <c r="Q5" s="649">
        <v>9</v>
      </c>
      <c r="R5" s="648">
        <v>10</v>
      </c>
      <c r="S5" s="649">
        <v>9</v>
      </c>
      <c r="T5" s="648">
        <v>10</v>
      </c>
      <c r="U5" s="649">
        <v>11</v>
      </c>
      <c r="V5" s="737"/>
      <c r="W5" s="737"/>
    </row>
    <row r="6" spans="1:23" ht="12.75" customHeight="1">
      <c r="A6" s="651" t="s">
        <v>20</v>
      </c>
      <c r="B6" s="652" t="s">
        <v>435</v>
      </c>
      <c r="C6" s="653"/>
      <c r="D6" s="653"/>
      <c r="E6" s="653"/>
      <c r="F6" s="653"/>
      <c r="G6" s="653"/>
      <c r="H6" s="653"/>
      <c r="I6" s="653"/>
      <c r="J6" s="653"/>
      <c r="K6" s="653"/>
      <c r="L6" s="652" t="s">
        <v>234</v>
      </c>
      <c r="M6" s="654">
        <v>25097687</v>
      </c>
      <c r="N6" s="653">
        <v>2926115</v>
      </c>
      <c r="O6" s="654">
        <f aca="true" t="shared" si="0" ref="O6:O11">M6+N6</f>
        <v>28023802</v>
      </c>
      <c r="P6" s="653">
        <v>-18000000</v>
      </c>
      <c r="Q6" s="654">
        <f aca="true" t="shared" si="1" ref="Q6:Q11">O6+P6</f>
        <v>10023802</v>
      </c>
      <c r="R6" s="653">
        <v>400000</v>
      </c>
      <c r="S6" s="654">
        <f aca="true" t="shared" si="2" ref="S6:S11">Q6+R6</f>
        <v>10423802</v>
      </c>
      <c r="T6" s="653">
        <v>4999863</v>
      </c>
      <c r="U6" s="654">
        <f aca="true" t="shared" si="3" ref="U6:U11">S6+T6</f>
        <v>15423665</v>
      </c>
      <c r="V6" s="737"/>
      <c r="W6" s="737"/>
    </row>
    <row r="7" spans="1:23" ht="12.75">
      <c r="A7" s="655" t="s">
        <v>21</v>
      </c>
      <c r="B7" s="656" t="s">
        <v>436</v>
      </c>
      <c r="C7" s="657"/>
      <c r="D7" s="657"/>
      <c r="E7" s="657"/>
      <c r="F7" s="657"/>
      <c r="G7" s="657"/>
      <c r="H7" s="657"/>
      <c r="I7" s="657"/>
      <c r="J7" s="657"/>
      <c r="K7" s="657"/>
      <c r="L7" s="656" t="s">
        <v>441</v>
      </c>
      <c r="M7" s="658"/>
      <c r="N7" s="657"/>
      <c r="O7" s="654">
        <f t="shared" si="0"/>
        <v>0</v>
      </c>
      <c r="P7" s="657"/>
      <c r="Q7" s="654">
        <f t="shared" si="1"/>
        <v>0</v>
      </c>
      <c r="R7" s="657"/>
      <c r="S7" s="654">
        <f t="shared" si="2"/>
        <v>0</v>
      </c>
      <c r="T7" s="657"/>
      <c r="U7" s="654">
        <f t="shared" si="3"/>
        <v>0</v>
      </c>
      <c r="V7" s="737"/>
      <c r="W7" s="737"/>
    </row>
    <row r="8" spans="1:23" ht="12.75" customHeight="1">
      <c r="A8" s="655" t="s">
        <v>22</v>
      </c>
      <c r="B8" s="656" t="s">
        <v>12</v>
      </c>
      <c r="C8" s="657"/>
      <c r="D8" s="657"/>
      <c r="E8" s="657"/>
      <c r="F8" s="657"/>
      <c r="G8" s="657"/>
      <c r="H8" s="657"/>
      <c r="I8" s="657"/>
      <c r="J8" s="657">
        <v>14000000</v>
      </c>
      <c r="K8" s="657">
        <v>14000000</v>
      </c>
      <c r="L8" s="656" t="s">
        <v>191</v>
      </c>
      <c r="M8" s="658">
        <v>30175969</v>
      </c>
      <c r="N8" s="657"/>
      <c r="O8" s="654">
        <f t="shared" si="0"/>
        <v>30175969</v>
      </c>
      <c r="P8" s="657">
        <v>61037197</v>
      </c>
      <c r="Q8" s="654">
        <f t="shared" si="1"/>
        <v>91213166</v>
      </c>
      <c r="R8" s="657">
        <v>16934113</v>
      </c>
      <c r="S8" s="654">
        <f t="shared" si="2"/>
        <v>108147279</v>
      </c>
      <c r="T8" s="657">
        <v>2635758</v>
      </c>
      <c r="U8" s="654">
        <f t="shared" si="3"/>
        <v>110783037</v>
      </c>
      <c r="V8" s="737"/>
      <c r="W8" s="737"/>
    </row>
    <row r="9" spans="1:23" ht="12.75" customHeight="1">
      <c r="A9" s="655" t="s">
        <v>23</v>
      </c>
      <c r="B9" s="656" t="s">
        <v>437</v>
      </c>
      <c r="C9" s="657"/>
      <c r="D9" s="657"/>
      <c r="E9" s="657"/>
      <c r="F9" s="657"/>
      <c r="G9" s="657"/>
      <c r="H9" s="657"/>
      <c r="I9" s="657"/>
      <c r="J9" s="657"/>
      <c r="K9" s="657"/>
      <c r="L9" s="656" t="s">
        <v>442</v>
      </c>
      <c r="M9" s="658"/>
      <c r="N9" s="657"/>
      <c r="O9" s="654">
        <f t="shared" si="0"/>
        <v>0</v>
      </c>
      <c r="P9" s="657"/>
      <c r="Q9" s="654">
        <f t="shared" si="1"/>
        <v>0</v>
      </c>
      <c r="R9" s="657"/>
      <c r="S9" s="654">
        <f t="shared" si="2"/>
        <v>0</v>
      </c>
      <c r="T9" s="657"/>
      <c r="U9" s="654">
        <f t="shared" si="3"/>
        <v>0</v>
      </c>
      <c r="V9" s="737"/>
      <c r="W9" s="737"/>
    </row>
    <row r="10" spans="1:23" ht="12.75" customHeight="1">
      <c r="A10" s="655" t="s">
        <v>24</v>
      </c>
      <c r="B10" s="656" t="s">
        <v>438</v>
      </c>
      <c r="C10" s="657"/>
      <c r="D10" s="657"/>
      <c r="E10" s="657"/>
      <c r="F10" s="657"/>
      <c r="G10" s="657"/>
      <c r="H10" s="657"/>
      <c r="I10" s="657"/>
      <c r="J10" s="657"/>
      <c r="K10" s="657"/>
      <c r="L10" s="656" t="s">
        <v>236</v>
      </c>
      <c r="M10" s="658">
        <v>2900000</v>
      </c>
      <c r="N10" s="657"/>
      <c r="O10" s="654">
        <f t="shared" si="0"/>
        <v>2900000</v>
      </c>
      <c r="P10" s="657"/>
      <c r="Q10" s="654">
        <f t="shared" si="1"/>
        <v>2900000</v>
      </c>
      <c r="R10" s="657">
        <v>-500000</v>
      </c>
      <c r="S10" s="654">
        <f t="shared" si="2"/>
        <v>2400000</v>
      </c>
      <c r="T10" s="657"/>
      <c r="U10" s="654">
        <f t="shared" si="3"/>
        <v>2400000</v>
      </c>
      <c r="V10" s="737"/>
      <c r="W10" s="737"/>
    </row>
    <row r="11" spans="1:23" ht="12.75" customHeight="1">
      <c r="A11" s="655" t="s">
        <v>25</v>
      </c>
      <c r="B11" s="656" t="s">
        <v>439</v>
      </c>
      <c r="C11" s="660">
        <v>9800000</v>
      </c>
      <c r="D11" s="660">
        <v>2926115</v>
      </c>
      <c r="E11" s="660">
        <f>C11+D11</f>
        <v>12726115</v>
      </c>
      <c r="F11" s="660">
        <v>12746471</v>
      </c>
      <c r="G11" s="660">
        <f>E11+F11</f>
        <v>25472586</v>
      </c>
      <c r="H11" s="660">
        <v>4999863</v>
      </c>
      <c r="I11" s="660">
        <f>G11+H11</f>
        <v>30472449</v>
      </c>
      <c r="J11" s="660">
        <v>40819387</v>
      </c>
      <c r="K11" s="660">
        <f>I11+J11</f>
        <v>71291836</v>
      </c>
      <c r="L11" s="661"/>
      <c r="M11" s="658"/>
      <c r="N11" s="660">
        <v>0</v>
      </c>
      <c r="O11" s="658">
        <f t="shared" si="0"/>
        <v>0</v>
      </c>
      <c r="P11" s="660">
        <v>0</v>
      </c>
      <c r="Q11" s="658">
        <f t="shared" si="1"/>
        <v>0</v>
      </c>
      <c r="R11" s="660">
        <v>0</v>
      </c>
      <c r="S11" s="658">
        <f t="shared" si="2"/>
        <v>0</v>
      </c>
      <c r="T11" s="660">
        <v>0</v>
      </c>
      <c r="U11" s="658">
        <f t="shared" si="3"/>
        <v>0</v>
      </c>
      <c r="V11" s="737"/>
      <c r="W11" s="737"/>
    </row>
    <row r="12" spans="1:23" ht="12.75" customHeight="1">
      <c r="A12" s="655" t="s">
        <v>26</v>
      </c>
      <c r="B12" s="661"/>
      <c r="C12" s="657"/>
      <c r="D12" s="657"/>
      <c r="E12" s="657"/>
      <c r="F12" s="657"/>
      <c r="G12" s="657"/>
      <c r="H12" s="657"/>
      <c r="I12" s="657"/>
      <c r="J12" s="657"/>
      <c r="K12" s="657"/>
      <c r="L12" s="661"/>
      <c r="M12" s="658"/>
      <c r="N12" s="657"/>
      <c r="O12" s="658"/>
      <c r="P12" s="657"/>
      <c r="Q12" s="658"/>
      <c r="R12" s="657"/>
      <c r="S12" s="658"/>
      <c r="T12" s="657"/>
      <c r="U12" s="658"/>
      <c r="V12" s="737"/>
      <c r="W12" s="737"/>
    </row>
    <row r="13" spans="1:23" ht="12.75" customHeight="1">
      <c r="A13" s="655" t="s">
        <v>27</v>
      </c>
      <c r="B13" s="661"/>
      <c r="C13" s="657"/>
      <c r="D13" s="657"/>
      <c r="E13" s="657"/>
      <c r="F13" s="657"/>
      <c r="G13" s="657"/>
      <c r="H13" s="657"/>
      <c r="I13" s="657"/>
      <c r="J13" s="657"/>
      <c r="K13" s="657"/>
      <c r="L13" s="661"/>
      <c r="M13" s="658"/>
      <c r="N13" s="657"/>
      <c r="O13" s="658"/>
      <c r="P13" s="657"/>
      <c r="Q13" s="658"/>
      <c r="R13" s="657"/>
      <c r="S13" s="658"/>
      <c r="T13" s="657"/>
      <c r="U13" s="658"/>
      <c r="V13" s="737"/>
      <c r="W13" s="737"/>
    </row>
    <row r="14" spans="1:23" ht="12.75" customHeight="1">
      <c r="A14" s="655" t="s">
        <v>28</v>
      </c>
      <c r="B14" s="661"/>
      <c r="C14" s="660"/>
      <c r="D14" s="660"/>
      <c r="E14" s="660"/>
      <c r="F14" s="660"/>
      <c r="G14" s="660"/>
      <c r="H14" s="660"/>
      <c r="I14" s="660"/>
      <c r="J14" s="660"/>
      <c r="K14" s="660"/>
      <c r="L14" s="661"/>
      <c r="M14" s="658"/>
      <c r="N14" s="660"/>
      <c r="O14" s="658"/>
      <c r="P14" s="660"/>
      <c r="Q14" s="658"/>
      <c r="R14" s="660"/>
      <c r="S14" s="658"/>
      <c r="T14" s="660"/>
      <c r="U14" s="658"/>
      <c r="V14" s="737"/>
      <c r="W14" s="737"/>
    </row>
    <row r="15" spans="1:23" ht="12.75">
      <c r="A15" s="655" t="s">
        <v>29</v>
      </c>
      <c r="B15" s="661"/>
      <c r="C15" s="660"/>
      <c r="D15" s="660"/>
      <c r="E15" s="660"/>
      <c r="F15" s="660"/>
      <c r="G15" s="660"/>
      <c r="H15" s="660"/>
      <c r="I15" s="660"/>
      <c r="J15" s="660"/>
      <c r="K15" s="660"/>
      <c r="L15" s="661"/>
      <c r="M15" s="658"/>
      <c r="N15" s="660"/>
      <c r="O15" s="658"/>
      <c r="P15" s="660"/>
      <c r="Q15" s="658"/>
      <c r="R15" s="660"/>
      <c r="S15" s="658"/>
      <c r="T15" s="660"/>
      <c r="U15" s="658"/>
      <c r="V15" s="737"/>
      <c r="W15" s="737"/>
    </row>
    <row r="16" spans="1:23" ht="12.75" customHeight="1" thickBot="1">
      <c r="A16" s="706" t="s">
        <v>30</v>
      </c>
      <c r="B16" s="707"/>
      <c r="C16" s="708"/>
      <c r="D16" s="708"/>
      <c r="E16" s="708"/>
      <c r="F16" s="708"/>
      <c r="G16" s="708"/>
      <c r="H16" s="708"/>
      <c r="I16" s="708"/>
      <c r="J16" s="708"/>
      <c r="K16" s="708"/>
      <c r="L16" s="709" t="s">
        <v>51</v>
      </c>
      <c r="M16" s="690">
        <v>31406066</v>
      </c>
      <c r="N16" s="708"/>
      <c r="O16" s="690">
        <f>M16+N16</f>
        <v>31406066</v>
      </c>
      <c r="P16" s="708">
        <v>-30290726</v>
      </c>
      <c r="Q16" s="690">
        <f>O16+P16</f>
        <v>1115340</v>
      </c>
      <c r="R16" s="708">
        <v>-678486</v>
      </c>
      <c r="S16" s="690">
        <f>Q16+R16</f>
        <v>436854</v>
      </c>
      <c r="T16" s="708">
        <v>47183766</v>
      </c>
      <c r="U16" s="690">
        <f>S16+T16</f>
        <v>47620620</v>
      </c>
      <c r="V16" s="737"/>
      <c r="W16" s="737"/>
    </row>
    <row r="17" spans="1:23" ht="15.75" customHeight="1" thickBot="1">
      <c r="A17" s="666" t="s">
        <v>31</v>
      </c>
      <c r="B17" s="667" t="s">
        <v>462</v>
      </c>
      <c r="C17" s="668">
        <f aca="true" t="shared" si="4" ref="C17:I17">+C6+C8+C9+C11+C12+C13+C14+C15+C16</f>
        <v>9800000</v>
      </c>
      <c r="D17" s="668">
        <f t="shared" si="4"/>
        <v>2926115</v>
      </c>
      <c r="E17" s="668">
        <f t="shared" si="4"/>
        <v>12726115</v>
      </c>
      <c r="F17" s="668">
        <f t="shared" si="4"/>
        <v>12746471</v>
      </c>
      <c r="G17" s="668">
        <f t="shared" si="4"/>
        <v>25472586</v>
      </c>
      <c r="H17" s="668">
        <f t="shared" si="4"/>
        <v>4999863</v>
      </c>
      <c r="I17" s="668">
        <f t="shared" si="4"/>
        <v>30472449</v>
      </c>
      <c r="J17" s="668">
        <f>+J6+J8+J9+J11+J12+J13+J14+J15+J16</f>
        <v>54819387</v>
      </c>
      <c r="K17" s="668">
        <f>+K6+K8+K9+K11+K12+K13+K14+K15+K16</f>
        <v>85291836</v>
      </c>
      <c r="L17" s="667" t="s">
        <v>463</v>
      </c>
      <c r="M17" s="669">
        <f>+M6+M8+M10+M11+M12+M13+M14+M15+M16</f>
        <v>89579722</v>
      </c>
      <c r="N17" s="668">
        <f>+N6+N8+N9+N11+N12+N13+N14+N15+N16</f>
        <v>2926115</v>
      </c>
      <c r="O17" s="669">
        <f>+O6+O8+O9+O11+O12+O13+O14+O15+O16</f>
        <v>89605837</v>
      </c>
      <c r="P17" s="668">
        <f>+P6+P8+P9+P11+P12+P13+P14+P15+P16</f>
        <v>12746471</v>
      </c>
      <c r="Q17" s="669">
        <f>+Q6+Q8+Q9+Q11+Q12+Q13+Q14+Q15+Q16</f>
        <v>102352308</v>
      </c>
      <c r="R17" s="668">
        <f>+R6+R8+R9+R11+R12+R13+R14+R15+R16+R10</f>
        <v>16155627</v>
      </c>
      <c r="S17" s="669">
        <f>+S6+S8+S9+S11+S12+S13+S14+S15+S16</f>
        <v>119007935</v>
      </c>
      <c r="T17" s="668">
        <f>+T6+T8+T9+T11+T12+T13+T14+T15+T16+T10</f>
        <v>54819387</v>
      </c>
      <c r="U17" s="669">
        <f>+U6+U8+U9+U11+U12+U13+U14+U15+U16</f>
        <v>173827322</v>
      </c>
      <c r="V17" s="737"/>
      <c r="W17" s="737"/>
    </row>
    <row r="18" spans="1:23" ht="12.75" customHeight="1">
      <c r="A18" s="651" t="s">
        <v>32</v>
      </c>
      <c r="B18" s="710" t="s">
        <v>254</v>
      </c>
      <c r="C18" s="711">
        <f aca="true" t="shared" si="5" ref="C18:I18">+C19+C20+C21+C22+C23</f>
        <v>79779722</v>
      </c>
      <c r="D18" s="711">
        <f t="shared" si="5"/>
        <v>0</v>
      </c>
      <c r="E18" s="711">
        <f t="shared" si="5"/>
        <v>79779722</v>
      </c>
      <c r="F18" s="711">
        <f t="shared" si="5"/>
        <v>0</v>
      </c>
      <c r="G18" s="711">
        <f t="shared" si="5"/>
        <v>79779722</v>
      </c>
      <c r="H18" s="711">
        <f t="shared" si="5"/>
        <v>11155764</v>
      </c>
      <c r="I18" s="711">
        <f t="shared" si="5"/>
        <v>90935486</v>
      </c>
      <c r="J18" s="711">
        <f>+J19+J20+J21+J22+J23</f>
        <v>0</v>
      </c>
      <c r="K18" s="711">
        <f>+K19+K20+K21+K22+K23</f>
        <v>90935486</v>
      </c>
      <c r="L18" s="673" t="s">
        <v>195</v>
      </c>
      <c r="M18" s="625"/>
      <c r="N18" s="711">
        <f aca="true" t="shared" si="6" ref="N18:S18">+N19+N20+N21+N22+N23</f>
        <v>0</v>
      </c>
      <c r="O18" s="712">
        <f t="shared" si="6"/>
        <v>0</v>
      </c>
      <c r="P18" s="711">
        <f t="shared" si="6"/>
        <v>0</v>
      </c>
      <c r="Q18" s="712">
        <f t="shared" si="6"/>
        <v>0</v>
      </c>
      <c r="R18" s="711">
        <f t="shared" si="6"/>
        <v>0</v>
      </c>
      <c r="S18" s="712">
        <f t="shared" si="6"/>
        <v>0</v>
      </c>
      <c r="T18" s="711">
        <f>+T19+T20+T21+T22+T23</f>
        <v>0</v>
      </c>
      <c r="U18" s="712">
        <f>+U19+U20+U21+U22+U23</f>
        <v>0</v>
      </c>
      <c r="V18" s="737"/>
      <c r="W18" s="737"/>
    </row>
    <row r="19" spans="1:23" ht="12.75" customHeight="1">
      <c r="A19" s="655" t="s">
        <v>33</v>
      </c>
      <c r="B19" s="713" t="s">
        <v>243</v>
      </c>
      <c r="C19" s="618">
        <v>79779722</v>
      </c>
      <c r="D19" s="618">
        <v>0</v>
      </c>
      <c r="E19" s="618">
        <f>C19+D19</f>
        <v>79779722</v>
      </c>
      <c r="F19" s="618">
        <v>0</v>
      </c>
      <c r="G19" s="618">
        <f>E19+F19</f>
        <v>79779722</v>
      </c>
      <c r="H19" s="618">
        <f>11255764-100000</f>
        <v>11155764</v>
      </c>
      <c r="I19" s="618">
        <f>G19+H19</f>
        <v>90935486</v>
      </c>
      <c r="J19" s="618"/>
      <c r="K19" s="618">
        <f>I19+J19</f>
        <v>90935486</v>
      </c>
      <c r="L19" s="673" t="s">
        <v>198</v>
      </c>
      <c r="M19" s="617"/>
      <c r="N19" s="618">
        <v>0</v>
      </c>
      <c r="O19" s="617">
        <f>M19+N19</f>
        <v>0</v>
      </c>
      <c r="P19" s="618">
        <v>0</v>
      </c>
      <c r="Q19" s="617">
        <f>O19+P19</f>
        <v>0</v>
      </c>
      <c r="R19" s="618">
        <v>0</v>
      </c>
      <c r="S19" s="617">
        <f>Q19+R19</f>
        <v>0</v>
      </c>
      <c r="T19" s="618">
        <v>0</v>
      </c>
      <c r="U19" s="617">
        <f>S19+T19</f>
        <v>0</v>
      </c>
      <c r="V19" s="737"/>
      <c r="W19" s="737"/>
    </row>
    <row r="20" spans="1:23" ht="12.75" customHeight="1">
      <c r="A20" s="651" t="s">
        <v>34</v>
      </c>
      <c r="B20" s="713" t="s">
        <v>244</v>
      </c>
      <c r="C20" s="618"/>
      <c r="D20" s="618"/>
      <c r="E20" s="618"/>
      <c r="F20" s="618"/>
      <c r="G20" s="618"/>
      <c r="H20" s="618"/>
      <c r="I20" s="618"/>
      <c r="J20" s="618"/>
      <c r="K20" s="618"/>
      <c r="L20" s="673" t="s">
        <v>160</v>
      </c>
      <c r="M20" s="617"/>
      <c r="N20" s="618"/>
      <c r="O20" s="617"/>
      <c r="P20" s="618"/>
      <c r="Q20" s="617"/>
      <c r="R20" s="618"/>
      <c r="S20" s="617"/>
      <c r="T20" s="618"/>
      <c r="U20" s="617"/>
      <c r="V20" s="737"/>
      <c r="W20" s="737"/>
    </row>
    <row r="21" spans="1:23" ht="12.75" customHeight="1">
      <c r="A21" s="655" t="s">
        <v>35</v>
      </c>
      <c r="B21" s="713" t="s">
        <v>245</v>
      </c>
      <c r="C21" s="618"/>
      <c r="D21" s="618"/>
      <c r="E21" s="618"/>
      <c r="F21" s="618"/>
      <c r="G21" s="618"/>
      <c r="H21" s="618"/>
      <c r="I21" s="618"/>
      <c r="J21" s="618"/>
      <c r="K21" s="618"/>
      <c r="L21" s="673" t="s">
        <v>161</v>
      </c>
      <c r="M21" s="617"/>
      <c r="N21" s="618"/>
      <c r="O21" s="617"/>
      <c r="P21" s="618"/>
      <c r="Q21" s="617"/>
      <c r="R21" s="618"/>
      <c r="S21" s="617"/>
      <c r="T21" s="618"/>
      <c r="U21" s="617"/>
      <c r="V21" s="737"/>
      <c r="W21" s="737"/>
    </row>
    <row r="22" spans="1:23" ht="12.75" customHeight="1">
      <c r="A22" s="651" t="s">
        <v>36</v>
      </c>
      <c r="B22" s="713" t="s">
        <v>246</v>
      </c>
      <c r="C22" s="618"/>
      <c r="D22" s="618"/>
      <c r="E22" s="618"/>
      <c r="F22" s="618"/>
      <c r="G22" s="618"/>
      <c r="H22" s="618"/>
      <c r="I22" s="618"/>
      <c r="J22" s="618"/>
      <c r="K22" s="618"/>
      <c r="L22" s="671" t="s">
        <v>240</v>
      </c>
      <c r="M22" s="617"/>
      <c r="N22" s="618"/>
      <c r="O22" s="617"/>
      <c r="P22" s="618"/>
      <c r="Q22" s="617"/>
      <c r="R22" s="618"/>
      <c r="S22" s="617"/>
      <c r="T22" s="618"/>
      <c r="U22" s="617"/>
      <c r="V22" s="737"/>
      <c r="W22" s="737"/>
    </row>
    <row r="23" spans="1:23" ht="12.75" customHeight="1">
      <c r="A23" s="655" t="s">
        <v>37</v>
      </c>
      <c r="B23" s="714" t="s">
        <v>247</v>
      </c>
      <c r="C23" s="618"/>
      <c r="D23" s="618"/>
      <c r="E23" s="618"/>
      <c r="F23" s="618"/>
      <c r="G23" s="618"/>
      <c r="H23" s="618"/>
      <c r="I23" s="618"/>
      <c r="J23" s="618"/>
      <c r="K23" s="618"/>
      <c r="L23" s="673" t="s">
        <v>199</v>
      </c>
      <c r="M23" s="617"/>
      <c r="N23" s="618"/>
      <c r="O23" s="617"/>
      <c r="P23" s="618"/>
      <c r="Q23" s="617"/>
      <c r="R23" s="618"/>
      <c r="S23" s="617"/>
      <c r="T23" s="618"/>
      <c r="U23" s="617"/>
      <c r="V23" s="737"/>
      <c r="W23" s="737"/>
    </row>
    <row r="24" spans="1:23" ht="12.75" customHeight="1">
      <c r="A24" s="651" t="s">
        <v>38</v>
      </c>
      <c r="B24" s="715" t="s">
        <v>248</v>
      </c>
      <c r="C24" s="676">
        <f aca="true" t="shared" si="7" ref="C24:I24">+C25+C26+C27+C28+C29</f>
        <v>0</v>
      </c>
      <c r="D24" s="676">
        <f t="shared" si="7"/>
        <v>0</v>
      </c>
      <c r="E24" s="676">
        <f t="shared" si="7"/>
        <v>0</v>
      </c>
      <c r="F24" s="676">
        <f t="shared" si="7"/>
        <v>0</v>
      </c>
      <c r="G24" s="676">
        <f t="shared" si="7"/>
        <v>0</v>
      </c>
      <c r="H24" s="676">
        <f t="shared" si="7"/>
        <v>0</v>
      </c>
      <c r="I24" s="676">
        <f t="shared" si="7"/>
        <v>0</v>
      </c>
      <c r="J24" s="676">
        <f>+J25+J26+J27+J28+J29</f>
        <v>0</v>
      </c>
      <c r="K24" s="676">
        <f>+K25+K26+K27+K28+K29</f>
        <v>0</v>
      </c>
      <c r="L24" s="716" t="s">
        <v>197</v>
      </c>
      <c r="M24" s="617"/>
      <c r="N24" s="676">
        <f aca="true" t="shared" si="8" ref="N24:S24">+N25+N26+N27+N28+N29</f>
        <v>0</v>
      </c>
      <c r="O24" s="717">
        <f t="shared" si="8"/>
        <v>0</v>
      </c>
      <c r="P24" s="676">
        <f t="shared" si="8"/>
        <v>0</v>
      </c>
      <c r="Q24" s="717">
        <f t="shared" si="8"/>
        <v>0</v>
      </c>
      <c r="R24" s="676">
        <f t="shared" si="8"/>
        <v>0</v>
      </c>
      <c r="S24" s="717">
        <f t="shared" si="8"/>
        <v>0</v>
      </c>
      <c r="T24" s="676">
        <f>+T25+T26+T27+T28+T29</f>
        <v>0</v>
      </c>
      <c r="U24" s="717">
        <f>+U25+U26+U27+U28+U29</f>
        <v>0</v>
      </c>
      <c r="V24" s="737"/>
      <c r="W24" s="737"/>
    </row>
    <row r="25" spans="1:23" ht="12.75" customHeight="1">
      <c r="A25" s="655" t="s">
        <v>39</v>
      </c>
      <c r="B25" s="714" t="s">
        <v>249</v>
      </c>
      <c r="C25" s="618"/>
      <c r="D25" s="618"/>
      <c r="E25" s="618"/>
      <c r="F25" s="618"/>
      <c r="G25" s="618"/>
      <c r="H25" s="618"/>
      <c r="I25" s="618"/>
      <c r="J25" s="618"/>
      <c r="K25" s="618"/>
      <c r="L25" s="716" t="s">
        <v>443</v>
      </c>
      <c r="M25" s="617"/>
      <c r="N25" s="618"/>
      <c r="O25" s="617"/>
      <c r="P25" s="618"/>
      <c r="Q25" s="617"/>
      <c r="R25" s="618"/>
      <c r="S25" s="617"/>
      <c r="T25" s="618"/>
      <c r="U25" s="617"/>
      <c r="V25" s="737"/>
      <c r="W25" s="737"/>
    </row>
    <row r="26" spans="1:23" ht="12.75" customHeight="1">
      <c r="A26" s="651" t="s">
        <v>40</v>
      </c>
      <c r="B26" s="714" t="s">
        <v>250</v>
      </c>
      <c r="C26" s="618"/>
      <c r="D26" s="618"/>
      <c r="E26" s="618"/>
      <c r="F26" s="618"/>
      <c r="G26" s="618"/>
      <c r="H26" s="618"/>
      <c r="I26" s="618"/>
      <c r="J26" s="618"/>
      <c r="K26" s="618"/>
      <c r="L26" s="718"/>
      <c r="M26" s="617"/>
      <c r="N26" s="618"/>
      <c r="O26" s="617"/>
      <c r="P26" s="618"/>
      <c r="Q26" s="617"/>
      <c r="R26" s="618"/>
      <c r="S26" s="617"/>
      <c r="T26" s="618"/>
      <c r="U26" s="617"/>
      <c r="V26" s="737"/>
      <c r="W26" s="737"/>
    </row>
    <row r="27" spans="1:23" ht="12.75" customHeight="1">
      <c r="A27" s="655" t="s">
        <v>41</v>
      </c>
      <c r="B27" s="713" t="s">
        <v>251</v>
      </c>
      <c r="C27" s="618"/>
      <c r="D27" s="618"/>
      <c r="E27" s="618"/>
      <c r="F27" s="618"/>
      <c r="G27" s="618"/>
      <c r="H27" s="618"/>
      <c r="I27" s="618"/>
      <c r="J27" s="618"/>
      <c r="K27" s="618"/>
      <c r="L27" s="719"/>
      <c r="M27" s="617"/>
      <c r="N27" s="618"/>
      <c r="O27" s="617"/>
      <c r="P27" s="618"/>
      <c r="Q27" s="617"/>
      <c r="R27" s="618"/>
      <c r="S27" s="617"/>
      <c r="T27" s="618"/>
      <c r="U27" s="617"/>
      <c r="V27" s="737"/>
      <c r="W27" s="737"/>
    </row>
    <row r="28" spans="1:23" ht="12.75" customHeight="1">
      <c r="A28" s="651" t="s">
        <v>42</v>
      </c>
      <c r="B28" s="720" t="s">
        <v>252</v>
      </c>
      <c r="C28" s="618"/>
      <c r="D28" s="618"/>
      <c r="E28" s="618"/>
      <c r="F28" s="618"/>
      <c r="G28" s="618"/>
      <c r="H28" s="618"/>
      <c r="I28" s="618"/>
      <c r="J28" s="618"/>
      <c r="K28" s="618"/>
      <c r="L28" s="661"/>
      <c r="M28" s="617"/>
      <c r="N28" s="618"/>
      <c r="O28" s="617"/>
      <c r="P28" s="618"/>
      <c r="Q28" s="617"/>
      <c r="R28" s="618"/>
      <c r="S28" s="617"/>
      <c r="T28" s="618"/>
      <c r="U28" s="617"/>
      <c r="V28" s="737"/>
      <c r="W28" s="737"/>
    </row>
    <row r="29" spans="1:23" ht="12.75" customHeight="1" thickBot="1">
      <c r="A29" s="655" t="s">
        <v>43</v>
      </c>
      <c r="B29" s="721" t="s">
        <v>253</v>
      </c>
      <c r="C29" s="618"/>
      <c r="D29" s="618"/>
      <c r="E29" s="618"/>
      <c r="F29" s="618"/>
      <c r="G29" s="618"/>
      <c r="H29" s="618"/>
      <c r="I29" s="618"/>
      <c r="J29" s="618"/>
      <c r="K29" s="618"/>
      <c r="L29" s="719"/>
      <c r="M29" s="617"/>
      <c r="N29" s="618"/>
      <c r="O29" s="617"/>
      <c r="P29" s="618"/>
      <c r="Q29" s="617"/>
      <c r="R29" s="618"/>
      <c r="S29" s="617"/>
      <c r="T29" s="618"/>
      <c r="U29" s="617"/>
      <c r="V29" s="737"/>
      <c r="W29" s="737"/>
    </row>
    <row r="30" spans="1:23" ht="21.75" customHeight="1" thickBot="1">
      <c r="A30" s="666" t="s">
        <v>44</v>
      </c>
      <c r="B30" s="667" t="s">
        <v>440</v>
      </c>
      <c r="C30" s="668">
        <f aca="true" t="shared" si="9" ref="C30:I30">+C18+C24</f>
        <v>79779722</v>
      </c>
      <c r="D30" s="668">
        <f t="shared" si="9"/>
        <v>0</v>
      </c>
      <c r="E30" s="668">
        <f t="shared" si="9"/>
        <v>79779722</v>
      </c>
      <c r="F30" s="668">
        <f t="shared" si="9"/>
        <v>0</v>
      </c>
      <c r="G30" s="668">
        <f t="shared" si="9"/>
        <v>79779722</v>
      </c>
      <c r="H30" s="668">
        <f t="shared" si="9"/>
        <v>11155764</v>
      </c>
      <c r="I30" s="668">
        <f t="shared" si="9"/>
        <v>90935486</v>
      </c>
      <c r="J30" s="668">
        <f>+J18+J24</f>
        <v>0</v>
      </c>
      <c r="K30" s="668">
        <f>+K18+K24</f>
        <v>90935486</v>
      </c>
      <c r="L30" s="667" t="s">
        <v>444</v>
      </c>
      <c r="M30" s="669">
        <f>SUM(M18:M29)</f>
        <v>0</v>
      </c>
      <c r="N30" s="668">
        <f aca="true" t="shared" si="10" ref="N30:S30">+N18+N24</f>
        <v>0</v>
      </c>
      <c r="O30" s="669">
        <f t="shared" si="10"/>
        <v>0</v>
      </c>
      <c r="P30" s="668">
        <f t="shared" si="10"/>
        <v>0</v>
      </c>
      <c r="Q30" s="669">
        <f t="shared" si="10"/>
        <v>0</v>
      </c>
      <c r="R30" s="668">
        <f t="shared" si="10"/>
        <v>0</v>
      </c>
      <c r="S30" s="669">
        <f t="shared" si="10"/>
        <v>0</v>
      </c>
      <c r="T30" s="668">
        <f>+T18+T24</f>
        <v>0</v>
      </c>
      <c r="U30" s="669">
        <f>+U18+U24</f>
        <v>0</v>
      </c>
      <c r="V30" s="737"/>
      <c r="W30" s="737"/>
    </row>
    <row r="31" spans="1:21" ht="13.5" thickBot="1">
      <c r="A31" s="666" t="s">
        <v>45</v>
      </c>
      <c r="B31" s="678" t="s">
        <v>445</v>
      </c>
      <c r="C31" s="679">
        <f aca="true" t="shared" si="11" ref="C31:I31">+C17+C30</f>
        <v>89579722</v>
      </c>
      <c r="D31" s="679">
        <f t="shared" si="11"/>
        <v>2926115</v>
      </c>
      <c r="E31" s="679">
        <f t="shared" si="11"/>
        <v>92505837</v>
      </c>
      <c r="F31" s="679">
        <f t="shared" si="11"/>
        <v>12746471</v>
      </c>
      <c r="G31" s="679">
        <f t="shared" si="11"/>
        <v>105252308</v>
      </c>
      <c r="H31" s="679">
        <f t="shared" si="11"/>
        <v>16155627</v>
      </c>
      <c r="I31" s="679">
        <f t="shared" si="11"/>
        <v>121407935</v>
      </c>
      <c r="J31" s="679">
        <f>+J17+J30</f>
        <v>54819387</v>
      </c>
      <c r="K31" s="679">
        <f>+K17+K30</f>
        <v>176227322</v>
      </c>
      <c r="L31" s="678" t="s">
        <v>446</v>
      </c>
      <c r="M31" s="679">
        <f>+M17+M30</f>
        <v>89579722</v>
      </c>
      <c r="N31" s="679">
        <f>+N17+N30</f>
        <v>2926115</v>
      </c>
      <c r="O31" s="679">
        <f>M31+N31</f>
        <v>92505837</v>
      </c>
      <c r="P31" s="679">
        <f>+P17+P30</f>
        <v>12746471</v>
      </c>
      <c r="Q31" s="679">
        <f>O31+P31</f>
        <v>105252308</v>
      </c>
      <c r="R31" s="679">
        <f>+R17+R30</f>
        <v>16155627</v>
      </c>
      <c r="S31" s="679">
        <f>Q31+R31</f>
        <v>121407935</v>
      </c>
      <c r="T31" s="679">
        <f>+T17+T30</f>
        <v>54819387</v>
      </c>
      <c r="U31" s="679">
        <f>S31+T31</f>
        <v>176227322</v>
      </c>
    </row>
    <row r="32" spans="1:21" ht="13.5" thickBot="1">
      <c r="A32" s="666" t="s">
        <v>46</v>
      </c>
      <c r="B32" s="678" t="s">
        <v>173</v>
      </c>
      <c r="C32" s="679">
        <f>IF(C17-M17&lt;0,M17-C17,"-")</f>
        <v>79779722</v>
      </c>
      <c r="D32" s="679" t="str">
        <f aca="true" t="shared" si="12" ref="D32:K32">IF(D17-V17&lt;0,V17-D17,"-")</f>
        <v>-</v>
      </c>
      <c r="E32" s="679" t="str">
        <f t="shared" si="12"/>
        <v>-</v>
      </c>
      <c r="F32" s="679" t="str">
        <f t="shared" si="12"/>
        <v>-</v>
      </c>
      <c r="G32" s="679" t="str">
        <f t="shared" si="12"/>
        <v>-</v>
      </c>
      <c r="H32" s="679" t="str">
        <f t="shared" si="12"/>
        <v>-</v>
      </c>
      <c r="I32" s="679" t="str">
        <f t="shared" si="12"/>
        <v>-</v>
      </c>
      <c r="J32" s="679" t="str">
        <f t="shared" si="12"/>
        <v>-</v>
      </c>
      <c r="K32" s="679" t="str">
        <f t="shared" si="12"/>
        <v>-</v>
      </c>
      <c r="L32" s="678" t="s">
        <v>174</v>
      </c>
      <c r="M32" s="679" t="str">
        <f>IF(C17-M17&gt;0,C17-M17,"-")</f>
        <v>-</v>
      </c>
      <c r="N32" s="679" t="str">
        <f aca="true" t="shared" si="13" ref="N32:U32">IF(N17-Z17&lt;0,Z17-N17,"-")</f>
        <v>-</v>
      </c>
      <c r="O32" s="679" t="str">
        <f t="shared" si="13"/>
        <v>-</v>
      </c>
      <c r="P32" s="679" t="str">
        <f t="shared" si="13"/>
        <v>-</v>
      </c>
      <c r="Q32" s="679" t="str">
        <f t="shared" si="13"/>
        <v>-</v>
      </c>
      <c r="R32" s="679" t="str">
        <f t="shared" si="13"/>
        <v>-</v>
      </c>
      <c r="S32" s="679" t="str">
        <f t="shared" si="13"/>
        <v>-</v>
      </c>
      <c r="T32" s="679" t="str">
        <f t="shared" si="13"/>
        <v>-</v>
      </c>
      <c r="U32" s="679" t="str">
        <f t="shared" si="13"/>
        <v>-</v>
      </c>
    </row>
    <row r="33" spans="1:21" ht="13.5" thickBot="1">
      <c r="A33" s="666" t="s">
        <v>47</v>
      </c>
      <c r="B33" s="678" t="s">
        <v>241</v>
      </c>
      <c r="C33" s="679" t="str">
        <f>IF(C17+C18-M31&lt;0,M31-(C17+C18),"-")</f>
        <v>-</v>
      </c>
      <c r="D33" s="679" t="str">
        <f aca="true" t="shared" si="14" ref="D33:K33">IF(D17+D18-V31&lt;0,V31-(D17+D18),"-")</f>
        <v>-</v>
      </c>
      <c r="E33" s="679" t="str">
        <f t="shared" si="14"/>
        <v>-</v>
      </c>
      <c r="F33" s="679" t="str">
        <f t="shared" si="14"/>
        <v>-</v>
      </c>
      <c r="G33" s="679" t="str">
        <f t="shared" si="14"/>
        <v>-</v>
      </c>
      <c r="H33" s="679" t="str">
        <f t="shared" si="14"/>
        <v>-</v>
      </c>
      <c r="I33" s="679" t="str">
        <f t="shared" si="14"/>
        <v>-</v>
      </c>
      <c r="J33" s="679" t="str">
        <f t="shared" si="14"/>
        <v>-</v>
      </c>
      <c r="K33" s="679" t="str">
        <f t="shared" si="14"/>
        <v>-</v>
      </c>
      <c r="L33" s="678" t="s">
        <v>242</v>
      </c>
      <c r="M33" s="679" t="str">
        <f>IF(C17+C18-M31&gt;0,C17+C18-M31,"-")</f>
        <v>-</v>
      </c>
      <c r="N33" s="679" t="str">
        <f aca="true" t="shared" si="15" ref="N33:U33">IF(N17+N18-Z31&lt;0,Z31-(N17+N18),"-")</f>
        <v>-</v>
      </c>
      <c r="O33" s="679" t="str">
        <f t="shared" si="15"/>
        <v>-</v>
      </c>
      <c r="P33" s="679" t="str">
        <f t="shared" si="15"/>
        <v>-</v>
      </c>
      <c r="Q33" s="679" t="str">
        <f t="shared" si="15"/>
        <v>-</v>
      </c>
      <c r="R33" s="679" t="str">
        <f t="shared" si="15"/>
        <v>-</v>
      </c>
      <c r="S33" s="679" t="str">
        <f t="shared" si="15"/>
        <v>-</v>
      </c>
      <c r="T33" s="679" t="str">
        <f t="shared" si="15"/>
        <v>-</v>
      </c>
      <c r="U33" s="679" t="str">
        <f t="shared" si="15"/>
        <v>-</v>
      </c>
    </row>
  </sheetData>
  <sheetProtection/>
  <mergeCells count="3">
    <mergeCell ref="V1:V30"/>
    <mergeCell ref="W1:W30"/>
    <mergeCell ref="A3:A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21" t="s">
        <v>155</v>
      </c>
      <c r="E1" s="124" t="s">
        <v>159</v>
      </c>
    </row>
    <row r="3" spans="1:5" ht="12.75">
      <c r="A3" s="126"/>
      <c r="B3" s="127"/>
      <c r="C3" s="126"/>
      <c r="D3" s="129"/>
      <c r="E3" s="127"/>
    </row>
    <row r="4" spans="1:5" ht="15.75">
      <c r="A4" s="86" t="s">
        <v>578</v>
      </c>
      <c r="B4" s="128"/>
      <c r="C4" s="137"/>
      <c r="D4" s="129"/>
      <c r="E4" s="127"/>
    </row>
    <row r="5" spans="1:5" ht="12.75">
      <c r="A5" s="126"/>
      <c r="B5" s="127"/>
      <c r="C5" s="126"/>
      <c r="D5" s="129"/>
      <c r="E5" s="127"/>
    </row>
    <row r="6" spans="1:5" ht="12.75">
      <c r="A6" s="126" t="s">
        <v>447</v>
      </c>
      <c r="B6" s="127" t="e">
        <f>+#REF!</f>
        <v>#REF!</v>
      </c>
      <c r="C6" s="126" t="s">
        <v>448</v>
      </c>
      <c r="D6" s="129" t="e">
        <f>+#REF!+#REF!</f>
        <v>#REF!</v>
      </c>
      <c r="E6" s="127" t="e">
        <f aca="true" t="shared" si="0" ref="E6:E15">+B6-D6</f>
        <v>#REF!</v>
      </c>
    </row>
    <row r="7" spans="1:5" ht="12.75">
      <c r="A7" s="126" t="s">
        <v>449</v>
      </c>
      <c r="B7" s="127" t="e">
        <f>+#REF!</f>
        <v>#REF!</v>
      </c>
      <c r="C7" s="126" t="s">
        <v>450</v>
      </c>
      <c r="D7" s="129" t="e">
        <f>+#REF!+#REF!</f>
        <v>#REF!</v>
      </c>
      <c r="E7" s="127" t="e">
        <f t="shared" si="0"/>
        <v>#REF!</v>
      </c>
    </row>
    <row r="8" spans="1:5" ht="12.75">
      <c r="A8" s="126" t="s">
        <v>451</v>
      </c>
      <c r="B8" s="127" t="e">
        <f>+#REF!</f>
        <v>#REF!</v>
      </c>
      <c r="C8" s="126" t="s">
        <v>452</v>
      </c>
      <c r="D8" s="129" t="e">
        <f>+#REF!+#REF!</f>
        <v>#REF!</v>
      </c>
      <c r="E8" s="127" t="e">
        <f t="shared" si="0"/>
        <v>#REF!</v>
      </c>
    </row>
    <row r="9" spans="1:5" ht="12.75">
      <c r="A9" s="126"/>
      <c r="B9" s="127"/>
      <c r="C9" s="126"/>
      <c r="D9" s="129"/>
      <c r="E9" s="127"/>
    </row>
    <row r="10" spans="1:5" ht="12.75">
      <c r="A10" s="126"/>
      <c r="B10" s="127"/>
      <c r="C10" s="126"/>
      <c r="D10" s="129"/>
      <c r="E10" s="127"/>
    </row>
    <row r="11" spans="1:5" ht="15.75">
      <c r="A11" s="86" t="s">
        <v>579</v>
      </c>
      <c r="B11" s="128"/>
      <c r="C11" s="137"/>
      <c r="D11" s="129"/>
      <c r="E11" s="127"/>
    </row>
    <row r="12" spans="1:5" ht="12.75">
      <c r="A12" s="126"/>
      <c r="B12" s="127"/>
      <c r="C12" s="126"/>
      <c r="D12" s="129"/>
      <c r="E12" s="127"/>
    </row>
    <row r="13" spans="1:5" ht="12.75">
      <c r="A13" s="126" t="s">
        <v>456</v>
      </c>
      <c r="B13" s="127" t="e">
        <f>+#REF!</f>
        <v>#REF!</v>
      </c>
      <c r="C13" s="126" t="s">
        <v>455</v>
      </c>
      <c r="D13" s="129" t="e">
        <f>+#REF!+#REF!</f>
        <v>#REF!</v>
      </c>
      <c r="E13" s="127" t="e">
        <f t="shared" si="0"/>
        <v>#REF!</v>
      </c>
    </row>
    <row r="14" spans="1:5" ht="12.75">
      <c r="A14" s="126" t="s">
        <v>259</v>
      </c>
      <c r="B14" s="127" t="e">
        <f>+#REF!</f>
        <v>#REF!</v>
      </c>
      <c r="C14" s="126" t="s">
        <v>454</v>
      </c>
      <c r="D14" s="129" t="e">
        <f>+#REF!+#REF!</f>
        <v>#REF!</v>
      </c>
      <c r="E14" s="127" t="e">
        <f t="shared" si="0"/>
        <v>#REF!</v>
      </c>
    </row>
    <row r="15" spans="1:5" ht="12.75">
      <c r="A15" s="126" t="s">
        <v>457</v>
      </c>
      <c r="B15" s="127" t="e">
        <f>+#REF!</f>
        <v>#REF!</v>
      </c>
      <c r="C15" s="126" t="s">
        <v>453</v>
      </c>
      <c r="D15" s="129" t="e">
        <f>+#REF!+#REF!</f>
        <v>#REF!</v>
      </c>
      <c r="E15" s="127" t="e">
        <f t="shared" si="0"/>
        <v>#REF!</v>
      </c>
    </row>
    <row r="16" spans="1:5" ht="12.75">
      <c r="A16" s="122"/>
      <c r="B16" s="122"/>
      <c r="C16" s="126"/>
      <c r="D16" s="129"/>
      <c r="E16" s="123"/>
    </row>
    <row r="17" spans="1:5" ht="12.75">
      <c r="A17" s="122"/>
      <c r="B17" s="122"/>
      <c r="C17" s="122"/>
      <c r="D17" s="122"/>
      <c r="E17" s="122"/>
    </row>
    <row r="18" spans="1:5" ht="12.75">
      <c r="A18" s="122"/>
      <c r="B18" s="122"/>
      <c r="C18" s="122"/>
      <c r="D18" s="122"/>
      <c r="E18" s="122"/>
    </row>
    <row r="19" spans="1:5" ht="12.75">
      <c r="A19" s="122"/>
      <c r="B19" s="122"/>
      <c r="C19" s="122"/>
      <c r="D19" s="122"/>
      <c r="E19" s="122"/>
    </row>
  </sheetData>
  <sheetProtection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G115" sqref="G115"/>
    </sheetView>
  </sheetViews>
  <sheetFormatPr defaultColWidth="9.00390625" defaultRowHeight="12.75"/>
  <cols>
    <col min="1" max="1" width="5.625" style="140" customWidth="1"/>
    <col min="2" max="2" width="35.625" style="140" customWidth="1"/>
    <col min="3" max="6" width="14.00390625" style="140" customWidth="1"/>
    <col min="7" max="16384" width="9.375" style="140" customWidth="1"/>
  </cols>
  <sheetData>
    <row r="1" spans="1:6" ht="33" customHeight="1">
      <c r="A1" s="743" t="s">
        <v>506</v>
      </c>
      <c r="B1" s="743"/>
      <c r="C1" s="743"/>
      <c r="D1" s="743"/>
      <c r="E1" s="743"/>
      <c r="F1" s="743"/>
    </row>
    <row r="2" spans="1:7" ht="15.75" customHeight="1" thickBot="1">
      <c r="A2" s="141"/>
      <c r="B2" s="141"/>
      <c r="C2" s="744"/>
      <c r="D2" s="744"/>
      <c r="E2" s="751" t="s">
        <v>535</v>
      </c>
      <c r="F2" s="751"/>
      <c r="G2" s="148"/>
    </row>
    <row r="3" spans="1:6" ht="63" customHeight="1">
      <c r="A3" s="747" t="s">
        <v>18</v>
      </c>
      <c r="B3" s="749" t="s">
        <v>202</v>
      </c>
      <c r="C3" s="749" t="s">
        <v>260</v>
      </c>
      <c r="D3" s="749"/>
      <c r="E3" s="749"/>
      <c r="F3" s="745" t="s">
        <v>255</v>
      </c>
    </row>
    <row r="4" spans="1:6" ht="15.75" thickBot="1">
      <c r="A4" s="748"/>
      <c r="B4" s="750"/>
      <c r="C4" s="143" t="s">
        <v>536</v>
      </c>
      <c r="D4" s="143" t="s">
        <v>537</v>
      </c>
      <c r="E4" s="143" t="s">
        <v>541</v>
      </c>
      <c r="F4" s="746"/>
    </row>
    <row r="5" spans="1:6" ht="15.75" thickBot="1">
      <c r="A5" s="145">
        <v>1</v>
      </c>
      <c r="B5" s="146">
        <v>2</v>
      </c>
      <c r="C5" s="146">
        <v>3</v>
      </c>
      <c r="D5" s="146">
        <v>4</v>
      </c>
      <c r="E5" s="146">
        <v>5</v>
      </c>
      <c r="F5" s="147">
        <v>6</v>
      </c>
    </row>
    <row r="6" spans="1:6" ht="15">
      <c r="A6" s="144" t="s">
        <v>20</v>
      </c>
      <c r="B6" s="166"/>
      <c r="C6" s="167"/>
      <c r="D6" s="167"/>
      <c r="E6" s="167"/>
      <c r="F6" s="151">
        <f>SUM(C6:E6)</f>
        <v>0</v>
      </c>
    </row>
    <row r="7" spans="1:6" ht="15">
      <c r="A7" s="142" t="s">
        <v>21</v>
      </c>
      <c r="B7" s="168"/>
      <c r="C7" s="169"/>
      <c r="D7" s="169"/>
      <c r="E7" s="169"/>
      <c r="F7" s="152">
        <f>SUM(C7:E7)</f>
        <v>0</v>
      </c>
    </row>
    <row r="8" spans="1:6" ht="15">
      <c r="A8" s="142" t="s">
        <v>22</v>
      </c>
      <c r="B8" s="168"/>
      <c r="C8" s="169"/>
      <c r="D8" s="169"/>
      <c r="E8" s="169"/>
      <c r="F8" s="152">
        <f>SUM(C8:E8)</f>
        <v>0</v>
      </c>
    </row>
    <row r="9" spans="1:6" ht="15">
      <c r="A9" s="142" t="s">
        <v>23</v>
      </c>
      <c r="B9" s="168"/>
      <c r="C9" s="169"/>
      <c r="D9" s="169"/>
      <c r="E9" s="169"/>
      <c r="F9" s="152">
        <f>SUM(C9:E9)</f>
        <v>0</v>
      </c>
    </row>
    <row r="10" spans="1:6" ht="15.75" thickBot="1">
      <c r="A10" s="149" t="s">
        <v>24</v>
      </c>
      <c r="B10" s="170"/>
      <c r="C10" s="171"/>
      <c r="D10" s="171"/>
      <c r="E10" s="171"/>
      <c r="F10" s="152">
        <f>SUM(C10:E10)</f>
        <v>0</v>
      </c>
    </row>
    <row r="11" spans="1:6" s="424" customFormat="1" ht="15" thickBot="1">
      <c r="A11" s="421" t="s">
        <v>25</v>
      </c>
      <c r="B11" s="150" t="s">
        <v>203</v>
      </c>
      <c r="C11" s="422">
        <f>SUM(C6:C10)</f>
        <v>0</v>
      </c>
      <c r="D11" s="422">
        <f>SUM(D6:D10)</f>
        <v>0</v>
      </c>
      <c r="E11" s="422">
        <f>SUM(E6:E10)</f>
        <v>0</v>
      </c>
      <c r="F11" s="423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3 /2019. (II.11.)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Marcsi</cp:lastModifiedBy>
  <cp:lastPrinted>2019-02-18T14:09:18Z</cp:lastPrinted>
  <dcterms:created xsi:type="dcterms:W3CDTF">1999-10-30T10:30:45Z</dcterms:created>
  <dcterms:modified xsi:type="dcterms:W3CDTF">2020-07-02T09:25:38Z</dcterms:modified>
  <cp:category/>
  <cp:version/>
  <cp:contentType/>
  <cp:contentStatus/>
</cp:coreProperties>
</file>