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firstSheet="8" activeTab="12"/>
  </bookViews>
  <sheets>
    <sheet name="bor.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ell - átadások" sheetId="7" r:id="rId7"/>
    <sheet name="7.mell. - ellátottak jutt." sheetId="8" r:id="rId8"/>
    <sheet name="8.mell. - beruházások" sheetId="9" r:id="rId9"/>
    <sheet name="9.mell. -tartalék" sheetId="10" r:id="rId10"/>
    <sheet name="10.mell. - közgazd.mérleg" sheetId="11" r:id="rId11"/>
    <sheet name="11.mell. -ei.felh.ütemt." sheetId="12" r:id="rId12"/>
    <sheet name="12.mell. -részesedések" sheetId="13" r:id="rId13"/>
  </sheets>
  <definedNames/>
  <calcPr fullCalcOnLoad="1"/>
</workbook>
</file>

<file path=xl/sharedStrings.xml><?xml version="1.0" encoding="utf-8"?>
<sst xmlns="http://schemas.openxmlformats.org/spreadsheetml/2006/main" count="791" uniqueCount="461">
  <si>
    <t>Megnevezés</t>
  </si>
  <si>
    <t>Ft</t>
  </si>
  <si>
    <t>Összesen:</t>
  </si>
  <si>
    <t>létszám</t>
  </si>
  <si>
    <t>Sitke község Önkormányzata</t>
  </si>
  <si>
    <t>( e Ft-ban)</t>
  </si>
  <si>
    <t>e Ft</t>
  </si>
  <si>
    <t>TÁMOGATÁSOK ÖSSZESEN:</t>
  </si>
  <si>
    <t>(e Ft-ban)</t>
  </si>
  <si>
    <t>állandó</t>
  </si>
  <si>
    <t>juttatások</t>
  </si>
  <si>
    <t>előirányzat</t>
  </si>
  <si>
    <t>tervezett előirányzat</t>
  </si>
  <si>
    <t>Részvények, részesedések</t>
  </si>
  <si>
    <t>25% alatti részesedés:</t>
  </si>
  <si>
    <t>VASI-VÍZ Rt.</t>
  </si>
  <si>
    <t>Részesedések, részvények mindösszesen:</t>
  </si>
  <si>
    <t>Értékpapírok</t>
  </si>
  <si>
    <t>Értékpapírok összesen: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</si>
  <si>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</si>
  <si>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</si>
  <si>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</si>
  <si>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</si>
  <si>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</si>
  <si>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</si>
  <si>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</si>
  <si>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</si>
  <si>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részvényei, részesedései, értékpapírjai</t>
  </si>
  <si>
    <t>Körjegyzőségi feladatok ellátása</t>
  </si>
  <si>
    <t>Bursa Hungarica Alapítvány támogatása</t>
  </si>
  <si>
    <t>Citerazenekar támogatása</t>
  </si>
  <si>
    <t>Hímzőszakkör támogatása</t>
  </si>
  <si>
    <t>2.</t>
  </si>
  <si>
    <t>OTP tőkegarantált pénzpiaci befektetési jegy</t>
  </si>
  <si>
    <t>Kistérségi tagsági díj</t>
  </si>
  <si>
    <t xml:space="preserve">Rendszeres társadalom, szociálpolitikai és egyéb társadalombiztosítási </t>
  </si>
  <si>
    <t>juttatások  összesen:</t>
  </si>
  <si>
    <t>Eseti társadalom, szociálpolitikai és egyéb társadalombiztosítási</t>
  </si>
  <si>
    <t>juttatások összesen:</t>
  </si>
  <si>
    <t>Működési célú szociális támogatások összesen:</t>
  </si>
  <si>
    <t>Társadalom-, szociálispolitikai és egyéb társadalom-</t>
  </si>
  <si>
    <t>biztosítási juttatások mindösszesen:</t>
  </si>
  <si>
    <t>ebből: igényel- hető költség- vetési támogatás</t>
  </si>
  <si>
    <t>hető költség-</t>
  </si>
  <si>
    <t>vetési támogatás</t>
  </si>
  <si>
    <t>Háziorvosi alapellátás</t>
  </si>
  <si>
    <t>Gyermekjóléti szolgáltatás</t>
  </si>
  <si>
    <t>Civil szervezetek működési támogatása</t>
  </si>
  <si>
    <t>Köztemető-fenntartás és működtetés</t>
  </si>
  <si>
    <t>Könyvtári szolgáltatások</t>
  </si>
  <si>
    <t>Bevételei forrásonként</t>
  </si>
  <si>
    <t xml:space="preserve">Sitke község Önkormányzata   </t>
  </si>
  <si>
    <t>Társadalom-, szociálpolitikai  és egyéb társadalombiztosítási kiadásai</t>
  </si>
  <si>
    <t>SITKE KÖZSÉG ÖNKORMÁNYZATA</t>
  </si>
  <si>
    <t>sor-</t>
  </si>
  <si>
    <t>szám</t>
  </si>
  <si>
    <t>1.</t>
  </si>
  <si>
    <t>3.</t>
  </si>
  <si>
    <t>TÁRGYÉVI BEVÉTELEK ÖSSZESEN:</t>
  </si>
  <si>
    <t>Nyugdíjas Klub</t>
  </si>
  <si>
    <t xml:space="preserve">Tekeszakosztály </t>
  </si>
  <si>
    <t>TÁRGYÉVI KIADÁSOK ÖSSZESEN:</t>
  </si>
  <si>
    <t>TÁRGYÉVI BEVÉTELEK ÉS KIADÁSOK EGYENLEGE:</t>
  </si>
  <si>
    <t xml:space="preserve">Rendszeres szociális segély     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</si>
  <si>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</si>
  <si>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</si>
  <si>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</si>
  <si>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</si>
  <si>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</si>
  <si>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</si>
  <si>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</si>
  <si>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</si>
  <si>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</si>
  <si>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</si>
  <si>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</si>
  <si>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</si>
  <si>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2014. év</t>
  </si>
  <si>
    <t>KÖZHATALMI BEVÉTELEK ÖSSZESEN:</t>
  </si>
  <si>
    <t>ravatalozó használati díj</t>
  </si>
  <si>
    <t>vendégebéd térítési díja</t>
  </si>
  <si>
    <t>működési kiadások</t>
  </si>
  <si>
    <t>felhalmozási kiadások</t>
  </si>
  <si>
    <t>felújítások</t>
  </si>
  <si>
    <t>Sághegy Leader tagdíj</t>
  </si>
  <si>
    <t>Labdarugó Szakosztály támogatása</t>
  </si>
  <si>
    <t>Foglalkoztatást helyettesítő juttatás</t>
  </si>
  <si>
    <t xml:space="preserve">Tanévkezdési támogatás </t>
  </si>
  <si>
    <t>TÁRGYÉVI KÖLTSÉGVETÉSI HIÁNY:</t>
  </si>
  <si>
    <t xml:space="preserve">       - egyéb működési kiadások</t>
  </si>
  <si>
    <t xml:space="preserve">       - egyéb felhalmozási kiadások</t>
  </si>
  <si>
    <t>szociális étkeztetés térítési díja</t>
  </si>
  <si>
    <t xml:space="preserve">Normatív lakásfenntartási támogatás </t>
  </si>
  <si>
    <t>táborozás támogatása</t>
  </si>
  <si>
    <t>talajterhelési díj</t>
  </si>
  <si>
    <t>„A közösségi közlekedés feltételrendszereinek fejlesztése Sárváron és a környező településeken” (NYDOP-3.2.1/B-12 )</t>
  </si>
  <si>
    <t>"Sitke község Önkormányzatának egészségre nevelő programja" projekt  (TÁMOP-6.12-11/1-2012-1244) 2014. évi üteme</t>
  </si>
  <si>
    <t xml:space="preserve">2015. évi 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</si>
  <si>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</si>
  <si>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</si>
  <si>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</si>
  <si>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</si>
  <si>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</si>
  <si>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</si>
  <si>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</si>
  <si>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</si>
  <si>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</si>
  <si>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</si>
  <si>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</si>
  <si>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</si>
  <si>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</si>
  <si>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</si>
  <si>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</si>
  <si>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</si>
  <si>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</si>
  <si>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</si>
  <si>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</si>
  <si>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</si>
  <si>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Kistelepülések szociális feladatainak támogatása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</si>
  <si>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</si>
  <si>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</si>
  <si>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</si>
  <si>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</si>
  <si>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</si>
  <si>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</si>
  <si>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</si>
  <si>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Működési célú központosított előirányzatok</t>
  </si>
  <si>
    <t>üdülőhelyi feladatok támogatása</t>
  </si>
  <si>
    <t>lakott külterületekkel kapcsolatos feladatok támogatása</t>
  </si>
  <si>
    <t>Helyi önkormányzatok  működésének  általános támogatása összesen:</t>
  </si>
  <si>
    <t>Egyéb működési célú támogatások bevételei államháztartáson belülről</t>
  </si>
  <si>
    <t>közfoglalkoztatás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</si>
  <si>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</si>
  <si>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</si>
  <si>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</si>
  <si>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Egyéb felhalmozási célú támogatások bevételei államháztartáson belülről</t>
  </si>
  <si>
    <t>Egyéb felhalmozási célú támogatások bevételei államháztartáson belülről összesen:</t>
  </si>
  <si>
    <t>FELHALMOZÁSI CÉLÚ TÁMOGATÁSOK ÁLLAMHÁZ- TARTÁSON BELÜLRŐL ÖSSZESEN: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</si>
  <si>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</si>
  <si>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</si>
  <si>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</si>
  <si>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</si>
  <si>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</si>
  <si>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</si>
  <si>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</si>
  <si>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</si>
  <si>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</si>
  <si>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</si>
  <si>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</si>
  <si>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</si>
  <si>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</si>
  <si>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</si>
  <si>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</si>
  <si>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</si>
  <si>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</si>
  <si>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</si>
  <si>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</si>
  <si>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Tulajdonosi bevételek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</si>
  <si>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</si>
  <si>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</si>
  <si>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</si>
  <si>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</si>
  <si>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</si>
  <si>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</si>
  <si>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felhalmozási célú visszatérítendő támogatások, kölcsönök visszatérülése államháztartáson kívülről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</si>
  <si>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</si>
  <si>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</si>
  <si>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</si>
  <si>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</si>
  <si>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</si>
  <si>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</si>
  <si>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előző éveki költségvetési maradvány igénybevétele</t>
  </si>
  <si>
    <t>BEVÉTELEK ÖSSZESEN:</t>
  </si>
  <si>
    <t>2015. év</t>
  </si>
  <si>
    <t>Működési célú központosított előirányzatok összesen:</t>
  </si>
  <si>
    <t>lakott külterülettel kapcsolatos feladatok</t>
  </si>
  <si>
    <t>e.</t>
  </si>
  <si>
    <t>2014. évről áthúzódó bérkompenzáció támogatása</t>
  </si>
  <si>
    <t>Pénzbeni szociális ellátások kiegészítése</t>
  </si>
  <si>
    <t>Települési önkormányzatok szociális feladatainak egyéb támogatása</t>
  </si>
  <si>
    <t>Vidéki gazdaság és lakosság számára nyújtott alapszolgáltatások fejlesztése (mikrobusz beszerzése) támogatása</t>
  </si>
  <si>
    <t>egyéb szolgáltatások nyújtása miatti bevételek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</si>
  <si>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</si>
  <si>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</si>
  <si>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</si>
  <si>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</si>
  <si>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</si>
  <si>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</si>
  <si>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</si>
  <si>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</si>
  <si>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</si>
  <si>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</si>
  <si>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</si>
  <si>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</si>
  <si>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</si>
  <si>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</si>
  <si>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</si>
  <si>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</si>
  <si>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</si>
  <si>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</si>
  <si>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</si>
  <si>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</si>
  <si>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</si>
  <si>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</si>
  <si>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</si>
  <si>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</si>
  <si>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</si>
  <si>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</si>
  <si>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</si>
  <si>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</si>
  <si>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</si>
  <si>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</si>
  <si>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</si>
  <si>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</si>
  <si>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</si>
  <si>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</si>
  <si>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</si>
  <si>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irányító szervi támogatás folyósítása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</si>
  <si>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</si>
  <si>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</si>
  <si>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</si>
  <si>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</si>
  <si>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</si>
  <si>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</si>
  <si>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</si>
  <si>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</si>
  <si>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</si>
  <si>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</si>
  <si>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</si>
  <si>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</si>
  <si>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</si>
  <si>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</si>
  <si>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</si>
  <si>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</si>
  <si>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</si>
  <si>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</si>
  <si>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</si>
  <si>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</si>
  <si>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</si>
  <si>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</si>
  <si>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</si>
  <si>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</si>
  <si>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</si>
  <si>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</si>
  <si>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</si>
  <si>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086020</t>
  </si>
  <si>
    <t>Helyi, térségi közösségi tér biztosítása, működtetése</t>
  </si>
  <si>
    <t>094260</t>
  </si>
  <si>
    <t>Hallgatói és oktatói ösztöndíjak, egyéb juttatások</t>
  </si>
  <si>
    <t>Betegséggel kapcsolatos pénzbeni ellátások, támogatások</t>
  </si>
  <si>
    <t>104042</t>
  </si>
  <si>
    <t>Munkanélküli aktív korúak ellátásai</t>
  </si>
  <si>
    <t>Lakásfenntartással, lakhatással összefüggő ellátások</t>
  </si>
  <si>
    <t>107051</t>
  </si>
  <si>
    <t>Házi segítségnyújtás</t>
  </si>
  <si>
    <t>Egyéb szociális természetbeni és pénzbeni ellátások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</si>
  <si>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</si>
  <si>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</si>
  <si>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</si>
  <si>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</si>
  <si>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</si>
  <si>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</si>
  <si>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2015. évre</t>
  </si>
  <si>
    <t>2015.év</t>
  </si>
  <si>
    <t>Önkormányzati segélyek</t>
  </si>
  <si>
    <t>Sor-</t>
  </si>
  <si>
    <t>Feladat</t>
  </si>
  <si>
    <t>(a Ft-ban)</t>
  </si>
  <si>
    <t>Mindösszesen:</t>
  </si>
  <si>
    <t>2015-ben kiírásra kerülő pályázatok önrésze, saját forrásokból megvalósuló fejlesztések forrása</t>
  </si>
  <si>
    <t>ELŐZŐ ÉVEKI KÖLTSÉGVETÉSI MARADVÁNY IGÉNYBEVÉTELE 2014. ÉVRŐL ÁTHÚZÓDÓ FELADATOKRA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</si>
  <si>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</si>
  <si>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</si>
  <si>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</si>
  <si>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</si>
  <si>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</si>
  <si>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</si>
  <si>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</si>
  <si>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</si>
  <si>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</si>
  <si>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</si>
  <si>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</si>
  <si>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</si>
  <si>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</si>
  <si>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</si>
  <si>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</si>
  <si>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</si>
  <si>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</si>
  <si>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</si>
  <si>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</si>
  <si>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</si>
  <si>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</si>
  <si>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</si>
  <si>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</si>
  <si>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</si>
  <si>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</si>
  <si>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</si>
  <si>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</si>
  <si>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</si>
  <si>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</si>
  <si>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</si>
  <si>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</si>
  <si>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</si>
  <si>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</si>
  <si>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</si>
  <si>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</si>
  <si>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</si>
  <si>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</si>
  <si>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</si>
  <si>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</si>
  <si>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</si>
  <si>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</si>
  <si>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</si>
  <si>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</si>
  <si>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</si>
  <si>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</si>
  <si>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</si>
  <si>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</si>
  <si>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</si>
  <si>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</si>
  <si>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</si>
  <si>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</si>
  <si>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</si>
  <si>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</si>
  <si>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</si>
  <si>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</si>
  <si>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</si>
  <si>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Egyéb felhalmozási kiadások államháztartáson kívülre</t>
  </si>
  <si>
    <t>Egyéb felhalmozási kiadások államháztartáson kívülre összesen:</t>
  </si>
  <si>
    <t>FELHALMOZÁSI CÉLÚ VISSZATÉRÍTENDŐ TÁMOGATÁSOK, KÖLCSÖNÖK NYÚJTÁSA ÁLLAMHÁZTARTÁSON KÍVÜLRE</t>
  </si>
  <si>
    <t>Kápolnáért Kulturális és Sport Egyesület visszatérítendő támogatása a művelődési ház kialakításához</t>
  </si>
  <si>
    <t>FELHALMOZÁSI CÉLÚ VISSZATÉRÍTENDŐ TÁMOGATÁSOK, KÖLCSÖNÖK NYÚJTÁSA ÁLLAMHÁZTARTÁSON KÍVÜLRE ÖSSZESEN:</t>
  </si>
  <si>
    <t>Általános tartalék</t>
  </si>
  <si>
    <t>Általános tartalék összesen:</t>
  </si>
  <si>
    <t>Felhalmozási célú céltartalék összesen:</t>
  </si>
  <si>
    <t>205. évi egyéb működési és felhalmozási kiadásai</t>
  </si>
  <si>
    <t>Működési és felhalmozási célú tartalékok és céltartalékok</t>
  </si>
  <si>
    <t>Költségvetési (működési és felhalmozási ) mérlege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</si>
  <si>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</si>
  <si>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</si>
  <si>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</si>
  <si>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</si>
  <si>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</si>
  <si>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</si>
  <si>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</si>
  <si>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</si>
  <si>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</si>
  <si>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</si>
  <si>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</si>
  <si>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</si>
  <si>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</si>
  <si>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</si>
  <si>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</si>
  <si>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</si>
  <si>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</si>
  <si>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045160</t>
  </si>
  <si>
    <t>Közutak, hidak, alagutak üzemeltetése, fenntartása</t>
  </si>
  <si>
    <t>Összesen</t>
  </si>
  <si>
    <t>KÖTELEZŐ, ÖNKÉNT VÁLLALT ÉS ÁLLAMI (ÁLLAMIGAZGATÁSI) FELADATAINAK KIADÁSAI</t>
  </si>
  <si>
    <t>kiadás                                       összesen:</t>
  </si>
  <si>
    <t xml:space="preserve">SITKE KÖZSÉG ÖNKORMÁNYZATA   </t>
  </si>
  <si>
    <t>BERUHÁZÁSOK ÉS FELHALMOZÁSI KIADÁSOK</t>
  </si>
  <si>
    <t>M e g n e v e z é s:</t>
  </si>
  <si>
    <t>( e Ft-ban )</t>
  </si>
  <si>
    <t>Előzetesen felszámított általános forgalmi adó</t>
  </si>
  <si>
    <t>BERUHÁZÁSOK ÖSSZESEN:</t>
  </si>
  <si>
    <t>045160 Közutak, hidak, alagutak üzemeltetése, fenntartása</t>
  </si>
  <si>
    <t>Forgalmi tükör felszerelése (2014. évről áthúzódó)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</si>
  <si>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</si>
  <si>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</si>
  <si>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</si>
  <si>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</si>
  <si>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</si>
  <si>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</si>
  <si>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</si>
  <si>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</si>
  <si>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</si>
  <si>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</si>
  <si>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</si>
  <si>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</si>
  <si>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</si>
  <si>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</si>
  <si>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</si>
  <si>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</si>
  <si>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</si>
  <si>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</si>
  <si>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</si>
  <si>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</si>
  <si>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</si>
  <si>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</si>
  <si>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</si>
  <si>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</si>
  <si>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</si>
  <si>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</si>
  <si>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</si>
  <si>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</si>
  <si>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</si>
  <si>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</si>
  <si>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</si>
  <si>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</si>
  <si>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</si>
  <si>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</si>
  <si>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</si>
  <si>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</si>
  <si>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</si>
  <si>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</si>
  <si>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</si>
  <si>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</si>
  <si>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</si>
  <si>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</si>
  <si>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</si>
  <si>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107052</t>
  </si>
  <si>
    <t>Szociális étkeztetés (562920)</t>
  </si>
  <si>
    <t>Gyermekvédelmi pénzbeni és természetbeni ellátások</t>
  </si>
  <si>
    <t>Fejezeti és általános tartalékok elszámolása</t>
  </si>
  <si>
    <t xml:space="preserve">ápolási díj </t>
  </si>
  <si>
    <t xml:space="preserve">Méltányossági közgyógyellátás    </t>
  </si>
  <si>
    <t>lakhatáshoz kapcsolódó rendszeres kiadások viseléséhez nyújtható települési támogatás</t>
  </si>
  <si>
    <t>rendkívüli települési támogatás</t>
  </si>
  <si>
    <t>újszülöttek támogatása</t>
  </si>
  <si>
    <t>Rendszeres gyermekvédelmi kedvezményben részesülők részére Erzsébet utalvány</t>
  </si>
  <si>
    <t>Rendszeres gyermekvédelmi kedvezményben részesülők Erzsébet utalványa támogatása</t>
  </si>
  <si>
    <t xml:space="preserve"> 013350 Önkormányzati vagyonnal való gazdálkodással kapcsolatos feladatok</t>
  </si>
  <si>
    <t>Sitke, 379/2 hrsz-ú ingatlan vételára</t>
  </si>
  <si>
    <t>066020 Városi és községgazdálkodási egyéb szolgáltatások</t>
  </si>
  <si>
    <t>(2014. december 31-i állapot szerint)</t>
  </si>
  <si>
    <t>településrendezési eszközök módosítása 2014. évi áthúzódó</t>
  </si>
  <si>
    <t>költségvetésének módosítása</t>
  </si>
  <si>
    <t>Működési célú költségvetési és kiegészítő támogatás</t>
  </si>
  <si>
    <t>2015. évi bérkompenzáció támogatása</t>
  </si>
  <si>
    <t>Működési célú költségvetési és kiegészítő támogatás összesen:</t>
  </si>
  <si>
    <t>041233</t>
  </si>
  <si>
    <t>Hosszabb időtartamú közfoglalkoztatás</t>
  </si>
  <si>
    <t>államháztartáson belüli megelőlegezések visszafizetése</t>
  </si>
  <si>
    <t>2014. évi jövedelempótló támogatás visszafizetése</t>
  </si>
  <si>
    <t>2014. évi állami támogatások elszámolás utáni visszafizetési kötelezettség</t>
  </si>
  <si>
    <t xml:space="preserve"> - államháztartáson belüli megelőlegezések visszafizetése</t>
  </si>
  <si>
    <t xml:space="preserve">           államháztartáson belüli megelőlegezések visszafizetése</t>
  </si>
  <si>
    <t>011130 Önkormányzatok és önkormányzati hivatalok jogalkotó és általános igazgatási tevékenysége</t>
  </si>
  <si>
    <t>Kisértékű tárgyi eszközök beszerzése</t>
  </si>
  <si>
    <t>Forgatási célú belföldi befektetési jegyek beváltása</t>
  </si>
  <si>
    <t>FORGATÁSI CÉLÚ BELFÖLDI BEFEKTETÉSI JEGYEK BEVÁLTÁSA</t>
  </si>
  <si>
    <t>forgatási célú belföldi befektetési jegyek beváltása</t>
  </si>
  <si>
    <t>082093</t>
  </si>
  <si>
    <t>Közművelődés - egész életre kiterjedő tanulás</t>
  </si>
  <si>
    <t>közterületfoglalási díjak</t>
  </si>
  <si>
    <t>földbérleti díjak</t>
  </si>
  <si>
    <t>szennyvízcsatorna használati díj</t>
  </si>
  <si>
    <t>Kápolnáért Kulturális és Sport Egyesület művelődési ház kialakításával kapcsolatos támogatásának visszatérülése</t>
  </si>
  <si>
    <t>Első lakáshoz jutók lakásépítésének és - vásárlásának vissza nem térítendő támogatása</t>
  </si>
  <si>
    <t>1. melléklet  a  9/2015. (V. 27.)  önkormányzati rendelethez</t>
  </si>
  <si>
    <t>2. melléklet  a 9/2015. (V. 27.)  önkormányzati rendelethez</t>
  </si>
  <si>
    <t>3. melléklet  a  9/2015. (V. 27.)  önkormányzati rendelethez</t>
  </si>
  <si>
    <t>4. melléklet  a  9/2015. (V. 27.)  önkormányzati rendelethez</t>
  </si>
  <si>
    <t>5. melléklet  a 9/2015. (V. 27.)  önkormányzati rendelethez</t>
  </si>
  <si>
    <t>6. melléklet  a  9/2015. (V. 27.)  önkormányzati rendelethez</t>
  </si>
  <si>
    <t>7. melléklet  a  9/2015. (V. 27.)  önkormányzati rendelethez</t>
  </si>
  <si>
    <t>8. melléklet a 9/2015. (V. 27.)  önkormányzati rendelethez</t>
  </si>
  <si>
    <t>9. melléklet a 9/2015. (V. 27.)  önkormányzati rendelethez</t>
  </si>
  <si>
    <t>10. melléklet a 9/2015. (V. 27.)  önkormányzati rendelethez</t>
  </si>
  <si>
    <t>11. melléklet a 9/2015. (V. 27.)  önkormányzati rendelethez</t>
  </si>
  <si>
    <t>12. melléklet a 9/2015. (V. 27.) 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</si>
</sst>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</numFmts>
  <fonts count="48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17" borderId="7" applyNumberFormat="0" applyFont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41" fillId="4" borderId="0" applyNumberFormat="0" applyBorder="0" applyAlignment="0" applyProtection="0"/>
    <xf numFmtId="0" fontId="42" fillId="22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" borderId="0" applyNumberFormat="0" applyBorder="0" applyAlignment="0" applyProtection="0"/>
    <xf numFmtId="0" fontId="46" fillId="23" borderId="0" applyNumberFormat="0" applyBorder="0" applyAlignment="0" applyProtection="0"/>
    <xf numFmtId="0" fontId="47" fillId="22" borderId="1" applyNumberFormat="0" applyAlignment="0" applyProtection="0"/>
    <xf numFmtId="9" fontId="0" fillId="0" borderId="0" applyFont="0" applyFill="0" applyBorder="0" applyAlignment="0" applyProtection="0"/>
  </cellStyleXfs>
  <cellXfs count="461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7" applyFont="1">
      <alignment/>
      <protection/>
    </xf>
    <xf numFmtId="0" fontId="6" fillId="0" borderId="0" xfId="57" applyFont="1">
      <alignment/>
      <protection/>
    </xf>
    <xf numFmtId="164" fontId="12" fillId="0" borderId="0" xfId="57" applyNumberFormat="1" applyFont="1">
      <alignment/>
      <protection/>
    </xf>
    <xf numFmtId="0" fontId="4" fillId="0" borderId="0" xfId="60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59" applyFont="1">
      <alignment/>
      <protection/>
    </xf>
    <xf numFmtId="0" fontId="12" fillId="0" borderId="0" xfId="60" applyFont="1">
      <alignment/>
      <protection/>
    </xf>
    <xf numFmtId="3" fontId="10" fillId="0" borderId="0" xfId="0" applyNumberFormat="1" applyFont="1" applyAlignment="1">
      <alignment/>
    </xf>
    <xf numFmtId="0" fontId="12" fillId="0" borderId="0" xfId="59" applyFont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59" applyFont="1" applyBorder="1">
      <alignment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0" fontId="12" fillId="0" borderId="0" xfId="56" applyFont="1">
      <alignment/>
      <protection/>
    </xf>
    <xf numFmtId="0" fontId="4" fillId="0" borderId="0" xfId="56" applyFont="1">
      <alignment/>
      <protection/>
    </xf>
    <xf numFmtId="0" fontId="6" fillId="0" borderId="0" xfId="56" applyFont="1" applyAlignment="1">
      <alignment horizontal="centerContinuous"/>
      <protection/>
    </xf>
    <xf numFmtId="0" fontId="6" fillId="0" borderId="0" xfId="56" applyFont="1">
      <alignment/>
      <protection/>
    </xf>
    <xf numFmtId="0" fontId="14" fillId="0" borderId="0" xfId="56" applyFont="1" applyAlignment="1">
      <alignment/>
      <protection/>
    </xf>
    <xf numFmtId="41" fontId="6" fillId="0" borderId="0" xfId="56" applyNumberFormat="1" applyFont="1" applyAlignment="1">
      <alignment horizontal="centerContinuous"/>
      <protection/>
    </xf>
    <xf numFmtId="0" fontId="10" fillId="0" borderId="0" xfId="56" applyFont="1" applyAlignment="1">
      <alignment horizontal="centerContinuous"/>
      <protection/>
    </xf>
    <xf numFmtId="0" fontId="15" fillId="0" borderId="0" xfId="56" applyFont="1" applyAlignment="1">
      <alignment/>
      <protection/>
    </xf>
    <xf numFmtId="41" fontId="10" fillId="0" borderId="0" xfId="56" applyNumberFormat="1" applyFont="1" applyAlignment="1">
      <alignment horizontal="centerContinuous"/>
      <protection/>
    </xf>
    <xf numFmtId="0" fontId="11" fillId="0" borderId="0" xfId="56" applyFont="1">
      <alignment/>
      <protection/>
    </xf>
    <xf numFmtId="0" fontId="12" fillId="0" borderId="0" xfId="56" applyFont="1" applyAlignment="1">
      <alignment horizontal="right"/>
      <protection/>
    </xf>
    <xf numFmtId="41" fontId="13" fillId="0" borderId="0" xfId="56" applyNumberFormat="1" applyFont="1">
      <alignment/>
      <protection/>
    </xf>
    <xf numFmtId="41" fontId="6" fillId="0" borderId="0" xfId="56" applyNumberFormat="1" applyFont="1">
      <alignment/>
      <protection/>
    </xf>
    <xf numFmtId="0" fontId="14" fillId="0" borderId="0" xfId="56" applyFont="1">
      <alignment/>
      <protection/>
    </xf>
    <xf numFmtId="41" fontId="13" fillId="0" borderId="0" xfId="56" applyNumberFormat="1" applyFont="1" applyBorder="1">
      <alignment/>
      <protection/>
    </xf>
    <xf numFmtId="0" fontId="7" fillId="0" borderId="0" xfId="56" applyFont="1">
      <alignment/>
      <protection/>
    </xf>
    <xf numFmtId="0" fontId="11" fillId="0" borderId="0" xfId="59" applyFont="1">
      <alignment/>
      <protection/>
    </xf>
    <xf numFmtId="0" fontId="10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10" fillId="0" borderId="10" xfId="59" applyFont="1" applyBorder="1" applyAlignment="1">
      <alignment horizontal="center"/>
      <protection/>
    </xf>
    <xf numFmtId="0" fontId="10" fillId="0" borderId="11" xfId="59" applyFont="1" applyBorder="1" applyAlignment="1">
      <alignment horizontal="center"/>
      <protection/>
    </xf>
    <xf numFmtId="0" fontId="10" fillId="0" borderId="12" xfId="59" applyFont="1" applyBorder="1" applyAlignment="1">
      <alignment horizontal="center"/>
      <protection/>
    </xf>
    <xf numFmtId="0" fontId="11" fillId="0" borderId="13" xfId="59" applyFont="1" applyBorder="1">
      <alignment/>
      <protection/>
    </xf>
    <xf numFmtId="0" fontId="10" fillId="0" borderId="14" xfId="59" applyFont="1" applyBorder="1" applyAlignment="1">
      <alignment horizontal="center"/>
      <protection/>
    </xf>
    <xf numFmtId="0" fontId="10" fillId="0" borderId="15" xfId="59" applyFont="1" applyBorder="1" applyAlignment="1">
      <alignment horizontal="center"/>
      <protection/>
    </xf>
    <xf numFmtId="0" fontId="10" fillId="0" borderId="0" xfId="59" applyFont="1">
      <alignment/>
      <protection/>
    </xf>
    <xf numFmtId="0" fontId="16" fillId="0" borderId="0" xfId="59" applyFont="1">
      <alignment/>
      <protection/>
    </xf>
    <xf numFmtId="0" fontId="17" fillId="0" borderId="0" xfId="59" applyFont="1">
      <alignment/>
      <protection/>
    </xf>
    <xf numFmtId="168" fontId="12" fillId="0" borderId="0" xfId="40" applyNumberFormat="1" applyFont="1" applyAlignment="1">
      <alignment horizontal="centerContinuous"/>
    </xf>
    <xf numFmtId="168" fontId="12" fillId="0" borderId="0" xfId="40" applyNumberFormat="1" applyFont="1" applyAlignment="1">
      <alignment horizontal="center"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6" fillId="0" borderId="11" xfId="40" applyNumberFormat="1" applyFont="1" applyBorder="1" applyAlignment="1">
      <alignment horizontal="center" wrapText="1"/>
    </xf>
    <xf numFmtId="168" fontId="6" fillId="0" borderId="13" xfId="40" applyNumberFormat="1" applyFont="1" applyBorder="1" applyAlignment="1">
      <alignment horizontal="center" wrapText="1"/>
    </xf>
    <xf numFmtId="168" fontId="6" fillId="0" borderId="15" xfId="40" applyNumberFormat="1" applyFont="1" applyBorder="1" applyAlignment="1">
      <alignment horizontal="center" wrapText="1"/>
    </xf>
    <xf numFmtId="168" fontId="11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57" applyFont="1">
      <alignment/>
      <protection/>
    </xf>
    <xf numFmtId="0" fontId="9" fillId="0" borderId="0" xfId="0" applyFont="1" applyAlignment="1">
      <alignment horizontal="center"/>
    </xf>
    <xf numFmtId="168" fontId="11" fillId="0" borderId="0" xfId="40" applyNumberFormat="1" applyFont="1" applyAlignment="1">
      <alignment horizontal="right"/>
    </xf>
    <xf numFmtId="168" fontId="11" fillId="0" borderId="0" xfId="40" applyNumberFormat="1" applyFont="1" applyBorder="1" applyAlignment="1">
      <alignment/>
    </xf>
    <xf numFmtId="168" fontId="17" fillId="0" borderId="0" xfId="40" applyNumberFormat="1" applyFont="1" applyAlignment="1">
      <alignment/>
    </xf>
    <xf numFmtId="168" fontId="16" fillId="0" borderId="0" xfId="40" applyNumberFormat="1" applyFont="1" applyAlignment="1">
      <alignment/>
    </xf>
    <xf numFmtId="168" fontId="11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14" fontId="6" fillId="0" borderId="0" xfId="0" applyNumberFormat="1" applyFont="1" applyAlignment="1">
      <alignment/>
    </xf>
    <xf numFmtId="168" fontId="12" fillId="0" borderId="0" xfId="59" applyNumberFormat="1" applyFont="1" applyBorder="1">
      <alignment/>
      <protection/>
    </xf>
    <xf numFmtId="0" fontId="12" fillId="0" borderId="0" xfId="57" applyFont="1" applyAlignment="1">
      <alignment horizontal="center"/>
      <protection/>
    </xf>
    <xf numFmtId="0" fontId="12" fillId="0" borderId="0" xfId="57" applyFont="1" applyAlignment="1">
      <alignment/>
      <protection/>
    </xf>
    <xf numFmtId="0" fontId="12" fillId="0" borderId="0" xfId="57" applyFont="1" applyAlignment="1">
      <alignment horizontal="left"/>
      <protection/>
    </xf>
    <xf numFmtId="0" fontId="12" fillId="0" borderId="16" xfId="57" applyFont="1" applyBorder="1" applyAlignment="1">
      <alignment horizontal="left"/>
      <protection/>
    </xf>
    <xf numFmtId="0" fontId="12" fillId="0" borderId="16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0" fontId="12" fillId="0" borderId="13" xfId="57" applyFont="1" applyBorder="1" applyAlignment="1">
      <alignment horizontal="center"/>
      <protection/>
    </xf>
    <xf numFmtId="0" fontId="12" fillId="0" borderId="13" xfId="57" applyFont="1" applyBorder="1">
      <alignment/>
      <protection/>
    </xf>
    <xf numFmtId="0" fontId="12" fillId="0" borderId="15" xfId="57" applyFont="1" applyBorder="1" applyAlignment="1">
      <alignment horizontal="center"/>
      <protection/>
    </xf>
    <xf numFmtId="0" fontId="21" fillId="0" borderId="0" xfId="57" applyFont="1">
      <alignment/>
      <protection/>
    </xf>
    <xf numFmtId="0" fontId="10" fillId="0" borderId="0" xfId="57" applyFont="1" applyAlignment="1">
      <alignment/>
      <protection/>
    </xf>
    <xf numFmtId="0" fontId="4" fillId="0" borderId="0" xfId="57" applyFont="1">
      <alignment/>
      <protection/>
    </xf>
    <xf numFmtId="0" fontId="12" fillId="0" borderId="0" xfId="56" applyFont="1">
      <alignment/>
      <protection/>
    </xf>
    <xf numFmtId="168" fontId="1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 wrapText="1"/>
    </xf>
    <xf numFmtId="168" fontId="12" fillId="0" borderId="0" xfId="57" applyNumberFormat="1" applyFont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168" fontId="18" fillId="0" borderId="0" xfId="40" applyNumberFormat="1" applyFont="1" applyAlignment="1">
      <alignment wrapText="1"/>
    </xf>
    <xf numFmtId="168" fontId="18" fillId="0" borderId="0" xfId="40" applyNumberFormat="1" applyFont="1" applyAlignment="1">
      <alignment/>
    </xf>
    <xf numFmtId="168" fontId="12" fillId="0" borderId="11" xfId="40" applyNumberFormat="1" applyFont="1" applyBorder="1" applyAlignment="1">
      <alignment horizontal="center"/>
    </xf>
    <xf numFmtId="0" fontId="11" fillId="0" borderId="11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 vertical="center"/>
      <protection/>
    </xf>
    <xf numFmtId="168" fontId="12" fillId="0" borderId="13" xfId="40" applyNumberFormat="1" applyFont="1" applyBorder="1" applyAlignment="1">
      <alignment horizontal="center"/>
    </xf>
    <xf numFmtId="168" fontId="12" fillId="0" borderId="15" xfId="4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6" fillId="0" borderId="0" xfId="57" applyFont="1" applyBorder="1" applyAlignment="1">
      <alignment horizontal="center" vertical="center"/>
      <protection/>
    </xf>
    <xf numFmtId="168" fontId="12" fillId="0" borderId="0" xfId="40" applyNumberFormat="1" applyFont="1" applyBorder="1" applyAlignment="1">
      <alignment horizontal="center"/>
    </xf>
    <xf numFmtId="0" fontId="12" fillId="0" borderId="0" xfId="57" applyFont="1" applyBorder="1" applyAlignment="1">
      <alignment horizontal="left" vertical="center"/>
      <protection/>
    </xf>
    <xf numFmtId="168" fontId="6" fillId="0" borderId="0" xfId="4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 wrapText="1"/>
    </xf>
    <xf numFmtId="168" fontId="12" fillId="0" borderId="0" xfId="0" applyNumberFormat="1" applyFont="1" applyAlignment="1">
      <alignment wrapText="1"/>
    </xf>
    <xf numFmtId="168" fontId="12" fillId="0" borderId="0" xfId="40" applyNumberFormat="1" applyFont="1" applyBorder="1" applyAlignment="1">
      <alignment horizontal="center"/>
    </xf>
    <xf numFmtId="168" fontId="12" fillId="0" borderId="0" xfId="40" applyNumberFormat="1" applyFont="1" applyAlignment="1">
      <alignment horizontal="left" wrapText="1"/>
    </xf>
    <xf numFmtId="168" fontId="6" fillId="0" borderId="0" xfId="0" applyNumberFormat="1" applyFont="1" applyAlignment="1">
      <alignment/>
    </xf>
    <xf numFmtId="0" fontId="16" fillId="0" borderId="0" xfId="0" applyFont="1" applyAlignment="1">
      <alignment/>
    </xf>
    <xf numFmtId="168" fontId="16" fillId="0" borderId="0" xfId="0" applyNumberFormat="1" applyFont="1" applyAlignment="1">
      <alignment/>
    </xf>
    <xf numFmtId="0" fontId="23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2" fillId="0" borderId="0" xfId="0" applyFont="1" applyAlignment="1">
      <alignment wrapText="1"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0" fontId="12" fillId="0" borderId="0" xfId="59" applyFont="1">
      <alignment/>
      <protection/>
    </xf>
    <xf numFmtId="168" fontId="7" fillId="0" borderId="0" xfId="4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0" fontId="10" fillId="0" borderId="0" xfId="60" applyFont="1" applyAlignment="1">
      <alignment horizontal="center"/>
      <protection/>
    </xf>
    <xf numFmtId="0" fontId="11" fillId="0" borderId="0" xfId="60" applyFont="1">
      <alignment/>
      <protection/>
    </xf>
    <xf numFmtId="0" fontId="11" fillId="0" borderId="0" xfId="57" applyFont="1">
      <alignment/>
      <protection/>
    </xf>
    <xf numFmtId="0" fontId="11" fillId="0" borderId="17" xfId="59" applyFont="1" applyBorder="1" applyAlignment="1" quotePrefix="1">
      <alignment horizontal="center" vertical="center" wrapText="1"/>
      <protection/>
    </xf>
    <xf numFmtId="0" fontId="11" fillId="0" borderId="18" xfId="59" applyFont="1" applyBorder="1" applyAlignment="1">
      <alignment horizontal="left" wrapText="1"/>
      <protection/>
    </xf>
    <xf numFmtId="0" fontId="11" fillId="0" borderId="19" xfId="60" applyFont="1" applyBorder="1">
      <alignment/>
      <protection/>
    </xf>
    <xf numFmtId="0" fontId="11" fillId="0" borderId="20" xfId="60" applyFont="1" applyBorder="1">
      <alignment/>
      <protection/>
    </xf>
    <xf numFmtId="0" fontId="11" fillId="0" borderId="21" xfId="59" applyFont="1" applyBorder="1" applyAlignment="1" quotePrefix="1">
      <alignment horizontal="center" vertical="center" wrapText="1"/>
      <protection/>
    </xf>
    <xf numFmtId="0" fontId="11" fillId="0" borderId="22" xfId="60" applyFont="1" applyBorder="1">
      <alignment/>
      <protection/>
    </xf>
    <xf numFmtId="0" fontId="11" fillId="0" borderId="23" xfId="60" applyFont="1" applyBorder="1">
      <alignment/>
      <protection/>
    </xf>
    <xf numFmtId="0" fontId="11" fillId="0" borderId="24" xfId="60" applyFont="1" applyBorder="1">
      <alignment/>
      <protection/>
    </xf>
    <xf numFmtId="0" fontId="11" fillId="0" borderId="18" xfId="60" applyFont="1" applyBorder="1">
      <alignment/>
      <protection/>
    </xf>
    <xf numFmtId="0" fontId="10" fillId="0" borderId="25" xfId="60" applyFont="1" applyBorder="1">
      <alignment/>
      <protection/>
    </xf>
    <xf numFmtId="0" fontId="11" fillId="0" borderId="0" xfId="0" applyFont="1" applyAlignment="1">
      <alignment horizontal="right"/>
    </xf>
    <xf numFmtId="0" fontId="12" fillId="0" borderId="0" xfId="59" applyFont="1" applyAlignment="1">
      <alignment horizontal="center"/>
      <protection/>
    </xf>
    <xf numFmtId="0" fontId="12" fillId="0" borderId="0" xfId="60" applyFont="1" applyAlignment="1">
      <alignment horizontal="center"/>
      <protection/>
    </xf>
    <xf numFmtId="0" fontId="11" fillId="0" borderId="24" xfId="59" applyFont="1" applyBorder="1" applyAlignment="1">
      <alignment horizontal="right"/>
      <protection/>
    </xf>
    <xf numFmtId="0" fontId="11" fillId="0" borderId="19" xfId="59" applyFont="1" applyBorder="1" applyAlignment="1">
      <alignment horizontal="right"/>
      <protection/>
    </xf>
    <xf numFmtId="0" fontId="11" fillId="0" borderId="19" xfId="59" applyFont="1" applyBorder="1">
      <alignment/>
      <protection/>
    </xf>
    <xf numFmtId="0" fontId="12" fillId="0" borderId="0" xfId="57" applyFont="1">
      <alignment/>
      <protection/>
    </xf>
    <xf numFmtId="0" fontId="18" fillId="0" borderId="0" xfId="57" applyFont="1">
      <alignment/>
      <protection/>
    </xf>
    <xf numFmtId="0" fontId="18" fillId="0" borderId="0" xfId="57" applyFont="1" applyAlignment="1">
      <alignment horizontal="center"/>
      <protection/>
    </xf>
    <xf numFmtId="0" fontId="18" fillId="0" borderId="0" xfId="0" applyFont="1" applyAlignment="1">
      <alignment/>
    </xf>
    <xf numFmtId="0" fontId="6" fillId="0" borderId="11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6" fillId="0" borderId="11" xfId="57" applyFont="1" applyBorder="1" applyAlignment="1">
      <alignment horizontal="center"/>
      <protection/>
    </xf>
    <xf numFmtId="0" fontId="6" fillId="0" borderId="13" xfId="57" applyFont="1" applyBorder="1">
      <alignment/>
      <protection/>
    </xf>
    <xf numFmtId="0" fontId="6" fillId="0" borderId="12" xfId="57" applyFont="1" applyBorder="1" applyAlignment="1">
      <alignment horizontal="center"/>
      <protection/>
    </xf>
    <xf numFmtId="0" fontId="6" fillId="0" borderId="13" xfId="57" applyFont="1" applyBorder="1" applyAlignment="1">
      <alignment horizontal="center"/>
      <protection/>
    </xf>
    <xf numFmtId="0" fontId="6" fillId="0" borderId="15" xfId="57" applyFont="1" applyBorder="1">
      <alignment/>
      <protection/>
    </xf>
    <xf numFmtId="0" fontId="4" fillId="0" borderId="15" xfId="57" applyFont="1" applyBorder="1" applyAlignment="1">
      <alignment horizontal="center"/>
      <protection/>
    </xf>
    <xf numFmtId="168" fontId="6" fillId="0" borderId="25" xfId="40" applyNumberFormat="1" applyFont="1" applyBorder="1" applyAlignment="1">
      <alignment/>
    </xf>
    <xf numFmtId="0" fontId="12" fillId="0" borderId="25" xfId="57" applyFont="1" applyBorder="1">
      <alignment/>
      <protection/>
    </xf>
    <xf numFmtId="0" fontId="6" fillId="0" borderId="26" xfId="57" applyFont="1" applyBorder="1">
      <alignment/>
      <protection/>
    </xf>
    <xf numFmtId="0" fontId="6" fillId="0" borderId="16" xfId="57" applyFont="1" applyBorder="1">
      <alignment/>
      <protection/>
    </xf>
    <xf numFmtId="168" fontId="6" fillId="0" borderId="15" xfId="40" applyNumberFormat="1" applyFont="1" applyBorder="1" applyAlignment="1">
      <alignment/>
    </xf>
    <xf numFmtId="0" fontId="6" fillId="0" borderId="0" xfId="57" applyFont="1">
      <alignment/>
      <protection/>
    </xf>
    <xf numFmtId="0" fontId="12" fillId="0" borderId="25" xfId="57" applyFont="1" applyBorder="1" applyAlignment="1">
      <alignment horizontal="right"/>
      <protection/>
    </xf>
    <xf numFmtId="0" fontId="12" fillId="0" borderId="26" xfId="57" applyFont="1" applyBorder="1" applyAlignment="1">
      <alignment wrapText="1"/>
      <protection/>
    </xf>
    <xf numFmtId="168" fontId="12" fillId="0" borderId="25" xfId="40" applyNumberFormat="1" applyFont="1" applyBorder="1" applyAlignment="1">
      <alignment/>
    </xf>
    <xf numFmtId="168" fontId="18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0" fontId="12" fillId="0" borderId="0" xfId="57" applyFont="1" applyAlignment="1">
      <alignment horizontal="right"/>
      <protection/>
    </xf>
    <xf numFmtId="0" fontId="6" fillId="0" borderId="11" xfId="57" applyFont="1" applyBorder="1" applyAlignment="1">
      <alignment/>
      <protection/>
    </xf>
    <xf numFmtId="168" fontId="6" fillId="0" borderId="11" xfId="40" applyNumberFormat="1" applyFont="1" applyBorder="1" applyAlignment="1">
      <alignment horizontal="center"/>
    </xf>
    <xf numFmtId="168" fontId="6" fillId="0" borderId="13" xfId="40" applyNumberFormat="1" applyFont="1" applyBorder="1" applyAlignment="1">
      <alignment horizontal="center"/>
    </xf>
    <xf numFmtId="0" fontId="6" fillId="0" borderId="15" xfId="57" applyFont="1" applyBorder="1" applyAlignment="1">
      <alignment horizontal="center"/>
      <protection/>
    </xf>
    <xf numFmtId="168" fontId="6" fillId="0" borderId="15" xfId="40" applyNumberFormat="1" applyFont="1" applyBorder="1" applyAlignment="1">
      <alignment horizontal="center"/>
    </xf>
    <xf numFmtId="0" fontId="12" fillId="0" borderId="0" xfId="57" applyFont="1" applyBorder="1" applyAlignment="1">
      <alignment horizontal="right"/>
      <protection/>
    </xf>
    <xf numFmtId="0" fontId="12" fillId="0" borderId="0" xfId="57" applyFont="1" applyBorder="1" applyAlignment="1">
      <alignment/>
      <protection/>
    </xf>
    <xf numFmtId="168" fontId="12" fillId="0" borderId="0" xfId="40" applyNumberFormat="1" applyFont="1" applyBorder="1" applyAlignment="1">
      <alignment/>
    </xf>
    <xf numFmtId="0" fontId="12" fillId="0" borderId="0" xfId="57" applyFont="1" applyBorder="1" applyAlignment="1">
      <alignment wrapText="1"/>
      <protection/>
    </xf>
    <xf numFmtId="0" fontId="12" fillId="0" borderId="19" xfId="57" applyFont="1" applyBorder="1" applyAlignment="1">
      <alignment horizontal="right"/>
      <protection/>
    </xf>
    <xf numFmtId="0" fontId="12" fillId="0" borderId="19" xfId="57" applyFont="1" applyBorder="1" applyAlignment="1">
      <alignment/>
      <protection/>
    </xf>
    <xf numFmtId="168" fontId="12" fillId="0" borderId="19" xfId="4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168" fontId="12" fillId="0" borderId="0" xfId="40" applyNumberFormat="1" applyFont="1" applyAlignment="1">
      <alignment horizontal="right"/>
    </xf>
    <xf numFmtId="168" fontId="6" fillId="0" borderId="0" xfId="57" applyNumberFormat="1" applyFont="1">
      <alignment/>
      <protection/>
    </xf>
    <xf numFmtId="0" fontId="6" fillId="0" borderId="25" xfId="57" applyFont="1" applyBorder="1" applyAlignment="1">
      <alignment horizontal="right"/>
      <protection/>
    </xf>
    <xf numFmtId="0" fontId="6" fillId="0" borderId="25" xfId="57" applyFont="1" applyBorder="1">
      <alignment/>
      <protection/>
    </xf>
    <xf numFmtId="168" fontId="6" fillId="0" borderId="25" xfId="40" applyNumberFormat="1" applyFont="1" applyBorder="1" applyAlignment="1">
      <alignment/>
    </xf>
    <xf numFmtId="0" fontId="6" fillId="0" borderId="0" xfId="57" applyFont="1" applyBorder="1" applyAlignment="1">
      <alignment horizontal="right"/>
      <protection/>
    </xf>
    <xf numFmtId="0" fontId="6" fillId="0" borderId="0" xfId="57" applyFont="1" applyBorder="1">
      <alignment/>
      <protection/>
    </xf>
    <xf numFmtId="168" fontId="6" fillId="0" borderId="0" xfId="40" applyNumberFormat="1" applyFont="1" applyBorder="1" applyAlignment="1">
      <alignment/>
    </xf>
    <xf numFmtId="0" fontId="12" fillId="0" borderId="0" xfId="58" applyFont="1">
      <alignment/>
      <protection/>
    </xf>
    <xf numFmtId="0" fontId="6" fillId="0" borderId="0" xfId="58" applyFont="1" applyBorder="1" applyAlignment="1">
      <alignment horizontal="center"/>
      <protection/>
    </xf>
    <xf numFmtId="0" fontId="25" fillId="0" borderId="19" xfId="0" applyFont="1" applyBorder="1" applyAlignment="1">
      <alignment/>
    </xf>
    <xf numFmtId="168" fontId="6" fillId="0" borderId="19" xfId="40" applyNumberFormat="1" applyFont="1" applyBorder="1" applyAlignment="1">
      <alignment/>
    </xf>
    <xf numFmtId="0" fontId="6" fillId="0" borderId="0" xfId="58" applyFont="1">
      <alignment/>
      <protection/>
    </xf>
    <xf numFmtId="0" fontId="6" fillId="0" borderId="25" xfId="58" applyFont="1" applyBorder="1" applyAlignment="1">
      <alignment horizontal="right"/>
      <protection/>
    </xf>
    <xf numFmtId="0" fontId="6" fillId="0" borderId="25" xfId="58" applyFont="1" applyBorder="1">
      <alignment/>
      <protection/>
    </xf>
    <xf numFmtId="168" fontId="6" fillId="0" borderId="25" xfId="58" applyNumberFormat="1" applyFont="1" applyBorder="1" applyAlignment="1">
      <alignment/>
      <protection/>
    </xf>
    <xf numFmtId="168" fontId="6" fillId="0" borderId="0" xfId="58" applyNumberFormat="1" applyFont="1">
      <alignment/>
      <protection/>
    </xf>
    <xf numFmtId="0" fontId="12" fillId="0" borderId="0" xfId="58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0" fontId="11" fillId="0" borderId="0" xfId="59" applyFont="1" applyAlignment="1">
      <alignment horizontal="left" wrapText="1"/>
      <protection/>
    </xf>
    <xf numFmtId="0" fontId="6" fillId="0" borderId="14" xfId="57" applyFont="1" applyBorder="1" applyAlignment="1">
      <alignment horizontal="center"/>
      <protection/>
    </xf>
    <xf numFmtId="14" fontId="4" fillId="0" borderId="0" xfId="0" applyNumberFormat="1" applyFont="1" applyAlignment="1">
      <alignment/>
    </xf>
    <xf numFmtId="0" fontId="11" fillId="0" borderId="27" xfId="60" applyFont="1" applyBorder="1">
      <alignment/>
      <protection/>
    </xf>
    <xf numFmtId="0" fontId="23" fillId="0" borderId="25" xfId="57" applyFont="1" applyBorder="1" applyAlignment="1">
      <alignment horizontal="center"/>
      <protection/>
    </xf>
    <xf numFmtId="0" fontId="7" fillId="0" borderId="25" xfId="57" applyFont="1" applyBorder="1" applyAlignment="1">
      <alignment horizontal="center"/>
      <protection/>
    </xf>
    <xf numFmtId="164" fontId="11" fillId="0" borderId="23" xfId="60" applyNumberFormat="1" applyFont="1" applyBorder="1">
      <alignment/>
      <protection/>
    </xf>
    <xf numFmtId="164" fontId="11" fillId="0" borderId="19" xfId="60" applyNumberFormat="1" applyFont="1" applyBorder="1">
      <alignment/>
      <protection/>
    </xf>
    <xf numFmtId="0" fontId="26" fillId="0" borderId="0" xfId="57" applyFont="1">
      <alignment/>
      <protection/>
    </xf>
    <xf numFmtId="0" fontId="26" fillId="0" borderId="0" xfId="57" applyFont="1" applyAlignment="1">
      <alignment horizontal="center"/>
      <protection/>
    </xf>
    <xf numFmtId="168" fontId="26" fillId="0" borderId="0" xfId="40" applyNumberFormat="1" applyFont="1" applyAlignment="1">
      <alignment/>
    </xf>
    <xf numFmtId="0" fontId="11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168" fontId="10" fillId="0" borderId="0" xfId="40" applyNumberFormat="1" applyFont="1" applyAlignment="1">
      <alignment/>
    </xf>
    <xf numFmtId="0" fontId="23" fillId="0" borderId="0" xfId="57" applyFont="1" applyAlignment="1">
      <alignment horizontal="center"/>
      <protection/>
    </xf>
    <xf numFmtId="168" fontId="23" fillId="0" borderId="0" xfId="40" applyNumberFormat="1" applyFont="1" applyAlignment="1">
      <alignment horizontal="centerContinuous"/>
    </xf>
    <xf numFmtId="168" fontId="23" fillId="0" borderId="0" xfId="40" applyNumberFormat="1" applyFont="1" applyAlignment="1">
      <alignment/>
    </xf>
    <xf numFmtId="168" fontId="23" fillId="0" borderId="28" xfId="40" applyNumberFormat="1" applyFont="1" applyBorder="1" applyAlignment="1">
      <alignment horizontal="center"/>
    </xf>
    <xf numFmtId="168" fontId="23" fillId="0" borderId="11" xfId="40" applyNumberFormat="1" applyFont="1" applyBorder="1" applyAlignment="1">
      <alignment horizontal="center"/>
    </xf>
    <xf numFmtId="168" fontId="23" fillId="0" borderId="11" xfId="4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1" fillId="0" borderId="29" xfId="59" applyFont="1" applyBorder="1" applyAlignment="1" quotePrefix="1">
      <alignment horizontal="center" vertical="center" wrapText="1"/>
      <protection/>
    </xf>
    <xf numFmtId="0" fontId="11" fillId="0" borderId="0" xfId="59" applyFont="1" applyBorder="1" applyAlignment="1">
      <alignment horizontal="left" wrapText="1"/>
      <protection/>
    </xf>
    <xf numFmtId="168" fontId="4" fillId="0" borderId="27" xfId="40" applyNumberFormat="1" applyFont="1" applyBorder="1" applyAlignment="1">
      <alignment/>
    </xf>
    <xf numFmtId="168" fontId="4" fillId="0" borderId="30" xfId="40" applyNumberFormat="1" applyFont="1" applyBorder="1" applyAlignment="1">
      <alignment/>
    </xf>
    <xf numFmtId="168" fontId="4" fillId="0" borderId="19" xfId="40" applyNumberFormat="1" applyFont="1" applyBorder="1" applyAlignment="1">
      <alignment/>
    </xf>
    <xf numFmtId="168" fontId="4" fillId="0" borderId="31" xfId="40" applyNumberFormat="1" applyFont="1" applyBorder="1" applyAlignment="1">
      <alignment/>
    </xf>
    <xf numFmtId="0" fontId="10" fillId="0" borderId="32" xfId="60" applyFont="1" applyBorder="1">
      <alignment/>
      <protection/>
    </xf>
    <xf numFmtId="0" fontId="10" fillId="0" borderId="25" xfId="60" applyFont="1" applyBorder="1">
      <alignment/>
      <protection/>
    </xf>
    <xf numFmtId="168" fontId="4" fillId="0" borderId="25" xfId="40" applyNumberFormat="1" applyFont="1" applyBorder="1" applyAlignment="1">
      <alignment/>
    </xf>
    <xf numFmtId="0" fontId="11" fillId="0" borderId="33" xfId="59" applyFont="1" applyBorder="1" applyAlignment="1" quotePrefix="1">
      <alignment horizontal="center" vertical="center" wrapText="1"/>
      <protection/>
    </xf>
    <xf numFmtId="0" fontId="4" fillId="0" borderId="25" xfId="0" applyFont="1" applyBorder="1" applyAlignment="1">
      <alignment/>
    </xf>
    <xf numFmtId="0" fontId="22" fillId="0" borderId="0" xfId="0" applyFont="1" applyAlignment="1">
      <alignment/>
    </xf>
    <xf numFmtId="0" fontId="11" fillId="0" borderId="20" xfId="59" applyFont="1" applyBorder="1" applyAlignment="1">
      <alignment horizontal="right"/>
      <protection/>
    </xf>
    <xf numFmtId="0" fontId="22" fillId="0" borderId="19" xfId="59" applyFont="1" applyBorder="1">
      <alignment/>
      <protection/>
    </xf>
    <xf numFmtId="0" fontId="22" fillId="0" borderId="23" xfId="59" applyFont="1" applyBorder="1">
      <alignment/>
      <protection/>
    </xf>
    <xf numFmtId="0" fontId="11" fillId="0" borderId="23" xfId="59" applyFont="1" applyBorder="1">
      <alignment/>
      <protection/>
    </xf>
    <xf numFmtId="0" fontId="11" fillId="0" borderId="31" xfId="59" applyFont="1" applyBorder="1">
      <alignment/>
      <protection/>
    </xf>
    <xf numFmtId="0" fontId="11" fillId="0" borderId="34" xfId="59" applyFont="1" applyBorder="1">
      <alignment/>
      <protection/>
    </xf>
    <xf numFmtId="0" fontId="10" fillId="0" borderId="32" xfId="59" applyFont="1" applyBorder="1">
      <alignment/>
      <protection/>
    </xf>
    <xf numFmtId="0" fontId="10" fillId="0" borderId="25" xfId="59" applyFont="1" applyBorder="1">
      <alignment/>
      <protection/>
    </xf>
    <xf numFmtId="0" fontId="10" fillId="0" borderId="32" xfId="59" applyFont="1" applyBorder="1" applyAlignment="1">
      <alignment horizontal="right"/>
      <protection/>
    </xf>
    <xf numFmtId="0" fontId="22" fillId="0" borderId="0" xfId="59" applyFont="1">
      <alignment/>
      <protection/>
    </xf>
    <xf numFmtId="0" fontId="7" fillId="0" borderId="0" xfId="59" applyFont="1" applyAlignment="1">
      <alignment/>
      <protection/>
    </xf>
    <xf numFmtId="0" fontId="27" fillId="0" borderId="0" xfId="0" applyFont="1" applyAlignment="1">
      <alignment horizontal="left"/>
    </xf>
    <xf numFmtId="0" fontId="6" fillId="0" borderId="0" xfId="60" applyFont="1" applyAlignment="1">
      <alignment horizontal="centerContinuous"/>
      <protection/>
    </xf>
    <xf numFmtId="0" fontId="28" fillId="0" borderId="0" xfId="60" applyFont="1">
      <alignment/>
      <protection/>
    </xf>
    <xf numFmtId="0" fontId="6" fillId="0" borderId="11" xfId="60" applyFont="1" applyBorder="1">
      <alignment/>
      <protection/>
    </xf>
    <xf numFmtId="0" fontId="6" fillId="0" borderId="11" xfId="60" applyFont="1" applyBorder="1" applyAlignment="1">
      <alignment horizontal="center"/>
      <protection/>
    </xf>
    <xf numFmtId="0" fontId="6" fillId="0" borderId="13" xfId="60" applyFont="1" applyBorder="1" applyAlignment="1">
      <alignment horizontal="center"/>
      <protection/>
    </xf>
    <xf numFmtId="0" fontId="6" fillId="0" borderId="15" xfId="60" applyFont="1" applyBorder="1">
      <alignment/>
      <protection/>
    </xf>
    <xf numFmtId="0" fontId="6" fillId="0" borderId="15" xfId="60" applyFont="1" applyBorder="1" applyAlignment="1">
      <alignment horizontal="center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center"/>
      <protection/>
    </xf>
    <xf numFmtId="0" fontId="6" fillId="0" borderId="0" xfId="60" applyFont="1" applyBorder="1" applyAlignment="1">
      <alignment horizontal="right"/>
      <protection/>
    </xf>
    <xf numFmtId="168" fontId="12" fillId="0" borderId="0" xfId="40" applyNumberFormat="1" applyFont="1" applyBorder="1" applyAlignment="1">
      <alignment horizontal="right"/>
    </xf>
    <xf numFmtId="44" fontId="12" fillId="0" borderId="0" xfId="62" applyFont="1" applyAlignment="1">
      <alignment horizontal="left" wrapText="1"/>
    </xf>
    <xf numFmtId="168" fontId="12" fillId="0" borderId="0" xfId="40" applyNumberFormat="1" applyFont="1" applyAlignment="1">
      <alignment wrapText="1"/>
    </xf>
    <xf numFmtId="44" fontId="12" fillId="0" borderId="0" xfId="62" applyFont="1" applyAlignment="1">
      <alignment wrapText="1"/>
    </xf>
    <xf numFmtId="0" fontId="12" fillId="0" borderId="0" xfId="60" applyFont="1" applyBorder="1">
      <alignment/>
      <protection/>
    </xf>
    <xf numFmtId="168" fontId="13" fillId="0" borderId="0" xfId="40" applyNumberFormat="1" applyFont="1" applyBorder="1" applyAlignment="1">
      <alignment horizontal="right"/>
    </xf>
    <xf numFmtId="168" fontId="6" fillId="0" borderId="0" xfId="40" applyNumberFormat="1" applyFont="1" applyBorder="1" applyAlignment="1">
      <alignment horizontal="right"/>
    </xf>
    <xf numFmtId="0" fontId="10" fillId="0" borderId="0" xfId="59" applyFont="1" applyBorder="1" quotePrefix="1">
      <alignment/>
      <protection/>
    </xf>
    <xf numFmtId="168" fontId="6" fillId="0" borderId="0" xfId="40" applyNumberFormat="1" applyFont="1" applyBorder="1" applyAlignment="1">
      <alignment/>
    </xf>
    <xf numFmtId="168" fontId="12" fillId="0" borderId="0" xfId="40" applyNumberFormat="1" applyFont="1" applyAlignment="1">
      <alignment horizont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168" fontId="6" fillId="0" borderId="11" xfId="40" applyNumberFormat="1" applyFont="1" applyBorder="1" applyAlignment="1">
      <alignment/>
    </xf>
    <xf numFmtId="168" fontId="6" fillId="0" borderId="35" xfId="40" applyNumberFormat="1" applyFont="1" applyBorder="1" applyAlignment="1">
      <alignment/>
    </xf>
    <xf numFmtId="168" fontId="6" fillId="0" borderId="36" xfId="40" applyNumberFormat="1" applyFont="1" applyBorder="1" applyAlignment="1">
      <alignment/>
    </xf>
    <xf numFmtId="168" fontId="6" fillId="0" borderId="37" xfId="40" applyNumberFormat="1" applyFont="1" applyBorder="1" applyAlignment="1">
      <alignment/>
    </xf>
    <xf numFmtId="168" fontId="12" fillId="0" borderId="37" xfId="40" applyNumberFormat="1" applyFont="1" applyBorder="1" applyAlignment="1">
      <alignment/>
    </xf>
    <xf numFmtId="168" fontId="12" fillId="0" borderId="36" xfId="40" applyNumberFormat="1" applyFont="1" applyBorder="1" applyAlignment="1">
      <alignment/>
    </xf>
    <xf numFmtId="168" fontId="12" fillId="0" borderId="11" xfId="4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 horizontal="center"/>
    </xf>
    <xf numFmtId="168" fontId="12" fillId="0" borderId="38" xfId="40" applyNumberFormat="1" applyFont="1" applyBorder="1" applyAlignment="1">
      <alignment horizontal="center"/>
    </xf>
    <xf numFmtId="168" fontId="12" fillId="0" borderId="39" xfId="40" applyNumberFormat="1" applyFont="1" applyBorder="1" applyAlignment="1">
      <alignment horizontal="center"/>
    </xf>
    <xf numFmtId="168" fontId="12" fillId="0" borderId="40" xfId="40" applyNumberFormat="1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168" fontId="12" fillId="0" borderId="15" xfId="40" applyNumberFormat="1" applyFont="1" applyBorder="1" applyAlignment="1">
      <alignment/>
    </xf>
    <xf numFmtId="168" fontId="12" fillId="0" borderId="41" xfId="40" applyNumberFormat="1" applyFont="1" applyBorder="1" applyAlignment="1">
      <alignment/>
    </xf>
    <xf numFmtId="168" fontId="12" fillId="0" borderId="42" xfId="40" applyNumberFormat="1" applyFont="1" applyBorder="1" applyAlignment="1">
      <alignment/>
    </xf>
    <xf numFmtId="168" fontId="12" fillId="0" borderId="43" xfId="4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0" fontId="12" fillId="0" borderId="19" xfId="0" applyFont="1" applyBorder="1" applyAlignment="1">
      <alignment wrapText="1"/>
    </xf>
    <xf numFmtId="168" fontId="12" fillId="0" borderId="19" xfId="40" applyNumberFormat="1" applyFont="1" applyBorder="1" applyAlignment="1">
      <alignment/>
    </xf>
    <xf numFmtId="168" fontId="12" fillId="0" borderId="31" xfId="40" applyNumberFormat="1" applyFont="1" applyBorder="1" applyAlignment="1">
      <alignment/>
    </xf>
    <xf numFmtId="0" fontId="12" fillId="0" borderId="19" xfId="0" applyFont="1" applyBorder="1" applyAlignment="1">
      <alignment/>
    </xf>
    <xf numFmtId="168" fontId="12" fillId="0" borderId="19" xfId="40" applyNumberFormat="1" applyFont="1" applyBorder="1" applyAlignment="1">
      <alignment/>
    </xf>
    <xf numFmtId="168" fontId="29" fillId="0" borderId="19" xfId="40" applyNumberFormat="1" applyFont="1" applyFill="1" applyBorder="1" applyAlignment="1">
      <alignment/>
    </xf>
    <xf numFmtId="168" fontId="29" fillId="0" borderId="23" xfId="40" applyNumberFormat="1" applyFont="1" applyFill="1" applyBorder="1" applyAlignment="1">
      <alignment/>
    </xf>
    <xf numFmtId="168" fontId="12" fillId="0" borderId="19" xfId="40" applyNumberFormat="1" applyFont="1" applyFill="1" applyBorder="1" applyAlignment="1">
      <alignment/>
    </xf>
    <xf numFmtId="168" fontId="12" fillId="0" borderId="23" xfId="40" applyNumberFormat="1" applyFont="1" applyFill="1" applyBorder="1" applyAlignment="1">
      <alignment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/>
    </xf>
    <xf numFmtId="0" fontId="6" fillId="0" borderId="25" xfId="0" applyFont="1" applyBorder="1" applyAlignment="1">
      <alignment/>
    </xf>
    <xf numFmtId="168" fontId="6" fillId="0" borderId="46" xfId="40" applyNumberFormat="1" applyFont="1" applyBorder="1" applyAlignment="1">
      <alignment/>
    </xf>
    <xf numFmtId="168" fontId="6" fillId="0" borderId="25" xfId="40" applyNumberFormat="1" applyFont="1" applyBorder="1" applyAlignment="1">
      <alignment/>
    </xf>
    <xf numFmtId="0" fontId="12" fillId="0" borderId="47" xfId="0" applyFont="1" applyBorder="1" applyAlignment="1">
      <alignment horizontal="center"/>
    </xf>
    <xf numFmtId="0" fontId="6" fillId="0" borderId="27" xfId="0" applyFont="1" applyBorder="1" applyAlignment="1">
      <alignment/>
    </xf>
    <xf numFmtId="168" fontId="12" fillId="0" borderId="48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25" xfId="0" applyFont="1" applyBorder="1" applyAlignment="1">
      <alignment/>
    </xf>
    <xf numFmtId="0" fontId="6" fillId="0" borderId="32" xfId="0" applyFont="1" applyBorder="1" applyAlignment="1">
      <alignment/>
    </xf>
    <xf numFmtId="168" fontId="12" fillId="0" borderId="49" xfId="40" applyNumberFormat="1" applyFont="1" applyBorder="1" applyAlignment="1">
      <alignment/>
    </xf>
    <xf numFmtId="168" fontId="12" fillId="0" borderId="50" xfId="40" applyNumberFormat="1" applyFont="1" applyBorder="1" applyAlignment="1">
      <alignment/>
    </xf>
    <xf numFmtId="0" fontId="12" fillId="0" borderId="19" xfId="0" applyFont="1" applyBorder="1" applyAlignment="1">
      <alignment horizontal="left" wrapText="1"/>
    </xf>
    <xf numFmtId="169" fontId="12" fillId="0" borderId="0" xfId="40" applyNumberFormat="1" applyFont="1" applyAlignment="1">
      <alignment/>
    </xf>
    <xf numFmtId="168" fontId="12" fillId="0" borderId="0" xfId="0" applyNumberFormat="1" applyFont="1" applyAlignment="1">
      <alignment/>
    </xf>
    <xf numFmtId="0" fontId="10" fillId="0" borderId="0" xfId="59" applyFont="1" applyBorder="1" applyAlignment="1">
      <alignment horizontal="left" wrapText="1"/>
      <protection/>
    </xf>
    <xf numFmtId="0" fontId="6" fillId="0" borderId="0" xfId="60" applyFont="1" applyBorder="1" quotePrefix="1">
      <alignment/>
      <protection/>
    </xf>
    <xf numFmtId="0" fontId="18" fillId="0" borderId="0" xfId="0" applyFont="1" applyAlignment="1">
      <alignment horizontal="left" wrapText="1"/>
    </xf>
    <xf numFmtId="14" fontId="20" fillId="0" borderId="0" xfId="0" applyNumberFormat="1" applyFont="1" applyAlignment="1">
      <alignment/>
    </xf>
    <xf numFmtId="0" fontId="7" fillId="0" borderId="0" xfId="60" applyFont="1" applyAlignment="1">
      <alignment horizontal="center"/>
      <protection/>
    </xf>
    <xf numFmtId="0" fontId="4" fillId="0" borderId="0" xfId="59" applyFont="1" applyAlignment="1">
      <alignment wrapText="1"/>
      <protection/>
    </xf>
    <xf numFmtId="0" fontId="22" fillId="0" borderId="31" xfId="59" applyFont="1" applyBorder="1">
      <alignment/>
      <protection/>
    </xf>
    <xf numFmtId="0" fontId="4" fillId="0" borderId="19" xfId="0" applyFont="1" applyBorder="1" applyAlignment="1">
      <alignment/>
    </xf>
    <xf numFmtId="0" fontId="12" fillId="0" borderId="0" xfId="57" applyFont="1" applyAlignment="1">
      <alignment horizontal="left" wrapText="1"/>
      <protection/>
    </xf>
    <xf numFmtId="0" fontId="12" fillId="0" borderId="51" xfId="57" applyFont="1" applyBorder="1" applyAlignment="1">
      <alignment horizontal="center"/>
      <protection/>
    </xf>
    <xf numFmtId="0" fontId="12" fillId="0" borderId="14" xfId="57" applyFont="1" applyBorder="1" applyAlignment="1">
      <alignment horizontal="center"/>
      <protection/>
    </xf>
    <xf numFmtId="0" fontId="12" fillId="0" borderId="16" xfId="57" applyFont="1" applyBorder="1" applyAlignment="1">
      <alignment horizontal="center"/>
      <protection/>
    </xf>
    <xf numFmtId="0" fontId="12" fillId="0" borderId="52" xfId="57" applyFont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18" fillId="0" borderId="0" xfId="0" applyFont="1" applyAlignment="1">
      <alignment horizontal="left" wrapText="1"/>
    </xf>
    <xf numFmtId="0" fontId="12" fillId="0" borderId="53" xfId="57" applyFont="1" applyBorder="1" applyAlignment="1">
      <alignment horizontal="center"/>
      <protection/>
    </xf>
    <xf numFmtId="0" fontId="12" fillId="0" borderId="28" xfId="57" applyFont="1" applyBorder="1" applyAlignment="1">
      <alignment horizontal="center"/>
      <protection/>
    </xf>
    <xf numFmtId="0" fontId="12" fillId="0" borderId="12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7" fillId="0" borderId="0" xfId="57" applyFont="1" applyAlignment="1">
      <alignment horizontal="center"/>
      <protection/>
    </xf>
    <xf numFmtId="0" fontId="12" fillId="0" borderId="10" xfId="57" applyFont="1" applyBorder="1" applyAlignment="1">
      <alignment horizontal="center" vertical="center"/>
      <protection/>
    </xf>
    <xf numFmtId="0" fontId="12" fillId="0" borderId="53" xfId="57" applyFont="1" applyBorder="1" applyAlignment="1">
      <alignment horizontal="center" vertical="center"/>
      <protection/>
    </xf>
    <xf numFmtId="0" fontId="12" fillId="0" borderId="28" xfId="57" applyFont="1" applyBorder="1" applyAlignment="1">
      <alignment horizontal="center" vertical="center"/>
      <protection/>
    </xf>
    <xf numFmtId="0" fontId="12" fillId="0" borderId="12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12" fillId="0" borderId="51" xfId="57" applyFont="1" applyBorder="1" applyAlignment="1">
      <alignment horizontal="center" vertical="center"/>
      <protection/>
    </xf>
    <xf numFmtId="0" fontId="12" fillId="0" borderId="14" xfId="57" applyFont="1" applyBorder="1" applyAlignment="1">
      <alignment horizontal="center" vertical="center"/>
      <protection/>
    </xf>
    <xf numFmtId="0" fontId="12" fillId="0" borderId="16" xfId="57" applyFont="1" applyBorder="1" applyAlignment="1">
      <alignment horizontal="center" vertical="center"/>
      <protection/>
    </xf>
    <xf numFmtId="0" fontId="12" fillId="0" borderId="52" xfId="57" applyFont="1" applyBorder="1" applyAlignment="1">
      <alignment horizontal="center" vertical="center"/>
      <protection/>
    </xf>
    <xf numFmtId="0" fontId="6" fillId="0" borderId="0" xfId="0" applyFont="1" applyAlignment="1">
      <alignment horizontal="left" wrapText="1"/>
    </xf>
    <xf numFmtId="0" fontId="12" fillId="0" borderId="10" xfId="57" applyFont="1" applyBorder="1" applyAlignment="1">
      <alignment horizontal="center"/>
      <protection/>
    </xf>
    <xf numFmtId="0" fontId="21" fillId="0" borderId="0" xfId="0" applyFont="1" applyAlignment="1">
      <alignment horizontal="left" wrapText="1"/>
    </xf>
    <xf numFmtId="0" fontId="12" fillId="0" borderId="0" xfId="57" applyFont="1" applyBorder="1" applyAlignment="1">
      <alignment horizontal="left" vertical="center"/>
      <protection/>
    </xf>
    <xf numFmtId="0" fontId="10" fillId="0" borderId="0" xfId="0" applyFont="1" applyAlignment="1">
      <alignment horizontal="left" wrapText="1"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0" fontId="11" fillId="0" borderId="15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/>
      <protection/>
    </xf>
    <xf numFmtId="0" fontId="11" fillId="0" borderId="13" xfId="59" applyFont="1" applyBorder="1" applyAlignment="1">
      <alignment horizontal="center" vertical="center"/>
      <protection/>
    </xf>
    <xf numFmtId="0" fontId="11" fillId="0" borderId="15" xfId="59" applyFont="1" applyBorder="1" applyAlignment="1">
      <alignment horizontal="center" vertical="center"/>
      <protection/>
    </xf>
    <xf numFmtId="0" fontId="23" fillId="0" borderId="11" xfId="57" applyFont="1" applyBorder="1" applyAlignment="1">
      <alignment horizontal="center" vertical="center" wrapText="1"/>
      <protection/>
    </xf>
    <xf numFmtId="0" fontId="23" fillId="0" borderId="13" xfId="57" applyFont="1" applyBorder="1" applyAlignment="1">
      <alignment horizontal="center" vertical="center" wrapText="1"/>
      <protection/>
    </xf>
    <xf numFmtId="0" fontId="23" fillId="0" borderId="15" xfId="57" applyFont="1" applyBorder="1" applyAlignment="1">
      <alignment horizontal="center" vertical="center" wrapText="1"/>
      <protection/>
    </xf>
    <xf numFmtId="168" fontId="23" fillId="0" borderId="26" xfId="40" applyNumberFormat="1" applyFont="1" applyBorder="1" applyAlignment="1">
      <alignment horizontal="center"/>
    </xf>
    <xf numFmtId="168" fontId="23" fillId="0" borderId="54" xfId="40" applyNumberFormat="1" applyFont="1" applyBorder="1" applyAlignment="1">
      <alignment horizontal="center"/>
    </xf>
    <xf numFmtId="168" fontId="23" fillId="0" borderId="10" xfId="40" applyNumberFormat="1" applyFont="1" applyBorder="1" applyAlignment="1">
      <alignment horizontal="center"/>
    </xf>
    <xf numFmtId="168" fontId="23" fillId="0" borderId="53" xfId="40" applyNumberFormat="1" applyFont="1" applyBorder="1" applyAlignment="1">
      <alignment horizontal="center"/>
    </xf>
    <xf numFmtId="168" fontId="23" fillId="0" borderId="28" xfId="40" applyNumberFormat="1" applyFont="1" applyBorder="1" applyAlignment="1">
      <alignment horizontal="center"/>
    </xf>
    <xf numFmtId="168" fontId="23" fillId="0" borderId="12" xfId="40" applyNumberFormat="1" applyFont="1" applyBorder="1" applyAlignment="1">
      <alignment horizontal="center"/>
    </xf>
    <xf numFmtId="168" fontId="23" fillId="0" borderId="0" xfId="40" applyNumberFormat="1" applyFont="1" applyBorder="1" applyAlignment="1">
      <alignment horizontal="center"/>
    </xf>
    <xf numFmtId="168" fontId="23" fillId="0" borderId="51" xfId="40" applyNumberFormat="1" applyFont="1" applyBorder="1" applyAlignment="1">
      <alignment horizontal="center"/>
    </xf>
    <xf numFmtId="168" fontId="23" fillId="0" borderId="14" xfId="40" applyNumberFormat="1" applyFont="1" applyBorder="1" applyAlignment="1">
      <alignment horizontal="center"/>
    </xf>
    <xf numFmtId="168" fontId="23" fillId="0" borderId="16" xfId="40" applyNumberFormat="1" applyFont="1" applyBorder="1" applyAlignment="1">
      <alignment horizontal="center"/>
    </xf>
    <xf numFmtId="168" fontId="23" fillId="0" borderId="52" xfId="40" applyNumberFormat="1" applyFont="1" applyBorder="1" applyAlignment="1">
      <alignment horizontal="center"/>
    </xf>
    <xf numFmtId="0" fontId="10" fillId="0" borderId="0" xfId="57" applyFont="1" applyAlignment="1">
      <alignment horizontal="center"/>
      <protection/>
    </xf>
    <xf numFmtId="0" fontId="10" fillId="0" borderId="0" xfId="57" applyFont="1" applyAlignment="1">
      <alignment horizontal="center" wrapText="1"/>
      <protection/>
    </xf>
    <xf numFmtId="0" fontId="7" fillId="0" borderId="14" xfId="57" applyFont="1" applyBorder="1" applyAlignment="1">
      <alignment horizontal="center"/>
      <protection/>
    </xf>
    <xf numFmtId="0" fontId="7" fillId="0" borderId="52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11" fillId="0" borderId="13" xfId="57" applyFont="1" applyBorder="1" applyAlignment="1">
      <alignment horizontal="center" vertical="center" wrapText="1"/>
      <protection/>
    </xf>
    <xf numFmtId="0" fontId="11" fillId="0" borderId="15" xfId="57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/>
      <protection/>
    </xf>
    <xf numFmtId="0" fontId="11" fillId="0" borderId="13" xfId="59" applyFont="1" applyBorder="1" applyAlignment="1">
      <alignment horizontal="center" vertical="center"/>
      <protection/>
    </xf>
    <xf numFmtId="0" fontId="11" fillId="0" borderId="15" xfId="59" applyFont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11" fillId="0" borderId="13" xfId="57" applyFont="1" applyBorder="1" applyAlignment="1">
      <alignment horizontal="center" vertical="center"/>
      <protection/>
    </xf>
    <xf numFmtId="0" fontId="11" fillId="0" borderId="15" xfId="57" applyFont="1" applyBorder="1" applyAlignment="1">
      <alignment horizontal="center" vertical="center"/>
      <protection/>
    </xf>
    <xf numFmtId="0" fontId="27" fillId="0" borderId="11" xfId="57" applyFont="1" applyBorder="1" applyAlignment="1">
      <alignment horizontal="center" vertical="center" wrapText="1"/>
      <protection/>
    </xf>
    <xf numFmtId="0" fontId="27" fillId="0" borderId="13" xfId="57" applyFont="1" applyBorder="1" applyAlignment="1">
      <alignment horizontal="center" vertical="center" wrapText="1"/>
      <protection/>
    </xf>
    <xf numFmtId="0" fontId="27" fillId="0" borderId="15" xfId="57" applyFont="1" applyBorder="1" applyAlignment="1">
      <alignment horizontal="center" vertical="center" wrapText="1"/>
      <protection/>
    </xf>
    <xf numFmtId="0" fontId="11" fillId="0" borderId="32" xfId="57" applyFont="1" applyBorder="1" applyAlignment="1">
      <alignment horizontal="center"/>
      <protection/>
    </xf>
    <xf numFmtId="0" fontId="11" fillId="0" borderId="26" xfId="57" applyFont="1" applyBorder="1" applyAlignment="1">
      <alignment horizontal="center"/>
      <protection/>
    </xf>
    <xf numFmtId="0" fontId="11" fillId="0" borderId="54" xfId="57" applyFont="1" applyBorder="1" applyAlignment="1">
      <alignment horizontal="center"/>
      <protection/>
    </xf>
    <xf numFmtId="44" fontId="11" fillId="0" borderId="32" xfId="62" applyFont="1" applyBorder="1" applyAlignment="1">
      <alignment horizontal="center"/>
    </xf>
    <xf numFmtId="44" fontId="11" fillId="0" borderId="26" xfId="62" applyFont="1" applyBorder="1" applyAlignment="1">
      <alignment horizontal="center"/>
    </xf>
    <xf numFmtId="44" fontId="11" fillId="0" borderId="54" xfId="62" applyFont="1" applyBorder="1" applyAlignment="1">
      <alignment horizontal="center"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3" xfId="57" applyFont="1" applyBorder="1" applyAlignment="1">
      <alignment horizontal="center" vertical="center" wrapText="1"/>
      <protection/>
    </xf>
    <xf numFmtId="0" fontId="30" fillId="0" borderId="15" xfId="57" applyFont="1" applyBorder="1" applyAlignment="1">
      <alignment horizontal="center" vertical="center" wrapText="1"/>
      <protection/>
    </xf>
    <xf numFmtId="0" fontId="10" fillId="0" borderId="0" xfId="60" applyFont="1" applyAlignment="1">
      <alignment horizontal="center"/>
      <protection/>
    </xf>
    <xf numFmtId="0" fontId="7" fillId="0" borderId="32" xfId="57" applyFont="1" applyBorder="1" applyAlignment="1">
      <alignment horizontal="center"/>
      <protection/>
    </xf>
    <xf numFmtId="0" fontId="7" fillId="0" borderId="54" xfId="57" applyFont="1" applyBorder="1" applyAlignment="1">
      <alignment horizontal="center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0" fontId="11" fillId="0" borderId="15" xfId="59" applyFont="1" applyBorder="1" applyAlignment="1">
      <alignment horizontal="center" vertical="center" wrapText="1"/>
      <protection/>
    </xf>
    <xf numFmtId="0" fontId="7" fillId="0" borderId="12" xfId="57" applyFont="1" applyBorder="1" applyAlignment="1">
      <alignment horizontal="center"/>
      <protection/>
    </xf>
    <xf numFmtId="0" fontId="7" fillId="0" borderId="51" xfId="57" applyFont="1" applyBorder="1" applyAlignment="1">
      <alignment horizontal="center"/>
      <protection/>
    </xf>
    <xf numFmtId="0" fontId="11" fillId="0" borderId="32" xfId="57" applyFont="1" applyBorder="1" applyAlignment="1">
      <alignment horizontal="center" wrapText="1"/>
      <protection/>
    </xf>
    <xf numFmtId="0" fontId="11" fillId="0" borderId="26" xfId="57" applyFont="1" applyBorder="1" applyAlignment="1">
      <alignment horizontal="center" wrapText="1"/>
      <protection/>
    </xf>
    <xf numFmtId="0" fontId="11" fillId="0" borderId="54" xfId="57" applyFont="1" applyBorder="1" applyAlignment="1">
      <alignment horizontal="center" wrapText="1"/>
      <protection/>
    </xf>
    <xf numFmtId="0" fontId="11" fillId="0" borderId="0" xfId="0" applyFont="1" applyAlignment="1">
      <alignment horizontal="right"/>
    </xf>
    <xf numFmtId="0" fontId="11" fillId="0" borderId="16" xfId="60" applyFont="1" applyBorder="1" applyAlignment="1">
      <alignment horizontal="right"/>
      <protection/>
    </xf>
    <xf numFmtId="0" fontId="7" fillId="0" borderId="0" xfId="60" applyFont="1" applyAlignment="1">
      <alignment horizontal="center"/>
      <protection/>
    </xf>
    <xf numFmtId="0" fontId="10" fillId="0" borderId="55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2" fillId="0" borderId="0" xfId="59" applyFont="1" applyAlignment="1">
      <alignment horizontal="left" wrapText="1"/>
      <protection/>
    </xf>
    <xf numFmtId="0" fontId="7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12" fillId="0" borderId="0" xfId="57" applyFont="1" applyAlignment="1">
      <alignment horizontal="right"/>
      <protection/>
    </xf>
    <xf numFmtId="0" fontId="7" fillId="0" borderId="0" xfId="57" applyFont="1" applyAlignment="1">
      <alignment horizontal="center"/>
      <protection/>
    </xf>
    <xf numFmtId="0" fontId="12" fillId="0" borderId="11" xfId="58" applyFont="1" applyBorder="1" applyAlignment="1">
      <alignment horizontal="center" vertical="center"/>
      <protection/>
    </xf>
    <xf numFmtId="0" fontId="12" fillId="0" borderId="13" xfId="58" applyFont="1" applyBorder="1" applyAlignment="1">
      <alignment horizontal="center" vertical="center"/>
      <protection/>
    </xf>
    <xf numFmtId="0" fontId="12" fillId="0" borderId="15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/>
      <protection/>
    </xf>
    <xf numFmtId="0" fontId="5" fillId="0" borderId="53" xfId="57" applyFont="1" applyBorder="1" applyAlignment="1">
      <alignment horizontal="center"/>
      <protection/>
    </xf>
    <xf numFmtId="0" fontId="12" fillId="0" borderId="16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6" fillId="0" borderId="0" xfId="56" applyFont="1" applyAlignment="1">
      <alignment horizont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ONEPC99" xfId="56"/>
    <cellStyle name="Normál_KTGV99" xfId="57"/>
    <cellStyle name="Normál_mérleg" xfId="58"/>
    <cellStyle name="Normál_PHKV99" xfId="59"/>
    <cellStyle name="Normál_SIKONC99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zoomScalePageLayoutView="0" workbookViewId="0" topLeftCell="A1">
      <selection activeCell="M46" sqref="M46:N46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4" width="11.25390625" style="1" bestFit="1" customWidth="1"/>
    <col min="15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78"/>
      <c r="J39" s="2"/>
      <c r="N39" s="349" t="s">
        <v>4</v>
      </c>
      <c r="O39" s="349"/>
      <c r="P39" s="349"/>
      <c r="Q39" s="349"/>
      <c r="R39" s="349"/>
      <c r="S39" s="349"/>
      <c r="T39" s="349"/>
      <c r="U39" s="349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69"/>
      <c r="J41" s="2"/>
      <c r="N41" s="349" t="s">
        <v>96</v>
      </c>
      <c r="O41" s="349"/>
      <c r="P41" s="349"/>
      <c r="Q41" s="349"/>
      <c r="R41" s="349"/>
      <c r="S41" s="349"/>
      <c r="T41" s="349"/>
      <c r="U41" s="349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69"/>
      <c r="J43" s="2"/>
      <c r="N43" s="349" t="s">
        <v>426</v>
      </c>
      <c r="O43" s="349"/>
      <c r="P43" s="349"/>
      <c r="Q43" s="349"/>
      <c r="R43" s="349"/>
      <c r="S43" s="349"/>
      <c r="T43" s="349"/>
      <c r="U43" s="349"/>
    </row>
    <row r="44" spans="2:10" ht="27.75">
      <c r="B44" s="2"/>
      <c r="C44" s="3"/>
      <c r="D44" s="3"/>
      <c r="E44" s="3"/>
      <c r="F44" s="3"/>
      <c r="G44" s="3"/>
      <c r="H44" s="3"/>
      <c r="I44" s="3"/>
      <c r="J44" s="2"/>
    </row>
    <row r="45" spans="2:10" ht="27.75">
      <c r="B45" s="2"/>
      <c r="C45" s="3"/>
      <c r="D45" s="3"/>
      <c r="E45" s="3"/>
      <c r="F45" s="3"/>
      <c r="G45" s="3"/>
      <c r="H45" s="3"/>
      <c r="I45" s="3"/>
      <c r="J45" s="2"/>
    </row>
    <row r="46" spans="2:15" ht="27.75">
      <c r="B46" s="2"/>
      <c r="C46" s="2"/>
      <c r="D46" s="2"/>
      <c r="E46" s="2"/>
      <c r="F46" s="2"/>
      <c r="G46" s="2"/>
      <c r="H46" s="2"/>
      <c r="I46" s="2"/>
      <c r="J46" s="2"/>
      <c r="L46" s="79"/>
      <c r="M46" s="333"/>
      <c r="N46" s="80"/>
      <c r="O46" s="221"/>
    </row>
    <row r="47" spans="1:10" ht="27.75">
      <c r="A47" s="79"/>
      <c r="B47" s="80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3">
    <mergeCell ref="N39:U39"/>
    <mergeCell ref="N41:U41"/>
    <mergeCell ref="N43:U4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0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5.75390625" style="162" customWidth="1"/>
    <col min="2" max="2" width="74.375" style="162" customWidth="1"/>
    <col min="3" max="3" width="19.875" style="162" customWidth="1"/>
    <col min="4" max="16384" width="9.125" style="162" customWidth="1"/>
  </cols>
  <sheetData>
    <row r="1" spans="1:3" ht="15.75">
      <c r="A1" s="251" t="s">
        <v>457</v>
      </c>
      <c r="B1" s="251"/>
      <c r="C1" s="100"/>
    </row>
    <row r="2" s="163" customFormat="1" ht="15.75">
      <c r="C2" s="164"/>
    </row>
    <row r="4" spans="1:3" ht="15.75">
      <c r="A4" s="450"/>
      <c r="B4" s="450"/>
      <c r="C4" s="450"/>
    </row>
    <row r="5" spans="1:3" ht="15.75">
      <c r="A5" s="165"/>
      <c r="B5" s="165"/>
      <c r="C5" s="165"/>
    </row>
    <row r="6" spans="1:3" ht="15.75">
      <c r="A6" s="450" t="s">
        <v>4</v>
      </c>
      <c r="B6" s="450"/>
      <c r="C6" s="450"/>
    </row>
    <row r="7" spans="1:3" ht="15.75">
      <c r="A7" s="450" t="s">
        <v>335</v>
      </c>
      <c r="B7" s="450"/>
      <c r="C7" s="450"/>
    </row>
    <row r="8" spans="1:3" ht="15.75">
      <c r="A8" s="450" t="s">
        <v>172</v>
      </c>
      <c r="B8" s="450"/>
      <c r="C8" s="450"/>
    </row>
    <row r="9" ht="16.5" thickBot="1"/>
    <row r="10" spans="1:3" s="5" customFormat="1" ht="15.75">
      <c r="A10" s="166" t="s">
        <v>264</v>
      </c>
      <c r="B10" s="167"/>
      <c r="C10" s="168" t="s">
        <v>22</v>
      </c>
    </row>
    <row r="11" spans="1:3" s="5" customFormat="1" ht="15.75">
      <c r="A11" s="169"/>
      <c r="B11" s="170" t="s">
        <v>265</v>
      </c>
      <c r="C11" s="171" t="s">
        <v>11</v>
      </c>
    </row>
    <row r="12" spans="1:3" s="5" customFormat="1" ht="16.5" thickBot="1">
      <c r="A12" s="172" t="s">
        <v>55</v>
      </c>
      <c r="B12" s="220"/>
      <c r="C12" s="173" t="s">
        <v>266</v>
      </c>
    </row>
    <row r="13" spans="1:3" s="93" customFormat="1" ht="41.25" customHeight="1" thickBot="1">
      <c r="A13" s="180" t="s">
        <v>56</v>
      </c>
      <c r="B13" s="181" t="s">
        <v>331</v>
      </c>
      <c r="C13" s="182">
        <f>2107+185-155-1748-160</f>
        <v>229</v>
      </c>
    </row>
    <row r="14" spans="1:3" s="5" customFormat="1" ht="42" customHeight="1" thickBot="1">
      <c r="A14" s="175"/>
      <c r="B14" s="176" t="s">
        <v>332</v>
      </c>
      <c r="C14" s="174">
        <f>C13</f>
        <v>229</v>
      </c>
    </row>
    <row r="15" spans="1:3" s="93" customFormat="1" ht="41.25" customHeight="1" thickBot="1">
      <c r="A15" s="180" t="s">
        <v>56</v>
      </c>
      <c r="B15" s="181" t="s">
        <v>268</v>
      </c>
      <c r="C15" s="182">
        <v>8000</v>
      </c>
    </row>
    <row r="16" spans="1:3" s="5" customFormat="1" ht="42" customHeight="1" thickBot="1">
      <c r="A16" s="175"/>
      <c r="B16" s="176" t="s">
        <v>333</v>
      </c>
      <c r="C16" s="174">
        <f>SUM(C15)</f>
        <v>8000</v>
      </c>
    </row>
    <row r="17" spans="1:3" s="5" customFormat="1" ht="42" customHeight="1" thickBot="1">
      <c r="A17" s="172"/>
      <c r="B17" s="177" t="s">
        <v>267</v>
      </c>
      <c r="C17" s="178">
        <f>C14+C16</f>
        <v>8229</v>
      </c>
    </row>
    <row r="21" ht="15.75">
      <c r="A21" s="179"/>
    </row>
    <row r="22" ht="15.75">
      <c r="A22" s="179"/>
    </row>
    <row r="110" ht="15.75">
      <c r="A110" s="179"/>
    </row>
  </sheetData>
  <sheetProtection/>
  <mergeCells count="4">
    <mergeCell ref="A8:C8"/>
    <mergeCell ref="A4:C4"/>
    <mergeCell ref="A6:C6"/>
    <mergeCell ref="A7:C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11" sqref="A11:C11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184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251" t="s">
        <v>458</v>
      </c>
      <c r="B1" s="251"/>
      <c r="C1" s="100"/>
    </row>
    <row r="2" s="163" customFormat="1" ht="15.75">
      <c r="C2" s="183"/>
    </row>
    <row r="4" spans="1:3" ht="15.75">
      <c r="A4" s="451"/>
      <c r="B4" s="451"/>
      <c r="C4" s="451"/>
    </row>
    <row r="5" spans="1:3" ht="15.75">
      <c r="A5" s="450"/>
      <c r="B5" s="450"/>
      <c r="C5" s="450"/>
    </row>
    <row r="6" spans="1:3" s="5" customFormat="1" ht="12.75">
      <c r="A6" s="452"/>
      <c r="B6" s="452"/>
      <c r="C6" s="452"/>
    </row>
    <row r="7" spans="1:3" s="145" customFormat="1" ht="15.75">
      <c r="A7" s="165"/>
      <c r="B7" s="92"/>
      <c r="C7" s="92"/>
    </row>
    <row r="8" spans="1:3" s="145" customFormat="1" ht="15.75">
      <c r="A8" s="165"/>
      <c r="B8" s="92"/>
      <c r="C8" s="92"/>
    </row>
    <row r="9" spans="1:3" ht="15.75">
      <c r="A9" s="450" t="s">
        <v>4</v>
      </c>
      <c r="B9" s="450"/>
      <c r="C9" s="450"/>
    </row>
    <row r="10" spans="1:3" ht="15.75">
      <c r="A10" s="343" t="s">
        <v>336</v>
      </c>
      <c r="B10" s="343"/>
      <c r="C10" s="343"/>
    </row>
    <row r="11" spans="1:3" ht="15.75">
      <c r="A11" s="343" t="s">
        <v>270</v>
      </c>
      <c r="B11" s="343"/>
      <c r="C11" s="343"/>
    </row>
    <row r="12" spans="1:3" ht="15.75">
      <c r="A12" s="343" t="s">
        <v>172</v>
      </c>
      <c r="B12" s="343"/>
      <c r="C12" s="343"/>
    </row>
    <row r="13" ht="16.5" thickBot="1"/>
    <row r="14" spans="1:3" ht="15.75">
      <c r="A14" s="186" t="s">
        <v>54</v>
      </c>
      <c r="B14" s="168"/>
      <c r="C14" s="187" t="s">
        <v>22</v>
      </c>
    </row>
    <row r="15" spans="1:3" ht="15.75">
      <c r="A15" s="169"/>
      <c r="B15" s="171" t="s">
        <v>0</v>
      </c>
      <c r="C15" s="188"/>
    </row>
    <row r="16" spans="1:3" ht="34.5" customHeight="1" thickBot="1">
      <c r="A16" s="172" t="s">
        <v>55</v>
      </c>
      <c r="B16" s="189"/>
      <c r="C16" s="190" t="s">
        <v>11</v>
      </c>
    </row>
    <row r="17" spans="1:3" ht="20.25" customHeight="1">
      <c r="A17" s="457" t="s">
        <v>271</v>
      </c>
      <c r="B17" s="457"/>
      <c r="C17" s="457"/>
    </row>
    <row r="18" spans="1:3" ht="20.25" customHeight="1">
      <c r="A18" s="191" t="s">
        <v>56</v>
      </c>
      <c r="B18" s="192" t="s">
        <v>272</v>
      </c>
      <c r="C18" s="193"/>
    </row>
    <row r="19" spans="1:3" ht="20.25" customHeight="1">
      <c r="A19" s="191"/>
      <c r="B19" s="22" t="s">
        <v>273</v>
      </c>
      <c r="C19" s="193">
        <f>25766+186</f>
        <v>25952</v>
      </c>
    </row>
    <row r="20" spans="1:5" ht="20.25" customHeight="1">
      <c r="A20" s="191"/>
      <c r="B20" s="106" t="s">
        <v>274</v>
      </c>
      <c r="C20" s="193">
        <f>46+633</f>
        <v>679</v>
      </c>
      <c r="D20" s="103"/>
      <c r="E20" s="103"/>
    </row>
    <row r="21" spans="1:3" ht="20.25" customHeight="1">
      <c r="A21" s="191" t="s">
        <v>32</v>
      </c>
      <c r="B21" s="192" t="s">
        <v>275</v>
      </c>
      <c r="C21" s="193">
        <v>7813</v>
      </c>
    </row>
    <row r="22" spans="1:3" ht="20.25" customHeight="1">
      <c r="A22" s="191" t="s">
        <v>57</v>
      </c>
      <c r="B22" s="192" t="s">
        <v>276</v>
      </c>
      <c r="C22" s="193">
        <f>9237+756</f>
        <v>9993</v>
      </c>
    </row>
    <row r="23" spans="1:3" ht="20.25" customHeight="1">
      <c r="A23" s="191" t="s">
        <v>116</v>
      </c>
      <c r="B23" s="194" t="s">
        <v>277</v>
      </c>
      <c r="C23" s="193"/>
    </row>
    <row r="24" spans="1:5" ht="36" customHeight="1">
      <c r="A24" s="191"/>
      <c r="B24" s="106" t="s">
        <v>278</v>
      </c>
      <c r="C24" s="193"/>
      <c r="D24" s="106"/>
      <c r="E24" s="106"/>
    </row>
    <row r="25" spans="1:3" ht="20.25" customHeight="1">
      <c r="A25" s="191"/>
      <c r="B25" s="22" t="s">
        <v>279</v>
      </c>
      <c r="C25" s="193"/>
    </row>
    <row r="26" spans="1:3" ht="36" customHeight="1">
      <c r="A26" s="195"/>
      <c r="B26" s="196" t="s">
        <v>280</v>
      </c>
      <c r="C26" s="197">
        <f>SUM(C19:C25)</f>
        <v>44437</v>
      </c>
    </row>
    <row r="27" spans="1:3" ht="21" customHeight="1">
      <c r="A27" s="185" t="s">
        <v>118</v>
      </c>
      <c r="B27" s="192" t="s">
        <v>281</v>
      </c>
      <c r="C27" s="26">
        <f>12767+151+104+1376+558</f>
        <v>14956</v>
      </c>
    </row>
    <row r="28" spans="1:3" ht="21" customHeight="1">
      <c r="A28" s="185" t="s">
        <v>124</v>
      </c>
      <c r="B28" s="192" t="s">
        <v>282</v>
      </c>
      <c r="C28" s="26">
        <f>3561+35+51+372+75</f>
        <v>4094</v>
      </c>
    </row>
    <row r="29" spans="1:3" ht="21" customHeight="1">
      <c r="A29" s="185" t="s">
        <v>283</v>
      </c>
      <c r="B29" s="198" t="s">
        <v>284</v>
      </c>
      <c r="C29" s="26">
        <f>22876+29+8+42+191+119+191</f>
        <v>23456</v>
      </c>
    </row>
    <row r="30" spans="1:3" ht="21" customHeight="1">
      <c r="A30" s="185" t="s">
        <v>285</v>
      </c>
      <c r="B30" s="198" t="s">
        <v>286</v>
      </c>
      <c r="C30" s="26">
        <f>2633+160</f>
        <v>2793</v>
      </c>
    </row>
    <row r="31" spans="1:3" ht="21" customHeight="1">
      <c r="A31" s="185" t="s">
        <v>287</v>
      </c>
      <c r="B31" s="198" t="s">
        <v>288</v>
      </c>
      <c r="C31" s="26"/>
    </row>
    <row r="32" spans="1:3" ht="15.75">
      <c r="A32" s="185"/>
      <c r="B32" s="199" t="s">
        <v>289</v>
      </c>
      <c r="C32" s="26">
        <f>112+135</f>
        <v>247</v>
      </c>
    </row>
    <row r="33" spans="1:3" ht="32.25" customHeight="1">
      <c r="A33" s="185"/>
      <c r="B33" s="106" t="s">
        <v>290</v>
      </c>
      <c r="C33" s="200"/>
    </row>
    <row r="34" spans="1:3" ht="15.75">
      <c r="A34" s="185"/>
      <c r="B34" s="199" t="s">
        <v>291</v>
      </c>
      <c r="C34" s="200">
        <v>925</v>
      </c>
    </row>
    <row r="35" spans="1:5" ht="15.75">
      <c r="A35" s="185"/>
      <c r="B35" s="199" t="s">
        <v>292</v>
      </c>
      <c r="C35" s="184">
        <f>10107+185-155-1748-160</f>
        <v>8229</v>
      </c>
      <c r="E35" s="108"/>
    </row>
    <row r="36" spans="1:6" ht="33.75" customHeight="1">
      <c r="A36" s="195"/>
      <c r="B36" s="196" t="s">
        <v>293</v>
      </c>
      <c r="C36" s="197">
        <f>SUM(C27:C35)</f>
        <v>54700</v>
      </c>
      <c r="E36" s="108"/>
      <c r="F36" s="108"/>
    </row>
    <row r="37" spans="1:3" ht="16.5" thickBot="1">
      <c r="A37" s="348">
        <v>2</v>
      </c>
      <c r="B37" s="348"/>
      <c r="C37" s="348"/>
    </row>
    <row r="38" spans="1:3" ht="15.75">
      <c r="A38" s="186" t="s">
        <v>54</v>
      </c>
      <c r="B38" s="168"/>
      <c r="C38" s="187" t="s">
        <v>22</v>
      </c>
    </row>
    <row r="39" spans="1:3" ht="15.75">
      <c r="A39" s="169"/>
      <c r="B39" s="171" t="s">
        <v>0</v>
      </c>
      <c r="C39" s="188"/>
    </row>
    <row r="40" spans="1:3" ht="31.5" customHeight="1" thickBot="1">
      <c r="A40" s="172" t="s">
        <v>55</v>
      </c>
      <c r="B40" s="189"/>
      <c r="C40" s="190" t="s">
        <v>11</v>
      </c>
    </row>
    <row r="41" spans="1:3" ht="21" customHeight="1">
      <c r="A41" s="459" t="s">
        <v>294</v>
      </c>
      <c r="B41" s="459"/>
      <c r="C41" s="459"/>
    </row>
    <row r="42" spans="1:3" ht="21" customHeight="1">
      <c r="A42" s="185" t="s">
        <v>295</v>
      </c>
      <c r="B42" s="83" t="s">
        <v>296</v>
      </c>
      <c r="C42" s="184">
        <f>9743+185</f>
        <v>9928</v>
      </c>
    </row>
    <row r="43" spans="1:2" ht="21" customHeight="1">
      <c r="A43" s="185" t="s">
        <v>297</v>
      </c>
      <c r="B43" s="83" t="s">
        <v>298</v>
      </c>
    </row>
    <row r="44" spans="1:2" ht="21" customHeight="1">
      <c r="A44" s="185" t="s">
        <v>299</v>
      </c>
      <c r="B44" s="194" t="s">
        <v>300</v>
      </c>
    </row>
    <row r="45" spans="1:3" ht="31.5" customHeight="1">
      <c r="A45" s="185"/>
      <c r="B45" s="137" t="s">
        <v>301</v>
      </c>
      <c r="C45" s="184">
        <f>26215+92-12586-756</f>
        <v>12965</v>
      </c>
    </row>
    <row r="46" spans="1:2" ht="21" customHeight="1">
      <c r="A46" s="185"/>
      <c r="B46" s="67" t="s">
        <v>302</v>
      </c>
    </row>
    <row r="47" spans="1:5" ht="39.75" customHeight="1">
      <c r="A47" s="195"/>
      <c r="B47" s="196" t="s">
        <v>303</v>
      </c>
      <c r="C47" s="197">
        <f>SUM(C42:C46)</f>
        <v>22893</v>
      </c>
      <c r="E47" s="108"/>
    </row>
    <row r="48" spans="1:3" ht="21" customHeight="1">
      <c r="A48" s="185" t="s">
        <v>304</v>
      </c>
      <c r="B48" s="83" t="s">
        <v>305</v>
      </c>
      <c r="C48" s="184">
        <f>231+148</f>
        <v>379</v>
      </c>
    </row>
    <row r="49" spans="1:2" ht="21" customHeight="1">
      <c r="A49" s="185" t="s">
        <v>306</v>
      </c>
      <c r="B49" s="83" t="s">
        <v>307</v>
      </c>
    </row>
    <row r="50" spans="1:2" ht="21" customHeight="1">
      <c r="A50" s="185" t="s">
        <v>308</v>
      </c>
      <c r="B50" s="194" t="s">
        <v>309</v>
      </c>
    </row>
    <row r="51" spans="1:3" ht="33" customHeight="1">
      <c r="A51" s="185"/>
      <c r="B51" s="137" t="s">
        <v>310</v>
      </c>
      <c r="C51" s="184">
        <v>26215</v>
      </c>
    </row>
    <row r="52" spans="1:3" ht="21" customHeight="1">
      <c r="A52" s="185"/>
      <c r="B52" s="199" t="s">
        <v>311</v>
      </c>
      <c r="C52" s="184">
        <v>600</v>
      </c>
    </row>
    <row r="53" spans="1:2" ht="21" customHeight="1">
      <c r="A53" s="185"/>
      <c r="B53" s="199" t="s">
        <v>292</v>
      </c>
    </row>
    <row r="54" spans="1:6" s="9" customFormat="1" ht="42" customHeight="1" thickBot="1">
      <c r="A54" s="195"/>
      <c r="B54" s="196" t="s">
        <v>312</v>
      </c>
      <c r="C54" s="197">
        <f>SUM(C48:C53)</f>
        <v>27194</v>
      </c>
      <c r="F54" s="201"/>
    </row>
    <row r="55" spans="1:3" s="9" customFormat="1" ht="35.25" customHeight="1" thickBot="1">
      <c r="A55" s="202"/>
      <c r="B55" s="203" t="s">
        <v>313</v>
      </c>
      <c r="C55" s="204">
        <f>C26+C47</f>
        <v>67330</v>
      </c>
    </row>
    <row r="56" spans="1:6" s="9" customFormat="1" ht="35.25" customHeight="1" thickBot="1">
      <c r="A56" s="202"/>
      <c r="B56" s="203" t="s">
        <v>314</v>
      </c>
      <c r="C56" s="204">
        <f>C36+C54</f>
        <v>81894</v>
      </c>
      <c r="F56" s="201"/>
    </row>
    <row r="57" spans="1:3" s="9" customFormat="1" ht="15.75">
      <c r="A57" s="205"/>
      <c r="B57" s="206"/>
      <c r="C57" s="207"/>
    </row>
    <row r="62" spans="1:3" s="208" customFormat="1" ht="15.75">
      <c r="A62" s="206"/>
      <c r="B62" s="217"/>
      <c r="C62" s="218"/>
    </row>
    <row r="63" spans="1:3" s="208" customFormat="1" ht="15.75">
      <c r="A63" s="206"/>
      <c r="B63" s="217"/>
      <c r="C63" s="218"/>
    </row>
    <row r="64" spans="1:3" s="208" customFormat="1" ht="15.75">
      <c r="A64" s="206"/>
      <c r="B64" s="217"/>
      <c r="C64" s="218"/>
    </row>
    <row r="65" spans="1:3" s="208" customFormat="1" ht="15.75">
      <c r="A65" s="206"/>
      <c r="B65" s="217"/>
      <c r="C65" s="218"/>
    </row>
    <row r="66" spans="1:3" s="208" customFormat="1" ht="15.75">
      <c r="A66" s="206"/>
      <c r="B66" s="217"/>
      <c r="C66" s="218"/>
    </row>
    <row r="67" spans="1:3" s="208" customFormat="1" ht="15.75">
      <c r="A67" s="206"/>
      <c r="B67" s="217"/>
      <c r="C67" s="218"/>
    </row>
    <row r="68" spans="1:3" s="208" customFormat="1" ht="15.75">
      <c r="A68" s="206"/>
      <c r="B68" s="217"/>
      <c r="C68" s="218"/>
    </row>
    <row r="69" spans="1:3" s="208" customFormat="1" ht="15.75">
      <c r="A69" s="206"/>
      <c r="B69" s="217"/>
      <c r="C69" s="218"/>
    </row>
    <row r="70" spans="1:3" s="208" customFormat="1" ht="16.5" thickBot="1">
      <c r="A70" s="458">
        <v>3</v>
      </c>
      <c r="B70" s="458"/>
      <c r="C70" s="458"/>
    </row>
    <row r="71" spans="1:3" s="208" customFormat="1" ht="19.5" customHeight="1">
      <c r="A71" s="186" t="s">
        <v>54</v>
      </c>
      <c r="B71" s="453" t="s">
        <v>0</v>
      </c>
      <c r="C71" s="187" t="s">
        <v>22</v>
      </c>
    </row>
    <row r="72" spans="1:3" s="208" customFormat="1" ht="15.75">
      <c r="A72" s="169"/>
      <c r="B72" s="454"/>
      <c r="C72" s="188"/>
    </row>
    <row r="73" spans="1:3" s="208" customFormat="1" ht="16.5" thickBot="1">
      <c r="A73" s="172" t="s">
        <v>55</v>
      </c>
      <c r="B73" s="455"/>
      <c r="C73" s="190" t="s">
        <v>11</v>
      </c>
    </row>
    <row r="74" spans="1:3" s="208" customFormat="1" ht="15.75">
      <c r="A74" s="206"/>
      <c r="B74" s="217"/>
      <c r="C74" s="218"/>
    </row>
    <row r="75" spans="1:3" ht="20.25" customHeight="1">
      <c r="A75" s="456" t="s">
        <v>315</v>
      </c>
      <c r="B75" s="456"/>
      <c r="C75" s="456"/>
    </row>
    <row r="76" spans="1:3" ht="20.25" customHeight="1">
      <c r="A76" s="209"/>
      <c r="B76" s="209"/>
      <c r="C76" s="209"/>
    </row>
    <row r="77" spans="1:3" ht="20.25" customHeight="1">
      <c r="A77" s="195" t="s">
        <v>316</v>
      </c>
      <c r="B77" s="210" t="s">
        <v>317</v>
      </c>
      <c r="C77" s="197">
        <f>1115+1348+148+119+191</f>
        <v>2921</v>
      </c>
    </row>
    <row r="78" spans="1:3" ht="20.25" customHeight="1">
      <c r="A78" s="195" t="s">
        <v>319</v>
      </c>
      <c r="B78" s="210" t="s">
        <v>439</v>
      </c>
      <c r="C78" s="197">
        <v>12586</v>
      </c>
    </row>
    <row r="79" spans="1:3" ht="21" customHeight="1">
      <c r="A79" s="195"/>
      <c r="B79" s="196" t="s">
        <v>318</v>
      </c>
      <c r="C79" s="211">
        <f>SUM(C77:C78)</f>
        <v>15507</v>
      </c>
    </row>
    <row r="80" spans="1:3" ht="15.75">
      <c r="A80" s="191" t="s">
        <v>321</v>
      </c>
      <c r="B80" s="210" t="s">
        <v>320</v>
      </c>
      <c r="C80" s="197"/>
    </row>
    <row r="81" spans="1:3" ht="15.75">
      <c r="A81" s="191" t="s">
        <v>403</v>
      </c>
      <c r="B81" s="210" t="s">
        <v>322</v>
      </c>
      <c r="C81" s="197"/>
    </row>
    <row r="82" spans="1:3" ht="15.75">
      <c r="A82" s="191" t="s">
        <v>405</v>
      </c>
      <c r="B82" s="210" t="s">
        <v>432</v>
      </c>
      <c r="C82" s="197">
        <v>943</v>
      </c>
    </row>
    <row r="83" spans="1:3" s="212" customFormat="1" ht="30" customHeight="1" thickBot="1">
      <c r="A83" s="195"/>
      <c r="B83" s="196" t="s">
        <v>323</v>
      </c>
      <c r="C83" s="211">
        <f>SUM(C80:C82)</f>
        <v>943</v>
      </c>
    </row>
    <row r="84" spans="1:5" s="212" customFormat="1" ht="30" customHeight="1" thickBot="1">
      <c r="A84" s="213"/>
      <c r="B84" s="214" t="s">
        <v>324</v>
      </c>
      <c r="C84" s="215">
        <f>C55+C79</f>
        <v>82837</v>
      </c>
      <c r="E84" s="216"/>
    </row>
    <row r="85" spans="1:5" ht="35.25" customHeight="1" thickBot="1">
      <c r="A85" s="213"/>
      <c r="B85" s="214" t="s">
        <v>325</v>
      </c>
      <c r="C85" s="215">
        <f>C56+C83</f>
        <v>82837</v>
      </c>
      <c r="E85" s="216"/>
    </row>
  </sheetData>
  <sheetProtection/>
  <mergeCells count="13">
    <mergeCell ref="B71:B73"/>
    <mergeCell ref="A75:C75"/>
    <mergeCell ref="A10:C10"/>
    <mergeCell ref="A11:C11"/>
    <mergeCell ref="A12:C12"/>
    <mergeCell ref="A17:C17"/>
    <mergeCell ref="A70:C70"/>
    <mergeCell ref="A37:C37"/>
    <mergeCell ref="A41:C41"/>
    <mergeCell ref="A4:C4"/>
    <mergeCell ref="A5:C5"/>
    <mergeCell ref="A6:C6"/>
    <mergeCell ref="A9:C9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7"/>
  <sheetViews>
    <sheetView zoomScalePageLayoutView="0" workbookViewId="0" topLeftCell="A1">
      <selection activeCell="B4" sqref="B4:O4"/>
    </sheetView>
  </sheetViews>
  <sheetFormatPr defaultColWidth="9.00390625" defaultRowHeight="12.75"/>
  <cols>
    <col min="1" max="1" width="5.125" style="67" customWidth="1"/>
    <col min="2" max="2" width="43.625" style="67" customWidth="1"/>
    <col min="3" max="15" width="15.375" style="26" customWidth="1"/>
    <col min="16" max="16" width="12.625" style="67" bestFit="1" customWidth="1"/>
    <col min="17" max="16384" width="9.125" style="67" customWidth="1"/>
  </cols>
  <sheetData>
    <row r="2" spans="1:15" s="109" customFormat="1" ht="15.75">
      <c r="A2" s="109" t="s">
        <v>459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4" spans="2:15" ht="15.75"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2:15" ht="15.75"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</row>
    <row r="6" spans="2:15" ht="15.75">
      <c r="B6" s="352" t="s">
        <v>53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</row>
    <row r="7" spans="2:15" ht="15.75">
      <c r="B7" s="352" t="s">
        <v>367</v>
      </c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</row>
    <row r="8" spans="2:15" ht="15.75">
      <c r="B8" s="352" t="s">
        <v>172</v>
      </c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</row>
    <row r="9" spans="3:15" ht="16.5" thickBot="1">
      <c r="C9" s="27"/>
      <c r="D9" s="27"/>
      <c r="E9" s="27"/>
      <c r="F9" s="282"/>
      <c r="G9" s="27"/>
      <c r="H9" s="27"/>
      <c r="I9" s="27"/>
      <c r="J9" s="27"/>
      <c r="O9" s="283" t="s">
        <v>8</v>
      </c>
    </row>
    <row r="10" spans="1:15" ht="15.75">
      <c r="A10" s="284" t="s">
        <v>54</v>
      </c>
      <c r="B10" s="285"/>
      <c r="C10" s="286"/>
      <c r="D10" s="287"/>
      <c r="E10" s="288"/>
      <c r="F10" s="289"/>
      <c r="G10" s="289"/>
      <c r="H10" s="289"/>
      <c r="I10" s="289"/>
      <c r="J10" s="289"/>
      <c r="K10" s="290"/>
      <c r="L10" s="290"/>
      <c r="M10" s="290"/>
      <c r="N10" s="291"/>
      <c r="O10" s="292"/>
    </row>
    <row r="11" spans="1:15" ht="15.75">
      <c r="A11" s="293"/>
      <c r="B11" s="294" t="s">
        <v>0</v>
      </c>
      <c r="C11" s="116" t="s">
        <v>368</v>
      </c>
      <c r="D11" s="295" t="s">
        <v>369</v>
      </c>
      <c r="E11" s="296" t="s">
        <v>370</v>
      </c>
      <c r="F11" s="297" t="s">
        <v>371</v>
      </c>
      <c r="G11" s="297" t="s">
        <v>372</v>
      </c>
      <c r="H11" s="297" t="s">
        <v>373</v>
      </c>
      <c r="I11" s="297" t="s">
        <v>374</v>
      </c>
      <c r="J11" s="297" t="s">
        <v>375</v>
      </c>
      <c r="K11" s="297" t="s">
        <v>376</v>
      </c>
      <c r="L11" s="297" t="s">
        <v>377</v>
      </c>
      <c r="M11" s="297" t="s">
        <v>378</v>
      </c>
      <c r="N11" s="296" t="s">
        <v>379</v>
      </c>
      <c r="O11" s="188" t="s">
        <v>356</v>
      </c>
    </row>
    <row r="12" spans="1:15" ht="16.5" thickBot="1">
      <c r="A12" s="298" t="s">
        <v>55</v>
      </c>
      <c r="B12" s="299"/>
      <c r="C12" s="300"/>
      <c r="D12" s="301"/>
      <c r="E12" s="302"/>
      <c r="F12" s="303"/>
      <c r="G12" s="303"/>
      <c r="H12" s="303"/>
      <c r="I12" s="303"/>
      <c r="J12" s="303"/>
      <c r="K12" s="303"/>
      <c r="L12" s="303"/>
      <c r="M12" s="303"/>
      <c r="N12" s="302"/>
      <c r="O12" s="300"/>
    </row>
    <row r="13" spans="1:15" ht="28.5" customHeight="1">
      <c r="A13" s="304"/>
      <c r="B13" s="305" t="s">
        <v>380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7"/>
    </row>
    <row r="14" spans="1:15" ht="28.5" customHeight="1">
      <c r="A14" s="304" t="s">
        <v>56</v>
      </c>
      <c r="B14" s="305" t="s">
        <v>381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7"/>
    </row>
    <row r="15" spans="1:15" ht="28.5" customHeight="1">
      <c r="A15" s="304"/>
      <c r="B15" s="305" t="s">
        <v>382</v>
      </c>
      <c r="C15" s="306">
        <f>3053+109+24</f>
        <v>3186</v>
      </c>
      <c r="D15" s="306">
        <f>2035+109+40</f>
        <v>2184</v>
      </c>
      <c r="E15" s="306">
        <f>2144+41</f>
        <v>2185</v>
      </c>
      <c r="F15" s="306">
        <f>2035+41</f>
        <v>2076</v>
      </c>
      <c r="G15" s="306">
        <f>2035+40</f>
        <v>2075</v>
      </c>
      <c r="H15" s="306">
        <v>2035</v>
      </c>
      <c r="I15" s="306">
        <v>2035</v>
      </c>
      <c r="J15" s="306">
        <v>2035</v>
      </c>
      <c r="K15" s="306">
        <v>2035</v>
      </c>
      <c r="L15" s="306">
        <v>2035</v>
      </c>
      <c r="M15" s="306">
        <v>2035</v>
      </c>
      <c r="N15" s="306">
        <v>2036</v>
      </c>
      <c r="O15" s="307">
        <f>SUM(C15:N15)</f>
        <v>25952</v>
      </c>
    </row>
    <row r="16" spans="1:15" ht="28.5" customHeight="1">
      <c r="A16" s="304"/>
      <c r="B16" s="305" t="s">
        <v>383</v>
      </c>
      <c r="C16" s="306">
        <f>155+21</f>
        <v>176</v>
      </c>
      <c r="D16" s="306">
        <f>158+21</f>
        <v>179</v>
      </c>
      <c r="E16" s="306">
        <f>159+21</f>
        <v>180</v>
      </c>
      <c r="F16" s="306">
        <f>86+12</f>
        <v>98</v>
      </c>
      <c r="G16" s="306"/>
      <c r="H16" s="306"/>
      <c r="I16" s="306"/>
      <c r="J16" s="306">
        <v>23</v>
      </c>
      <c r="K16" s="306"/>
      <c r="L16" s="306"/>
      <c r="M16" s="306">
        <v>23</v>
      </c>
      <c r="N16" s="306"/>
      <c r="O16" s="307">
        <f>SUM(C16:N16)</f>
        <v>679</v>
      </c>
    </row>
    <row r="17" spans="1:15" ht="28.5" customHeight="1">
      <c r="A17" s="304" t="s">
        <v>32</v>
      </c>
      <c r="B17" s="305" t="s">
        <v>384</v>
      </c>
      <c r="C17" s="306">
        <f>9743+185</f>
        <v>9928</v>
      </c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7">
        <f aca="true" t="shared" si="0" ref="O17:O28">SUM(C17:N17)</f>
        <v>9928</v>
      </c>
    </row>
    <row r="18" spans="1:15" ht="15.75">
      <c r="A18" s="304" t="s">
        <v>57</v>
      </c>
      <c r="B18" s="305" t="s">
        <v>385</v>
      </c>
      <c r="C18" s="306">
        <f>12+44+32+31</f>
        <v>119</v>
      </c>
      <c r="D18" s="306">
        <f>19+12+118+253+31</f>
        <v>433</v>
      </c>
      <c r="E18" s="306">
        <f>1127+11+620+382+31</f>
        <v>2171</v>
      </c>
      <c r="F18" s="306">
        <f>9+12+76+34+31+200</f>
        <v>362</v>
      </c>
      <c r="G18" s="306">
        <f>408+12+48+35+31-200</f>
        <v>334</v>
      </c>
      <c r="H18" s="306">
        <f>46+12+20+19+31</f>
        <v>128</v>
      </c>
      <c r="I18" s="306">
        <f>12+2+2+31</f>
        <v>47</v>
      </c>
      <c r="J18" s="306">
        <f>12+237+346+31</f>
        <v>626</v>
      </c>
      <c r="K18" s="306">
        <f>1188+11+601+335+31</f>
        <v>2166</v>
      </c>
      <c r="L18" s="306">
        <f>10+12+27+35+31</f>
        <v>115</v>
      </c>
      <c r="M18" s="306">
        <f>852+11+76+12+31</f>
        <v>982</v>
      </c>
      <c r="N18" s="306">
        <f>241+11+34+15+29</f>
        <v>330</v>
      </c>
      <c r="O18" s="307">
        <f t="shared" si="0"/>
        <v>7813</v>
      </c>
    </row>
    <row r="19" spans="1:17" ht="15.75">
      <c r="A19" s="304" t="s">
        <v>116</v>
      </c>
      <c r="B19" s="305" t="s">
        <v>386</v>
      </c>
      <c r="C19" s="306">
        <f>791+756</f>
        <v>1547</v>
      </c>
      <c r="D19" s="306">
        <v>737</v>
      </c>
      <c r="E19" s="306">
        <v>818</v>
      </c>
      <c r="F19" s="306">
        <f>846+50</f>
        <v>896</v>
      </c>
      <c r="G19" s="306">
        <v>750</v>
      </c>
      <c r="H19" s="306">
        <v>664</v>
      </c>
      <c r="I19" s="306">
        <v>618</v>
      </c>
      <c r="J19" s="306">
        <v>564</v>
      </c>
      <c r="K19" s="306">
        <v>864</v>
      </c>
      <c r="L19" s="306">
        <f>773+120</f>
        <v>893</v>
      </c>
      <c r="M19" s="306">
        <v>773</v>
      </c>
      <c r="N19" s="306">
        <f>845+24</f>
        <v>869</v>
      </c>
      <c r="O19" s="307">
        <f t="shared" si="0"/>
        <v>9993</v>
      </c>
      <c r="Q19" s="329"/>
    </row>
    <row r="20" spans="1:15" ht="15.75">
      <c r="A20" s="304" t="s">
        <v>118</v>
      </c>
      <c r="B20" s="308" t="s">
        <v>387</v>
      </c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7">
        <f t="shared" si="0"/>
        <v>0</v>
      </c>
    </row>
    <row r="21" spans="1:15" ht="15.75">
      <c r="A21" s="304" t="s">
        <v>124</v>
      </c>
      <c r="B21" s="308" t="s">
        <v>277</v>
      </c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1"/>
      <c r="O21" s="307">
        <f t="shared" si="0"/>
        <v>0</v>
      </c>
    </row>
    <row r="22" spans="1:15" ht="31.5">
      <c r="A22" s="304"/>
      <c r="B22" s="305" t="s">
        <v>388</v>
      </c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3"/>
      <c r="O22" s="307">
        <f t="shared" si="0"/>
        <v>0</v>
      </c>
    </row>
    <row r="23" spans="1:15" ht="17.25" customHeight="1">
      <c r="A23" s="304"/>
      <c r="B23" s="305" t="s">
        <v>389</v>
      </c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3"/>
      <c r="O23" s="307">
        <f t="shared" si="0"/>
        <v>0</v>
      </c>
    </row>
    <row r="24" spans="1:15" ht="15.75">
      <c r="A24" s="304" t="s">
        <v>283</v>
      </c>
      <c r="B24" s="308" t="s">
        <v>390</v>
      </c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3"/>
      <c r="O24" s="307">
        <f t="shared" si="0"/>
        <v>0</v>
      </c>
    </row>
    <row r="25" spans="1:15" ht="47.25">
      <c r="A25" s="304"/>
      <c r="B25" s="327" t="s">
        <v>391</v>
      </c>
      <c r="C25" s="312">
        <v>8</v>
      </c>
      <c r="D25" s="312">
        <v>8</v>
      </c>
      <c r="E25" s="312">
        <f>10007-6671</f>
        <v>3336</v>
      </c>
      <c r="F25" s="312">
        <v>8</v>
      </c>
      <c r="G25" s="312">
        <v>8</v>
      </c>
      <c r="H25" s="312">
        <f>10007-6671</f>
        <v>3336</v>
      </c>
      <c r="I25" s="312">
        <v>8</v>
      </c>
      <c r="J25" s="312">
        <f>6215+8</f>
        <v>6223</v>
      </c>
      <c r="K25" s="312">
        <v>7</v>
      </c>
      <c r="L25" s="312">
        <v>8</v>
      </c>
      <c r="M25" s="312">
        <v>8</v>
      </c>
      <c r="N25" s="313">
        <v>7</v>
      </c>
      <c r="O25" s="307">
        <f t="shared" si="0"/>
        <v>12965</v>
      </c>
    </row>
    <row r="26" spans="1:15" ht="15.75">
      <c r="A26" s="304"/>
      <c r="B26" s="305" t="s">
        <v>392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3"/>
      <c r="O26" s="307">
        <f t="shared" si="0"/>
        <v>0</v>
      </c>
    </row>
    <row r="27" spans="1:15" ht="15.75">
      <c r="A27" s="304" t="s">
        <v>285</v>
      </c>
      <c r="B27" s="308" t="s">
        <v>393</v>
      </c>
      <c r="C27" s="312">
        <f>1115+1348+148+119+191</f>
        <v>2921</v>
      </c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3"/>
      <c r="O27" s="307">
        <f t="shared" si="0"/>
        <v>2921</v>
      </c>
    </row>
    <row r="28" spans="1:15" ht="15.75">
      <c r="A28" s="314"/>
      <c r="B28" s="315" t="s">
        <v>441</v>
      </c>
      <c r="C28" s="312">
        <v>12586</v>
      </c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3"/>
      <c r="O28" s="307">
        <f t="shared" si="0"/>
        <v>12586</v>
      </c>
    </row>
    <row r="29" spans="1:15" ht="16.5" thickBot="1">
      <c r="A29" s="314" t="s">
        <v>287</v>
      </c>
      <c r="B29" s="315" t="s">
        <v>394</v>
      </c>
      <c r="C29" s="312"/>
      <c r="D29" s="312">
        <f>C51</f>
        <v>15392</v>
      </c>
      <c r="E29" s="312">
        <f aca="true" t="shared" si="1" ref="E29:N29">D51</f>
        <v>15270</v>
      </c>
      <c r="F29" s="312">
        <f t="shared" si="1"/>
        <v>19946</v>
      </c>
      <c r="G29" s="312">
        <f t="shared" si="1"/>
        <v>9327</v>
      </c>
      <c r="H29" s="312">
        <f t="shared" si="1"/>
        <v>7396</v>
      </c>
      <c r="I29" s="312">
        <f t="shared" si="1"/>
        <v>3246</v>
      </c>
      <c r="J29" s="312">
        <f t="shared" si="1"/>
        <v>2638</v>
      </c>
      <c r="K29" s="312">
        <f t="shared" si="1"/>
        <v>8317</v>
      </c>
      <c r="L29" s="312">
        <f t="shared" si="1"/>
        <v>9506</v>
      </c>
      <c r="M29" s="312">
        <f t="shared" si="1"/>
        <v>8880</v>
      </c>
      <c r="N29" s="312">
        <f t="shared" si="1"/>
        <v>8927</v>
      </c>
      <c r="O29" s="307"/>
    </row>
    <row r="30" spans="1:16" s="19" customFormat="1" ht="27.75" customHeight="1" thickBot="1">
      <c r="A30" s="316"/>
      <c r="B30" s="316" t="s">
        <v>395</v>
      </c>
      <c r="C30" s="317">
        <f aca="true" t="shared" si="2" ref="C30:N30">SUM(C15:C29)</f>
        <v>30471</v>
      </c>
      <c r="D30" s="317">
        <f t="shared" si="2"/>
        <v>18933</v>
      </c>
      <c r="E30" s="317">
        <f t="shared" si="2"/>
        <v>23960</v>
      </c>
      <c r="F30" s="317">
        <f t="shared" si="2"/>
        <v>23386</v>
      </c>
      <c r="G30" s="317">
        <f t="shared" si="2"/>
        <v>12494</v>
      </c>
      <c r="H30" s="317">
        <f t="shared" si="2"/>
        <v>13559</v>
      </c>
      <c r="I30" s="317">
        <f t="shared" si="2"/>
        <v>5954</v>
      </c>
      <c r="J30" s="317">
        <f t="shared" si="2"/>
        <v>12109</v>
      </c>
      <c r="K30" s="317">
        <f t="shared" si="2"/>
        <v>13389</v>
      </c>
      <c r="L30" s="317">
        <f t="shared" si="2"/>
        <v>12557</v>
      </c>
      <c r="M30" s="317">
        <f t="shared" si="2"/>
        <v>12701</v>
      </c>
      <c r="N30" s="317">
        <f t="shared" si="2"/>
        <v>12169</v>
      </c>
      <c r="O30" s="318">
        <f>SUM(O14:O29)</f>
        <v>82837</v>
      </c>
      <c r="P30" s="128"/>
    </row>
    <row r="31" spans="1:15" ht="15.75">
      <c r="A31" s="319"/>
      <c r="B31" s="320" t="s">
        <v>396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21"/>
    </row>
    <row r="32" spans="1:16" ht="15.75">
      <c r="A32" s="304" t="s">
        <v>295</v>
      </c>
      <c r="B32" s="308" t="s">
        <v>209</v>
      </c>
      <c r="C32" s="306">
        <f>1061+37+24+155</f>
        <v>1277</v>
      </c>
      <c r="D32" s="306">
        <f>1061+32+158</f>
        <v>1251</v>
      </c>
      <c r="E32" s="306">
        <f>1061+32+104+159</f>
        <v>1356</v>
      </c>
      <c r="F32" s="306">
        <f>1061+32+86</f>
        <v>1179</v>
      </c>
      <c r="G32" s="306">
        <f>1061+31+172</f>
        <v>1264</v>
      </c>
      <c r="H32" s="306">
        <f>1061+172</f>
        <v>1233</v>
      </c>
      <c r="I32" s="306">
        <f>1061+172</f>
        <v>1233</v>
      </c>
      <c r="J32" s="306">
        <f>1061+172</f>
        <v>1233</v>
      </c>
      <c r="K32" s="306">
        <f>1060+172</f>
        <v>1232</v>
      </c>
      <c r="L32" s="306">
        <f>1061+172</f>
        <v>1233</v>
      </c>
      <c r="M32" s="306">
        <f>1061+172</f>
        <v>1233</v>
      </c>
      <c r="N32" s="306">
        <f>1060+172</f>
        <v>1232</v>
      </c>
      <c r="O32" s="307">
        <f aca="true" t="shared" si="3" ref="O32:O49">SUM(C32:N32)</f>
        <v>14956</v>
      </c>
      <c r="P32" s="329"/>
    </row>
    <row r="33" spans="1:15" ht="31.5">
      <c r="A33" s="304" t="s">
        <v>297</v>
      </c>
      <c r="B33" s="327" t="s">
        <v>397</v>
      </c>
      <c r="C33" s="306">
        <f>296+11+21</f>
        <v>328</v>
      </c>
      <c r="D33" s="306">
        <f>296+8+21</f>
        <v>325</v>
      </c>
      <c r="E33" s="306">
        <f>296+9+51+21</f>
        <v>377</v>
      </c>
      <c r="F33" s="306">
        <f>296+9+12</f>
        <v>317</v>
      </c>
      <c r="G33" s="306">
        <f>296+9+46</f>
        <v>351</v>
      </c>
      <c r="H33" s="306">
        <f>296+47</f>
        <v>343</v>
      </c>
      <c r="I33" s="306">
        <f>295+46</f>
        <v>341</v>
      </c>
      <c r="J33" s="306">
        <f>296+47</f>
        <v>343</v>
      </c>
      <c r="K33" s="306">
        <f>296+46</f>
        <v>342</v>
      </c>
      <c r="L33" s="306">
        <f>296+47</f>
        <v>343</v>
      </c>
      <c r="M33" s="306">
        <f>295+46</f>
        <v>341</v>
      </c>
      <c r="N33" s="306">
        <f>296+47</f>
        <v>343</v>
      </c>
      <c r="O33" s="307">
        <f t="shared" si="3"/>
        <v>4094</v>
      </c>
    </row>
    <row r="34" spans="1:15" ht="15.75">
      <c r="A34" s="304" t="s">
        <v>299</v>
      </c>
      <c r="B34" s="308" t="s">
        <v>211</v>
      </c>
      <c r="C34" s="306">
        <f>1827+95+29+8+42+191</f>
        <v>2192</v>
      </c>
      <c r="D34" s="306">
        <f>1701+95</f>
        <v>1796</v>
      </c>
      <c r="E34" s="306">
        <f>1890+95</f>
        <v>1985</v>
      </c>
      <c r="F34" s="306">
        <f>1853+95+119</f>
        <v>2067</v>
      </c>
      <c r="G34" s="306">
        <f>1848+95+635+191</f>
        <v>2769</v>
      </c>
      <c r="H34" s="306">
        <f>1533+95</f>
        <v>1628</v>
      </c>
      <c r="I34" s="306">
        <f>1428+95</f>
        <v>1523</v>
      </c>
      <c r="J34" s="306">
        <f>1302+95</f>
        <v>1397</v>
      </c>
      <c r="K34" s="306">
        <f>1995+95</f>
        <v>2090</v>
      </c>
      <c r="L34" s="306">
        <f>1787+95</f>
        <v>1882</v>
      </c>
      <c r="M34" s="306">
        <f>1886+95</f>
        <v>1981</v>
      </c>
      <c r="N34" s="306">
        <f>2047+99</f>
        <v>2146</v>
      </c>
      <c r="O34" s="307">
        <f t="shared" si="3"/>
        <v>23456</v>
      </c>
    </row>
    <row r="35" spans="1:15" ht="15.75">
      <c r="A35" s="304" t="s">
        <v>304</v>
      </c>
      <c r="B35" s="308" t="s">
        <v>212</v>
      </c>
      <c r="C35" s="306">
        <f>219+4</f>
        <v>223</v>
      </c>
      <c r="D35" s="306">
        <f>219</f>
        <v>219</v>
      </c>
      <c r="E35" s="306">
        <f>219+1</f>
        <v>220</v>
      </c>
      <c r="F35" s="306">
        <f>219</f>
        <v>219</v>
      </c>
      <c r="G35" s="306">
        <f>219+160</f>
        <v>379</v>
      </c>
      <c r="H35" s="306">
        <f>219</f>
        <v>219</v>
      </c>
      <c r="I35" s="306">
        <f>219</f>
        <v>219</v>
      </c>
      <c r="J35" s="306">
        <f>219</f>
        <v>219</v>
      </c>
      <c r="K35" s="306">
        <f>219</f>
        <v>219</v>
      </c>
      <c r="L35" s="306">
        <f>219</f>
        <v>219</v>
      </c>
      <c r="M35" s="306">
        <f>219</f>
        <v>219</v>
      </c>
      <c r="N35" s="306">
        <f>219</f>
        <v>219</v>
      </c>
      <c r="O35" s="307">
        <f t="shared" si="3"/>
        <v>2793</v>
      </c>
    </row>
    <row r="36" spans="1:15" ht="15.75">
      <c r="A36" s="304" t="s">
        <v>306</v>
      </c>
      <c r="B36" s="308" t="s">
        <v>398</v>
      </c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7"/>
    </row>
    <row r="37" spans="1:15" ht="15.75">
      <c r="A37" s="304"/>
      <c r="B37" s="308" t="s">
        <v>399</v>
      </c>
      <c r="C37" s="306"/>
      <c r="D37" s="306"/>
      <c r="E37" s="306"/>
      <c r="F37" s="306">
        <v>112</v>
      </c>
      <c r="G37" s="306">
        <f>135</f>
        <v>135</v>
      </c>
      <c r="H37" s="306"/>
      <c r="I37" s="306"/>
      <c r="J37" s="306"/>
      <c r="K37" s="306"/>
      <c r="L37" s="306"/>
      <c r="M37" s="306"/>
      <c r="N37" s="306"/>
      <c r="O37" s="307">
        <f t="shared" si="3"/>
        <v>247</v>
      </c>
    </row>
    <row r="38" spans="1:16" ht="15.75">
      <c r="A38" s="304"/>
      <c r="B38" s="308" t="s">
        <v>400</v>
      </c>
      <c r="C38" s="306">
        <v>50</v>
      </c>
      <c r="D38" s="306"/>
      <c r="E38" s="306"/>
      <c r="F38" s="306"/>
      <c r="G38" s="306">
        <v>200</v>
      </c>
      <c r="H38" s="306">
        <v>675</v>
      </c>
      <c r="I38" s="306"/>
      <c r="J38" s="306"/>
      <c r="K38" s="306"/>
      <c r="L38" s="306"/>
      <c r="M38" s="306"/>
      <c r="N38" s="306"/>
      <c r="O38" s="307">
        <f t="shared" si="3"/>
        <v>925</v>
      </c>
      <c r="P38" s="329"/>
    </row>
    <row r="39" spans="1:15" ht="15.75">
      <c r="A39" s="304" t="s">
        <v>308</v>
      </c>
      <c r="B39" s="308" t="s">
        <v>215</v>
      </c>
      <c r="C39" s="306">
        <f>58+8</f>
        <v>66</v>
      </c>
      <c r="D39" s="306">
        <v>72</v>
      </c>
      <c r="E39" s="306">
        <f>76</f>
        <v>76</v>
      </c>
      <c r="F39" s="306">
        <v>165</v>
      </c>
      <c r="G39" s="306"/>
      <c r="H39" s="306"/>
      <c r="I39" s="306"/>
      <c r="J39" s="306"/>
      <c r="K39" s="306"/>
      <c r="L39" s="306"/>
      <c r="M39" s="306"/>
      <c r="N39" s="306"/>
      <c r="O39" s="307">
        <f t="shared" si="3"/>
        <v>379</v>
      </c>
    </row>
    <row r="40" spans="1:15" ht="15.75">
      <c r="A40" s="304" t="s">
        <v>316</v>
      </c>
      <c r="B40" s="308" t="s">
        <v>82</v>
      </c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7">
        <f t="shared" si="3"/>
        <v>0</v>
      </c>
    </row>
    <row r="41" spans="1:15" ht="20.25" customHeight="1">
      <c r="A41" s="304" t="s">
        <v>319</v>
      </c>
      <c r="B41" s="308" t="s">
        <v>309</v>
      </c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7">
        <f t="shared" si="3"/>
        <v>0</v>
      </c>
    </row>
    <row r="42" spans="1:15" ht="20.25" customHeight="1">
      <c r="A42" s="304"/>
      <c r="B42" s="308" t="s">
        <v>399</v>
      </c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7">
        <f t="shared" si="3"/>
        <v>0</v>
      </c>
    </row>
    <row r="43" spans="1:15" ht="15.75">
      <c r="A43" s="304"/>
      <c r="B43" s="308" t="s">
        <v>400</v>
      </c>
      <c r="C43" s="306">
        <v>10000</v>
      </c>
      <c r="D43" s="306"/>
      <c r="E43" s="306"/>
      <c r="F43" s="306">
        <v>10000</v>
      </c>
      <c r="G43" s="306"/>
      <c r="H43" s="306">
        <v>6215</v>
      </c>
      <c r="I43" s="306"/>
      <c r="J43" s="306">
        <v>600</v>
      </c>
      <c r="K43" s="306"/>
      <c r="L43" s="306"/>
      <c r="M43" s="306"/>
      <c r="N43" s="306"/>
      <c r="O43" s="307">
        <f t="shared" si="3"/>
        <v>26815</v>
      </c>
    </row>
    <row r="44" spans="1:15" ht="15.75">
      <c r="A44" s="304" t="s">
        <v>321</v>
      </c>
      <c r="B44" s="308" t="s">
        <v>208</v>
      </c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7">
        <f t="shared" si="3"/>
        <v>0</v>
      </c>
    </row>
    <row r="45" spans="1:15" ht="15.75">
      <c r="A45" s="304"/>
      <c r="B45" s="308" t="s">
        <v>401</v>
      </c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7">
        <f t="shared" si="3"/>
        <v>0</v>
      </c>
    </row>
    <row r="46" spans="1:15" ht="15.75">
      <c r="A46" s="304"/>
      <c r="B46" s="308" t="s">
        <v>402</v>
      </c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7">
        <f t="shared" si="3"/>
        <v>0</v>
      </c>
    </row>
    <row r="47" spans="1:15" ht="15.75">
      <c r="A47" s="304"/>
      <c r="B47" s="337" t="s">
        <v>435</v>
      </c>
      <c r="C47" s="306">
        <v>943</v>
      </c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7">
        <f t="shared" si="3"/>
        <v>943</v>
      </c>
    </row>
    <row r="48" spans="1:16" ht="15.75">
      <c r="A48" s="304" t="s">
        <v>403</v>
      </c>
      <c r="B48" s="308" t="s">
        <v>404</v>
      </c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>
        <f>600+185-155-241-160</f>
        <v>229</v>
      </c>
      <c r="O48" s="307">
        <f t="shared" si="3"/>
        <v>229</v>
      </c>
      <c r="P48" s="329"/>
    </row>
    <row r="49" spans="1:15" ht="16.5" thickBot="1">
      <c r="A49" s="314" t="s">
        <v>405</v>
      </c>
      <c r="B49" s="315" t="s">
        <v>406</v>
      </c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>
        <v>8000</v>
      </c>
      <c r="O49" s="307">
        <f t="shared" si="3"/>
        <v>8000</v>
      </c>
    </row>
    <row r="50" spans="1:19" s="19" customFormat="1" ht="24" customHeight="1" thickBot="1">
      <c r="A50" s="316"/>
      <c r="B50" s="316" t="s">
        <v>407</v>
      </c>
      <c r="C50" s="317">
        <f>SUM(C32:C49)</f>
        <v>15079</v>
      </c>
      <c r="D50" s="317">
        <f aca="true" t="shared" si="4" ref="D50:O50">SUM(D32:D49)</f>
        <v>3663</v>
      </c>
      <c r="E50" s="317">
        <f t="shared" si="4"/>
        <v>4014</v>
      </c>
      <c r="F50" s="317">
        <f t="shared" si="4"/>
        <v>14059</v>
      </c>
      <c r="G50" s="317">
        <f t="shared" si="4"/>
        <v>5098</v>
      </c>
      <c r="H50" s="317">
        <f t="shared" si="4"/>
        <v>10313</v>
      </c>
      <c r="I50" s="317">
        <f t="shared" si="4"/>
        <v>3316</v>
      </c>
      <c r="J50" s="317">
        <f t="shared" si="4"/>
        <v>3792</v>
      </c>
      <c r="K50" s="317">
        <f t="shared" si="4"/>
        <v>3883</v>
      </c>
      <c r="L50" s="317">
        <f t="shared" si="4"/>
        <v>3677</v>
      </c>
      <c r="M50" s="317">
        <f t="shared" si="4"/>
        <v>3774</v>
      </c>
      <c r="N50" s="317">
        <f t="shared" si="4"/>
        <v>12169</v>
      </c>
      <c r="O50" s="318">
        <f t="shared" si="4"/>
        <v>82837</v>
      </c>
      <c r="S50" s="322"/>
    </row>
    <row r="51" spans="1:15" ht="26.25" customHeight="1" thickBot="1">
      <c r="A51" s="323"/>
      <c r="B51" s="324" t="s">
        <v>408</v>
      </c>
      <c r="C51" s="325">
        <f>C30-C50</f>
        <v>15392</v>
      </c>
      <c r="D51" s="325">
        <f aca="true" t="shared" si="5" ref="D51:N51">D30-D50</f>
        <v>15270</v>
      </c>
      <c r="E51" s="325">
        <f t="shared" si="5"/>
        <v>19946</v>
      </c>
      <c r="F51" s="325">
        <f t="shared" si="5"/>
        <v>9327</v>
      </c>
      <c r="G51" s="325">
        <f t="shared" si="5"/>
        <v>7396</v>
      </c>
      <c r="H51" s="325">
        <f t="shared" si="5"/>
        <v>3246</v>
      </c>
      <c r="I51" s="325">
        <f t="shared" si="5"/>
        <v>2638</v>
      </c>
      <c r="J51" s="325">
        <f t="shared" si="5"/>
        <v>8317</v>
      </c>
      <c r="K51" s="325">
        <f t="shared" si="5"/>
        <v>9506</v>
      </c>
      <c r="L51" s="325">
        <f t="shared" si="5"/>
        <v>8880</v>
      </c>
      <c r="M51" s="325">
        <f t="shared" si="5"/>
        <v>8927</v>
      </c>
      <c r="N51" s="325">
        <f t="shared" si="5"/>
        <v>0</v>
      </c>
      <c r="O51" s="326"/>
    </row>
    <row r="53" spans="3:15" ht="15.75"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</row>
    <row r="54" ht="15.75">
      <c r="O54" s="328"/>
    </row>
    <row r="55" ht="15.75">
      <c r="O55" s="328"/>
    </row>
    <row r="56" ht="15.75">
      <c r="O56" s="328"/>
    </row>
    <row r="57" ht="15.75">
      <c r="O57" s="328"/>
    </row>
  </sheetData>
  <sheetProtection/>
  <mergeCells count="5">
    <mergeCell ref="B8:O8"/>
    <mergeCell ref="B4:O4"/>
    <mergeCell ref="B5:O5"/>
    <mergeCell ref="B6:O6"/>
    <mergeCell ref="B7:O7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4.75390625" style="29" customWidth="1"/>
    <col min="2" max="2" width="56.25390625" style="29" customWidth="1"/>
    <col min="3" max="3" width="17.875" style="29" customWidth="1"/>
    <col min="4" max="4" width="4.875" style="29" customWidth="1"/>
    <col min="5" max="16384" width="9.125" style="29" customWidth="1"/>
  </cols>
  <sheetData>
    <row r="1" spans="1:5" ht="15.75">
      <c r="A1" s="109" t="s">
        <v>460</v>
      </c>
      <c r="B1" s="109"/>
      <c r="C1" s="109"/>
      <c r="D1" s="109"/>
      <c r="E1" s="28"/>
    </row>
    <row r="2" spans="1:5" ht="15.75">
      <c r="A2" s="30"/>
      <c r="B2" s="30"/>
      <c r="C2" s="30"/>
      <c r="D2" s="31"/>
      <c r="E2" s="28"/>
    </row>
    <row r="3" spans="1:5" ht="12.75" customHeight="1">
      <c r="A3" s="460"/>
      <c r="B3" s="460"/>
      <c r="C3" s="460"/>
      <c r="D3" s="460"/>
      <c r="E3" s="28"/>
    </row>
    <row r="4" spans="1:5" ht="15.75">
      <c r="A4" s="460" t="s">
        <v>4</v>
      </c>
      <c r="B4" s="460"/>
      <c r="C4" s="460"/>
      <c r="D4" s="460"/>
      <c r="E4" s="28"/>
    </row>
    <row r="5" spans="1:5" ht="15.75">
      <c r="A5" s="460" t="s">
        <v>27</v>
      </c>
      <c r="B5" s="460"/>
      <c r="C5" s="460"/>
      <c r="D5" s="460"/>
      <c r="E5" s="28"/>
    </row>
    <row r="6" spans="1:5" ht="15.75">
      <c r="A6" s="460" t="s">
        <v>424</v>
      </c>
      <c r="B6" s="460"/>
      <c r="C6" s="460"/>
      <c r="D6" s="460"/>
      <c r="E6" s="28"/>
    </row>
    <row r="7" spans="1:5" ht="15.75">
      <c r="A7" s="30"/>
      <c r="B7" s="30"/>
      <c r="C7" s="30"/>
      <c r="D7" s="28"/>
      <c r="E7" s="28"/>
    </row>
    <row r="8" spans="1:5" ht="15.75">
      <c r="A8" s="30"/>
      <c r="B8" s="30"/>
      <c r="C8" s="30"/>
      <c r="D8" s="28"/>
      <c r="E8" s="28"/>
    </row>
    <row r="9" spans="1:5" ht="15.75">
      <c r="A9" s="30"/>
      <c r="B9" s="30"/>
      <c r="C9" s="30"/>
      <c r="D9" s="28"/>
      <c r="E9" s="28"/>
    </row>
    <row r="10" spans="1:5" ht="15.75">
      <c r="A10" s="30"/>
      <c r="B10" s="30"/>
      <c r="C10" s="30"/>
      <c r="D10" s="28"/>
      <c r="E10" s="28"/>
    </row>
    <row r="11" spans="1:5" ht="15.75">
      <c r="A11" s="30"/>
      <c r="B11" s="32" t="s">
        <v>13</v>
      </c>
      <c r="C11" s="30"/>
      <c r="D11" s="28"/>
      <c r="E11" s="28"/>
    </row>
    <row r="12" spans="1:5" ht="10.5" customHeight="1">
      <c r="A12" s="30"/>
      <c r="B12" s="32"/>
      <c r="C12" s="30"/>
      <c r="D12" s="28"/>
      <c r="E12" s="28"/>
    </row>
    <row r="13" spans="1:5" ht="12" customHeight="1">
      <c r="A13" s="30"/>
      <c r="B13" s="32"/>
      <c r="C13" s="33"/>
      <c r="D13" s="28"/>
      <c r="E13" s="28"/>
    </row>
    <row r="14" spans="1:3" s="37" customFormat="1" ht="15">
      <c r="A14" s="34"/>
      <c r="B14" s="35" t="s">
        <v>14</v>
      </c>
      <c r="C14" s="36"/>
    </row>
    <row r="15" spans="1:5" ht="19.5" customHeight="1">
      <c r="A15" s="38"/>
      <c r="B15" s="28" t="s">
        <v>15</v>
      </c>
      <c r="C15" s="39">
        <v>1845000</v>
      </c>
      <c r="D15" s="28" t="s">
        <v>1</v>
      </c>
      <c r="E15" s="28"/>
    </row>
    <row r="16" spans="1:5" ht="19.5" customHeight="1">
      <c r="A16" s="28"/>
      <c r="B16" s="31" t="s">
        <v>16</v>
      </c>
      <c r="C16" s="40">
        <f>SUM(C15)</f>
        <v>1845000</v>
      </c>
      <c r="D16" s="31" t="s">
        <v>1</v>
      </c>
      <c r="E16" s="28"/>
    </row>
    <row r="17" spans="1:5" ht="19.5" customHeight="1">
      <c r="A17" s="28"/>
      <c r="B17" s="31"/>
      <c r="C17" s="40"/>
      <c r="D17" s="31"/>
      <c r="E17" s="28"/>
    </row>
    <row r="18" spans="1:5" ht="19.5" customHeight="1">
      <c r="A18" s="28"/>
      <c r="B18" s="31"/>
      <c r="C18" s="40"/>
      <c r="D18" s="31"/>
      <c r="E18" s="28"/>
    </row>
    <row r="19" spans="1:5" ht="10.5" customHeight="1">
      <c r="A19" s="28"/>
      <c r="B19" s="31"/>
      <c r="C19" s="40"/>
      <c r="D19" s="31"/>
      <c r="E19" s="28"/>
    </row>
    <row r="20" spans="1:5" ht="15.75">
      <c r="A20" s="28"/>
      <c r="B20" s="41" t="s">
        <v>17</v>
      </c>
      <c r="C20" s="40"/>
      <c r="D20" s="28"/>
      <c r="E20" s="28"/>
    </row>
    <row r="21" spans="1:5" ht="18">
      <c r="A21" s="28"/>
      <c r="B21" s="28" t="s">
        <v>33</v>
      </c>
      <c r="C21" s="42">
        <v>0</v>
      </c>
      <c r="D21" s="28" t="s">
        <v>1</v>
      </c>
      <c r="E21" s="28"/>
    </row>
    <row r="22" spans="1:5" s="43" customFormat="1" ht="15.75">
      <c r="A22" s="31"/>
      <c r="B22" s="31" t="s">
        <v>18</v>
      </c>
      <c r="C22" s="40">
        <f>SUM(C21:C21)</f>
        <v>0</v>
      </c>
      <c r="D22" s="31" t="s">
        <v>1</v>
      </c>
      <c r="E22" s="31"/>
    </row>
    <row r="23" spans="1:5" ht="15.75">
      <c r="A23" s="28"/>
      <c r="B23" s="28"/>
      <c r="C23" s="28"/>
      <c r="D23" s="28"/>
      <c r="E23" s="28"/>
    </row>
    <row r="24" spans="1:5" ht="15.75">
      <c r="A24" s="28"/>
      <c r="B24" s="94"/>
      <c r="C24" s="28"/>
      <c r="D24" s="28"/>
      <c r="E24" s="28"/>
    </row>
    <row r="25" spans="1:5" ht="15.75">
      <c r="A25" s="28"/>
      <c r="B25" s="28"/>
      <c r="C25" s="28"/>
      <c r="D25" s="28"/>
      <c r="E25" s="28"/>
    </row>
    <row r="26" spans="1:5" ht="15.75">
      <c r="A26" s="28"/>
      <c r="B26" s="28"/>
      <c r="C26" s="28"/>
      <c r="D26" s="28"/>
      <c r="E26" s="28"/>
    </row>
    <row r="27" spans="1:5" ht="15.75">
      <c r="A27" s="28"/>
      <c r="B27" s="28"/>
      <c r="C27" s="28"/>
      <c r="D27" s="28"/>
      <c r="E27" s="28"/>
    </row>
    <row r="28" spans="1:5" ht="15.75">
      <c r="A28" s="28"/>
      <c r="B28" s="28"/>
      <c r="C28" s="28"/>
      <c r="D28" s="28"/>
      <c r="E28" s="28"/>
    </row>
    <row r="29" spans="1:5" ht="15.75">
      <c r="A29" s="28"/>
      <c r="B29" s="28"/>
      <c r="C29" s="28"/>
      <c r="D29" s="28"/>
      <c r="E29" s="28"/>
    </row>
    <row r="30" spans="1:5" ht="15.75">
      <c r="A30" s="28"/>
      <c r="B30" s="28"/>
      <c r="C30" s="28"/>
      <c r="D30" s="28"/>
      <c r="E30" s="28"/>
    </row>
    <row r="31" spans="1:5" ht="15.75">
      <c r="A31" s="28"/>
      <c r="B31" s="28"/>
      <c r="C31" s="28"/>
      <c r="D31" s="28"/>
      <c r="E31" s="28"/>
    </row>
    <row r="32" spans="1:5" ht="15.75">
      <c r="A32" s="28"/>
      <c r="B32" s="28"/>
      <c r="C32" s="28"/>
      <c r="D32" s="28"/>
      <c r="E32" s="28"/>
    </row>
  </sheetData>
  <sheetProtection/>
  <mergeCells count="4">
    <mergeCell ref="A6:D6"/>
    <mergeCell ref="A4:D4"/>
    <mergeCell ref="A5:D5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4.625" style="4" customWidth="1"/>
    <col min="2" max="2" width="13.375" style="74" customWidth="1"/>
    <col min="3" max="3" width="4.875" style="4" customWidth="1"/>
    <col min="4" max="4" width="14.25390625" style="74" bestFit="1" customWidth="1"/>
    <col min="5" max="5" width="5.25390625" style="4" customWidth="1"/>
    <col min="6" max="6" width="9.125" style="4" customWidth="1"/>
    <col min="7" max="7" width="14.25390625" style="4" bestFit="1" customWidth="1"/>
    <col min="8" max="16384" width="9.125" style="4" customWidth="1"/>
  </cols>
  <sheetData>
    <row r="1" spans="1:5" ht="15">
      <c r="A1" s="350" t="s">
        <v>449</v>
      </c>
      <c r="B1" s="350"/>
      <c r="C1" s="350"/>
      <c r="D1" s="350"/>
      <c r="E1" s="350"/>
    </row>
    <row r="2" spans="1:5" ht="15">
      <c r="A2" s="101"/>
      <c r="B2" s="101"/>
      <c r="C2" s="101"/>
      <c r="D2" s="101"/>
      <c r="E2" s="101"/>
    </row>
    <row r="3" spans="1:5" s="67" customFormat="1" ht="15.75">
      <c r="A3" s="353"/>
      <c r="B3" s="353"/>
      <c r="C3" s="353"/>
      <c r="D3" s="353"/>
      <c r="E3" s="353"/>
    </row>
    <row r="4" spans="1:5" s="67" customFormat="1" ht="15.75">
      <c r="A4" s="352" t="s">
        <v>53</v>
      </c>
      <c r="B4" s="352"/>
      <c r="C4" s="352"/>
      <c r="D4" s="352"/>
      <c r="E4" s="352"/>
    </row>
    <row r="5" spans="1:5" ht="15.75">
      <c r="A5" s="352" t="s">
        <v>181</v>
      </c>
      <c r="B5" s="352"/>
      <c r="C5" s="352"/>
      <c r="D5" s="352"/>
      <c r="E5" s="352"/>
    </row>
    <row r="6" spans="1:5" ht="12.75" customHeight="1">
      <c r="A6" s="351" t="s">
        <v>261</v>
      </c>
      <c r="B6" s="351"/>
      <c r="C6" s="351"/>
      <c r="D6" s="351"/>
      <c r="E6" s="351"/>
    </row>
    <row r="7" spans="1:5" s="1" customFormat="1" ht="15">
      <c r="A7" s="4"/>
      <c r="B7" s="74"/>
      <c r="C7" s="4"/>
      <c r="D7" s="64"/>
      <c r="E7" s="4"/>
    </row>
    <row r="8" spans="1:4" s="1" customFormat="1" ht="18.75">
      <c r="A8" s="134" t="s">
        <v>182</v>
      </c>
      <c r="B8" s="75"/>
      <c r="D8" s="135"/>
    </row>
    <row r="9" spans="1:5" ht="15.75">
      <c r="A9" s="7" t="s">
        <v>183</v>
      </c>
      <c r="B9" s="75"/>
      <c r="C9" s="1"/>
      <c r="D9" s="136">
        <f>B10+B11</f>
        <v>26631</v>
      </c>
      <c r="E9" s="1" t="s">
        <v>6</v>
      </c>
    </row>
    <row r="10" spans="1:7" ht="15.75">
      <c r="A10" s="137" t="s">
        <v>184</v>
      </c>
      <c r="B10" s="74">
        <f>'2.mell - bevétel'!H67</f>
        <v>25952</v>
      </c>
      <c r="C10" s="4" t="s">
        <v>6</v>
      </c>
      <c r="D10" s="64"/>
      <c r="G10" s="95"/>
    </row>
    <row r="11" spans="1:5" s="1" customFormat="1" ht="15.75" customHeight="1">
      <c r="A11" s="137" t="s">
        <v>185</v>
      </c>
      <c r="B11" s="74">
        <f>'2.mell - bevétel'!H74</f>
        <v>679</v>
      </c>
      <c r="C11" s="4" t="s">
        <v>6</v>
      </c>
      <c r="D11" s="64"/>
      <c r="E11" s="4"/>
    </row>
    <row r="12" spans="1:4" s="1" customFormat="1" ht="15.75">
      <c r="A12" s="7"/>
      <c r="B12" s="75"/>
      <c r="D12" s="136"/>
    </row>
    <row r="13" spans="1:5" s="1" customFormat="1" ht="15.75">
      <c r="A13" s="7" t="s">
        <v>186</v>
      </c>
      <c r="B13" s="75"/>
      <c r="D13" s="136">
        <f>'2.mell - bevétel'!H86</f>
        <v>9928</v>
      </c>
      <c r="E13" s="1" t="s">
        <v>6</v>
      </c>
    </row>
    <row r="14" spans="1:4" s="1" customFormat="1" ht="15.75">
      <c r="A14" s="7"/>
      <c r="B14" s="75"/>
      <c r="D14" s="136"/>
    </row>
    <row r="15" spans="1:5" s="1" customFormat="1" ht="15.75">
      <c r="A15" s="7" t="s">
        <v>137</v>
      </c>
      <c r="B15" s="75"/>
      <c r="D15" s="136">
        <f>'2.mell - bevétel'!H108</f>
        <v>7813</v>
      </c>
      <c r="E15" s="1" t="s">
        <v>6</v>
      </c>
    </row>
    <row r="16" spans="1:7" s="1" customFormat="1" ht="15.75">
      <c r="A16" s="7"/>
      <c r="B16" s="75"/>
      <c r="D16" s="136"/>
      <c r="G16" s="96"/>
    </row>
    <row r="17" spans="1:5" s="1" customFormat="1" ht="15.75">
      <c r="A17" s="7" t="s">
        <v>70</v>
      </c>
      <c r="B17" s="75"/>
      <c r="D17" s="136">
        <f>'2.mell - bevétel'!H132</f>
        <v>9993</v>
      </c>
      <c r="E17" s="1" t="s">
        <v>6</v>
      </c>
    </row>
    <row r="18" spans="1:4" s="1" customFormat="1" ht="15.75">
      <c r="A18" s="8"/>
      <c r="B18" s="76"/>
      <c r="D18" s="136"/>
    </row>
    <row r="19" spans="1:5" s="1" customFormat="1" ht="15.75">
      <c r="A19" s="7" t="s">
        <v>187</v>
      </c>
      <c r="B19" s="75"/>
      <c r="D19" s="136">
        <v>0</v>
      </c>
      <c r="E19" s="1" t="s">
        <v>6</v>
      </c>
    </row>
    <row r="20" spans="1:4" s="1" customFormat="1" ht="15.75">
      <c r="A20" s="8"/>
      <c r="B20" s="75"/>
      <c r="D20" s="136"/>
    </row>
    <row r="21" spans="1:5" s="1" customFormat="1" ht="15.75">
      <c r="A21" s="7" t="s">
        <v>188</v>
      </c>
      <c r="D21" s="136">
        <f>B22+B23</f>
        <v>0</v>
      </c>
      <c r="E21" s="1" t="s">
        <v>6</v>
      </c>
    </row>
    <row r="22" spans="1:7" s="6" customFormat="1" ht="32.25">
      <c r="A22" s="137" t="s">
        <v>189</v>
      </c>
      <c r="B22" s="76">
        <v>0</v>
      </c>
      <c r="C22" s="1" t="s">
        <v>6</v>
      </c>
      <c r="D22" s="136"/>
      <c r="E22" s="1"/>
      <c r="F22" s="1"/>
      <c r="G22" s="97"/>
    </row>
    <row r="23" spans="1:7" ht="18.75">
      <c r="A23" s="67" t="s">
        <v>190</v>
      </c>
      <c r="B23" s="75">
        <v>0</v>
      </c>
      <c r="C23" s="1" t="s">
        <v>6</v>
      </c>
      <c r="D23" s="136"/>
      <c r="E23" s="1"/>
      <c r="F23" s="6"/>
      <c r="G23" s="98"/>
    </row>
    <row r="24" spans="1:7" s="1" customFormat="1" ht="18.75">
      <c r="A24" s="84"/>
      <c r="B24" s="74"/>
      <c r="C24" s="4"/>
      <c r="D24" s="138"/>
      <c r="E24" s="6"/>
      <c r="G24" s="99"/>
    </row>
    <row r="25" spans="1:5" s="1" customFormat="1" ht="15.75">
      <c r="A25" s="7" t="s">
        <v>162</v>
      </c>
      <c r="B25" s="75"/>
      <c r="D25" s="136">
        <f>B26+B27</f>
        <v>12965</v>
      </c>
      <c r="E25" s="1" t="s">
        <v>6</v>
      </c>
    </row>
    <row r="26" spans="1:4" s="1" customFormat="1" ht="31.5">
      <c r="A26" s="137" t="s">
        <v>191</v>
      </c>
      <c r="B26" s="75">
        <f>'2.mell - bevétel'!H139</f>
        <v>12965</v>
      </c>
      <c r="C26" s="1" t="s">
        <v>6</v>
      </c>
      <c r="D26" s="136"/>
    </row>
    <row r="27" spans="1:4" s="1" customFormat="1" ht="15.75">
      <c r="A27" s="67" t="s">
        <v>192</v>
      </c>
      <c r="B27" s="75">
        <v>0</v>
      </c>
      <c r="C27" s="1" t="s">
        <v>6</v>
      </c>
      <c r="D27" s="136"/>
    </row>
    <row r="28" spans="1:4" s="1" customFormat="1" ht="15.75">
      <c r="A28" s="84"/>
      <c r="D28" s="135"/>
    </row>
    <row r="29" spans="1:5" s="1" customFormat="1" ht="15.75">
      <c r="A29" s="7" t="s">
        <v>58</v>
      </c>
      <c r="D29" s="139">
        <f>SUM(D9:D28)</f>
        <v>67330</v>
      </c>
      <c r="E29" s="1" t="s">
        <v>6</v>
      </c>
    </row>
    <row r="30" spans="1:4" s="1" customFormat="1" ht="15.75">
      <c r="A30" s="67"/>
      <c r="D30" s="135"/>
    </row>
    <row r="31" spans="1:4" s="1" customFormat="1" ht="18.75">
      <c r="A31" s="134" t="s">
        <v>193</v>
      </c>
      <c r="D31" s="135"/>
    </row>
    <row r="32" spans="1:5" s="1" customFormat="1" ht="15.75">
      <c r="A32" s="9" t="s">
        <v>20</v>
      </c>
      <c r="B32" s="75"/>
      <c r="D32" s="136">
        <f>B34+B35+B36+B37+B38</f>
        <v>54700</v>
      </c>
      <c r="E32" s="1" t="s">
        <v>6</v>
      </c>
    </row>
    <row r="33" spans="1:4" s="1" customFormat="1" ht="15.75">
      <c r="A33" s="8" t="s">
        <v>19</v>
      </c>
      <c r="B33" s="75"/>
      <c r="D33" s="136"/>
    </row>
    <row r="34" spans="1:4" s="1" customFormat="1" ht="15.75">
      <c r="A34" s="67" t="s">
        <v>194</v>
      </c>
      <c r="B34" s="75">
        <f>'4.mell. - kiadás'!D45</f>
        <v>14956</v>
      </c>
      <c r="C34" s="1" t="s">
        <v>6</v>
      </c>
      <c r="D34" s="136"/>
    </row>
    <row r="35" spans="1:4" s="1" customFormat="1" ht="15.75">
      <c r="A35" s="67" t="s">
        <v>195</v>
      </c>
      <c r="B35" s="75">
        <f>'4.mell. - kiadás'!E45</f>
        <v>4094</v>
      </c>
      <c r="C35" s="1" t="s">
        <v>6</v>
      </c>
      <c r="D35" s="136"/>
    </row>
    <row r="36" spans="1:4" s="1" customFormat="1" ht="15.75">
      <c r="A36" s="67" t="s">
        <v>196</v>
      </c>
      <c r="B36" s="75">
        <f>'4.mell. - kiadás'!F45</f>
        <v>23456</v>
      </c>
      <c r="C36" s="1" t="s">
        <v>6</v>
      </c>
      <c r="D36" s="136"/>
    </row>
    <row r="37" spans="1:4" s="1" customFormat="1" ht="15.75">
      <c r="A37" s="140" t="s">
        <v>197</v>
      </c>
      <c r="B37" s="75">
        <f>'4.mell. - kiadás'!G45</f>
        <v>2793</v>
      </c>
      <c r="C37" s="1" t="s">
        <v>6</v>
      </c>
      <c r="D37" s="136"/>
    </row>
    <row r="38" spans="1:4" s="1" customFormat="1" ht="15.75">
      <c r="A38" s="67" t="s">
        <v>88</v>
      </c>
      <c r="B38" s="75">
        <f>'4.mell. - kiadás'!H45</f>
        <v>9401</v>
      </c>
      <c r="C38" s="1" t="s">
        <v>6</v>
      </c>
      <c r="D38" s="136"/>
    </row>
    <row r="39" spans="1:4" s="1" customFormat="1" ht="15.75">
      <c r="A39" s="67"/>
      <c r="B39" s="76"/>
      <c r="D39" s="136"/>
    </row>
    <row r="40" spans="1:5" s="1" customFormat="1" ht="15.75">
      <c r="A40" s="9" t="s">
        <v>21</v>
      </c>
      <c r="B40" s="75"/>
      <c r="D40" s="141">
        <f>B42+B43+B44</f>
        <v>27194</v>
      </c>
      <c r="E40" s="1" t="s">
        <v>6</v>
      </c>
    </row>
    <row r="41" spans="1:4" s="1" customFormat="1" ht="15.75">
      <c r="A41" s="8" t="s">
        <v>19</v>
      </c>
      <c r="B41" s="75"/>
      <c r="D41" s="136"/>
    </row>
    <row r="42" spans="1:4" s="1" customFormat="1" ht="15.75">
      <c r="A42" s="67" t="s">
        <v>198</v>
      </c>
      <c r="B42" s="76">
        <f>'4.mell. - kiadás'!J45</f>
        <v>379</v>
      </c>
      <c r="C42" s="1" t="s">
        <v>6</v>
      </c>
      <c r="D42" s="136"/>
    </row>
    <row r="43" spans="1:4" s="1" customFormat="1" ht="15.75">
      <c r="A43" s="67" t="s">
        <v>199</v>
      </c>
      <c r="B43" s="76"/>
      <c r="C43" s="1" t="s">
        <v>6</v>
      </c>
      <c r="D43" s="136"/>
    </row>
    <row r="44" spans="1:6" ht="15.75">
      <c r="A44" s="67" t="s">
        <v>89</v>
      </c>
      <c r="B44" s="76">
        <f>'4.mell. - kiadás'!L45</f>
        <v>26815</v>
      </c>
      <c r="C44" s="1" t="s">
        <v>6</v>
      </c>
      <c r="D44" s="136"/>
      <c r="E44" s="1"/>
      <c r="F44" s="1"/>
    </row>
    <row r="45" spans="1:4" s="1" customFormat="1" ht="15.75">
      <c r="A45" s="67"/>
      <c r="B45" s="76"/>
      <c r="D45" s="136"/>
    </row>
    <row r="46" spans="1:5" s="1" customFormat="1" ht="15.75">
      <c r="A46" s="67" t="s">
        <v>200</v>
      </c>
      <c r="B46" s="76"/>
      <c r="D46" s="136">
        <f>B47+B48+B49</f>
        <v>943</v>
      </c>
      <c r="E46" s="1" t="s">
        <v>6</v>
      </c>
    </row>
    <row r="47" spans="1:4" s="1" customFormat="1" ht="15.75">
      <c r="A47" s="67" t="s">
        <v>201</v>
      </c>
      <c r="B47" s="75"/>
      <c r="C47" s="1" t="s">
        <v>6</v>
      </c>
      <c r="D47" s="136"/>
    </row>
    <row r="48" spans="1:6" s="6" customFormat="1" ht="18.75">
      <c r="A48" s="67" t="s">
        <v>202</v>
      </c>
      <c r="B48" s="75"/>
      <c r="C48" s="1" t="s">
        <v>6</v>
      </c>
      <c r="D48" s="136"/>
      <c r="E48" s="1"/>
      <c r="F48" s="4"/>
    </row>
    <row r="49" spans="1:6" s="6" customFormat="1" ht="18.75">
      <c r="A49" s="67" t="s">
        <v>436</v>
      </c>
      <c r="B49" s="75">
        <f>'4.mell. - kiadás'!Q45</f>
        <v>943</v>
      </c>
      <c r="C49" s="1" t="s">
        <v>6</v>
      </c>
      <c r="D49" s="136"/>
      <c r="E49" s="1"/>
      <c r="F49" s="4"/>
    </row>
    <row r="50" spans="1:6" ht="15.75">
      <c r="A50" s="67"/>
      <c r="B50" s="76"/>
      <c r="C50" s="1"/>
      <c r="D50" s="136"/>
      <c r="E50" s="1"/>
      <c r="F50" s="1"/>
    </row>
    <row r="51" spans="1:6" ht="15.75">
      <c r="A51" s="7" t="s">
        <v>61</v>
      </c>
      <c r="B51" s="76"/>
      <c r="C51" s="1"/>
      <c r="D51" s="64">
        <f>SUM(D32:D50)</f>
        <v>82837</v>
      </c>
      <c r="E51" s="4" t="s">
        <v>6</v>
      </c>
      <c r="F51" s="1"/>
    </row>
    <row r="52" spans="1:6" ht="15.75">
      <c r="A52" s="67"/>
      <c r="B52" s="75"/>
      <c r="C52" s="1"/>
      <c r="D52" s="141"/>
      <c r="E52" s="1"/>
      <c r="F52" s="1"/>
    </row>
    <row r="53" spans="1:6" ht="18.75">
      <c r="A53" s="7" t="s">
        <v>62</v>
      </c>
      <c r="B53" s="75"/>
      <c r="C53" s="1"/>
      <c r="D53" s="64">
        <f>D29-D51</f>
        <v>-15507</v>
      </c>
      <c r="E53" s="4" t="s">
        <v>6</v>
      </c>
      <c r="F53" s="6"/>
    </row>
    <row r="54" spans="1:4" ht="15.75">
      <c r="A54" s="67"/>
      <c r="B54" s="75"/>
      <c r="C54" s="1"/>
      <c r="D54" s="64"/>
    </row>
    <row r="55" spans="1:5" ht="31.5">
      <c r="A55" s="142" t="s">
        <v>440</v>
      </c>
      <c r="B55" s="142"/>
      <c r="C55" s="142"/>
      <c r="D55" s="64">
        <v>12586</v>
      </c>
      <c r="E55" s="4" t="s">
        <v>6</v>
      </c>
    </row>
    <row r="56" spans="1:5" ht="48">
      <c r="A56" s="142" t="s">
        <v>269</v>
      </c>
      <c r="B56" s="77"/>
      <c r="C56" s="6"/>
      <c r="D56" s="64">
        <f>1115+1348+148+119+191</f>
        <v>2921</v>
      </c>
      <c r="E56" s="4" t="s">
        <v>6</v>
      </c>
    </row>
    <row r="57" spans="1:6" s="1" customFormat="1" ht="15.75">
      <c r="A57" s="67"/>
      <c r="B57" s="74"/>
      <c r="C57" s="4"/>
      <c r="D57" s="64"/>
      <c r="E57" s="4"/>
      <c r="F57" s="4"/>
    </row>
    <row r="58" spans="1:5" ht="15.75">
      <c r="A58" s="7" t="s">
        <v>87</v>
      </c>
      <c r="D58" s="64">
        <f>D53+D56+D55</f>
        <v>0</v>
      </c>
      <c r="E58" s="4" t="s">
        <v>6</v>
      </c>
    </row>
    <row r="59" spans="1:4" s="1" customFormat="1" ht="10.5" customHeight="1">
      <c r="A59" s="5"/>
      <c r="B59" s="75"/>
      <c r="D59" s="26"/>
    </row>
    <row r="60" spans="1:5" ht="15.75">
      <c r="A60" s="5"/>
      <c r="B60" s="75"/>
      <c r="C60" s="1"/>
      <c r="D60" s="26"/>
      <c r="E60" s="7"/>
    </row>
    <row r="61" spans="1:5" ht="15.75">
      <c r="A61" s="7"/>
      <c r="D61" s="27"/>
      <c r="E61" s="7"/>
    </row>
  </sheetData>
  <sheetProtection/>
  <mergeCells count="5">
    <mergeCell ref="A1:E1"/>
    <mergeCell ref="A6:E6"/>
    <mergeCell ref="A4:E4"/>
    <mergeCell ref="A3:E3"/>
    <mergeCell ref="A5:E5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8"/>
  <sheetViews>
    <sheetView zoomScalePageLayoutView="0" workbookViewId="0" topLeftCell="A1">
      <selection activeCell="A3" sqref="A3:I3"/>
    </sheetView>
  </sheetViews>
  <sheetFormatPr defaultColWidth="9.00390625" defaultRowHeight="12.75"/>
  <cols>
    <col min="1" max="1" width="4.25390625" style="83" customWidth="1"/>
    <col min="2" max="5" width="3.125" style="82" customWidth="1"/>
    <col min="6" max="6" width="52.125" style="8" customWidth="1"/>
    <col min="7" max="7" width="11.25390625" style="8" customWidth="1"/>
    <col min="8" max="8" width="13.00390625" style="8" bestFit="1" customWidth="1"/>
    <col min="9" max="9" width="9.375" style="8" customWidth="1"/>
    <col min="10" max="16384" width="9.125" style="8" customWidth="1"/>
  </cols>
  <sheetData>
    <row r="1" spans="1:9" ht="15.75">
      <c r="A1" s="251" t="s">
        <v>450</v>
      </c>
      <c r="B1" s="251"/>
      <c r="C1" s="251"/>
      <c r="D1" s="251"/>
      <c r="E1" s="251"/>
      <c r="F1" s="100"/>
      <c r="G1" s="100"/>
      <c r="H1" s="100"/>
      <c r="I1" s="100"/>
    </row>
    <row r="2" spans="1:9" ht="15.75">
      <c r="A2" s="355"/>
      <c r="B2" s="355"/>
      <c r="C2" s="355"/>
      <c r="D2" s="355"/>
      <c r="E2" s="355"/>
      <c r="F2" s="355"/>
      <c r="G2" s="355"/>
      <c r="H2" s="355"/>
      <c r="I2" s="355"/>
    </row>
    <row r="3" spans="1:9" s="9" customFormat="1" ht="15.75">
      <c r="A3" s="343" t="s">
        <v>4</v>
      </c>
      <c r="B3" s="343"/>
      <c r="C3" s="343"/>
      <c r="D3" s="343"/>
      <c r="E3" s="343"/>
      <c r="F3" s="343"/>
      <c r="G3" s="343"/>
      <c r="H3" s="343"/>
      <c r="I3" s="343"/>
    </row>
    <row r="4" spans="1:9" s="9" customFormat="1" ht="15.75">
      <c r="A4" s="343" t="s">
        <v>50</v>
      </c>
      <c r="B4" s="343"/>
      <c r="C4" s="343"/>
      <c r="D4" s="343"/>
      <c r="E4" s="343"/>
      <c r="F4" s="343"/>
      <c r="G4" s="343"/>
      <c r="H4" s="343"/>
      <c r="I4" s="343"/>
    </row>
    <row r="5" spans="1:9" ht="15.75">
      <c r="A5" s="343" t="s">
        <v>172</v>
      </c>
      <c r="B5" s="343"/>
      <c r="C5" s="343"/>
      <c r="D5" s="343"/>
      <c r="E5" s="343"/>
      <c r="F5" s="343"/>
      <c r="G5" s="343"/>
      <c r="H5" s="343"/>
      <c r="I5" s="343"/>
    </row>
    <row r="6" ht="15.75" hidden="1"/>
    <row r="7" spans="8:9" ht="16.5" thickBot="1">
      <c r="H7" s="85"/>
      <c r="I7" s="86" t="s">
        <v>5</v>
      </c>
    </row>
    <row r="8" spans="1:9" ht="15.75">
      <c r="A8" s="366" t="s">
        <v>24</v>
      </c>
      <c r="B8" s="345"/>
      <c r="C8" s="345"/>
      <c r="D8" s="345"/>
      <c r="E8" s="345"/>
      <c r="F8" s="346"/>
      <c r="G8" s="87" t="s">
        <v>22</v>
      </c>
      <c r="H8" s="87" t="s">
        <v>22</v>
      </c>
      <c r="I8" s="87" t="s">
        <v>23</v>
      </c>
    </row>
    <row r="9" spans="1:9" ht="15.75">
      <c r="A9" s="347"/>
      <c r="B9" s="348"/>
      <c r="C9" s="348"/>
      <c r="D9" s="348"/>
      <c r="E9" s="348"/>
      <c r="F9" s="339"/>
      <c r="G9" s="88" t="s">
        <v>11</v>
      </c>
      <c r="H9" s="89" t="s">
        <v>11</v>
      </c>
      <c r="I9" s="88"/>
    </row>
    <row r="10" spans="1:9" ht="16.5" thickBot="1">
      <c r="A10" s="340"/>
      <c r="B10" s="341"/>
      <c r="C10" s="341"/>
      <c r="D10" s="341"/>
      <c r="E10" s="341"/>
      <c r="F10" s="342"/>
      <c r="G10" s="90" t="s">
        <v>76</v>
      </c>
      <c r="H10" s="90" t="s">
        <v>172</v>
      </c>
      <c r="I10" s="90" t="s">
        <v>25</v>
      </c>
    </row>
    <row r="11" spans="1:9" ht="15.75">
      <c r="A11" s="19" t="s">
        <v>64</v>
      </c>
      <c r="B11" s="365" t="s">
        <v>97</v>
      </c>
      <c r="C11" s="365"/>
      <c r="D11" s="365"/>
      <c r="E11" s="365"/>
      <c r="F11" s="365"/>
      <c r="G11" s="103"/>
      <c r="H11" s="104"/>
      <c r="I11" s="103"/>
    </row>
    <row r="12" spans="1:9" ht="15.75">
      <c r="A12" s="19"/>
      <c r="B12" s="19" t="s">
        <v>64</v>
      </c>
      <c r="C12" s="19" t="s">
        <v>98</v>
      </c>
      <c r="D12" s="19"/>
      <c r="E12" s="19"/>
      <c r="F12" s="19"/>
      <c r="G12" s="59"/>
      <c r="H12" s="59"/>
      <c r="I12" s="19"/>
    </row>
    <row r="13" spans="1:9" ht="33" customHeight="1">
      <c r="A13" s="19"/>
      <c r="B13" s="19"/>
      <c r="C13" s="19" t="s">
        <v>56</v>
      </c>
      <c r="D13" s="365" t="s">
        <v>99</v>
      </c>
      <c r="E13" s="365"/>
      <c r="F13" s="365"/>
      <c r="G13" s="104"/>
      <c r="H13" s="104"/>
      <c r="I13" s="103"/>
    </row>
    <row r="14" spans="1:9" ht="33.75" customHeight="1">
      <c r="A14" s="19"/>
      <c r="B14" s="19"/>
      <c r="C14" s="19"/>
      <c r="D14" s="19" t="s">
        <v>56</v>
      </c>
      <c r="E14" s="365" t="s">
        <v>100</v>
      </c>
      <c r="F14" s="365"/>
      <c r="G14" s="104"/>
      <c r="H14" s="104"/>
      <c r="I14" s="103"/>
    </row>
    <row r="15" spans="1:9" ht="15.75">
      <c r="A15" s="22"/>
      <c r="B15" s="22"/>
      <c r="C15" s="22"/>
      <c r="D15" s="22"/>
      <c r="E15" s="22" t="s">
        <v>71</v>
      </c>
      <c r="F15" s="22" t="s">
        <v>65</v>
      </c>
      <c r="G15" s="58"/>
      <c r="H15" s="58"/>
      <c r="I15" s="105"/>
    </row>
    <row r="16" spans="1:9" ht="15.75">
      <c r="A16" s="22"/>
      <c r="B16" s="22"/>
      <c r="C16" s="22"/>
      <c r="D16" s="22"/>
      <c r="E16" s="22"/>
      <c r="F16" s="22" t="s">
        <v>101</v>
      </c>
      <c r="G16" s="58"/>
      <c r="I16" s="105"/>
    </row>
    <row r="17" spans="1:9" ht="31.5">
      <c r="A17" s="22"/>
      <c r="B17" s="22"/>
      <c r="C17" s="22"/>
      <c r="D17" s="22"/>
      <c r="E17" s="22" t="s">
        <v>72</v>
      </c>
      <c r="F17" s="106" t="s">
        <v>66</v>
      </c>
      <c r="G17" s="107"/>
      <c r="I17" s="105"/>
    </row>
    <row r="18" spans="1:9" ht="31.5">
      <c r="A18" s="22"/>
      <c r="B18" s="22"/>
      <c r="C18" s="22"/>
      <c r="D18" s="22"/>
      <c r="E18" s="22" t="s">
        <v>102</v>
      </c>
      <c r="F18" s="106" t="s">
        <v>103</v>
      </c>
      <c r="G18" s="58">
        <v>2540</v>
      </c>
      <c r="H18" s="8">
        <v>2553</v>
      </c>
      <c r="I18" s="105">
        <f>H18/G18*100</f>
        <v>100.51181102362206</v>
      </c>
    </row>
    <row r="19" spans="1:9" ht="15.75">
      <c r="A19" s="22"/>
      <c r="B19" s="22"/>
      <c r="C19" s="22"/>
      <c r="D19" s="22"/>
      <c r="E19" s="22"/>
      <c r="F19" s="22" t="s">
        <v>101</v>
      </c>
      <c r="G19" s="58"/>
      <c r="I19" s="105"/>
    </row>
    <row r="20" spans="1:9" ht="15.75">
      <c r="A20" s="22"/>
      <c r="B20" s="22"/>
      <c r="C20" s="22"/>
      <c r="D20" s="22"/>
      <c r="E20" s="22" t="s">
        <v>104</v>
      </c>
      <c r="F20" s="106" t="s">
        <v>105</v>
      </c>
      <c r="G20" s="58">
        <v>3002</v>
      </c>
      <c r="H20" s="8">
        <v>3392</v>
      </c>
      <c r="I20" s="105">
        <f aca="true" t="shared" si="0" ref="I20:I27">H20/G20*100</f>
        <v>112.99133910726182</v>
      </c>
    </row>
    <row r="21" spans="1:9" ht="15.75">
      <c r="A21" s="22"/>
      <c r="B21" s="22"/>
      <c r="C21" s="22"/>
      <c r="D21" s="22"/>
      <c r="E21" s="22"/>
      <c r="F21" s="22" t="s">
        <v>101</v>
      </c>
      <c r="G21" s="58"/>
      <c r="I21" s="105"/>
    </row>
    <row r="22" spans="1:9" ht="33" customHeight="1">
      <c r="A22" s="22"/>
      <c r="B22" s="22"/>
      <c r="C22" s="22"/>
      <c r="D22" s="22"/>
      <c r="E22" s="22" t="s">
        <v>106</v>
      </c>
      <c r="F22" s="106" t="s">
        <v>107</v>
      </c>
      <c r="G22" s="58">
        <v>372</v>
      </c>
      <c r="H22" s="8">
        <v>100</v>
      </c>
      <c r="I22" s="105">
        <f t="shared" si="0"/>
        <v>26.881720430107524</v>
      </c>
    </row>
    <row r="23" spans="1:9" ht="15.75">
      <c r="A23" s="22"/>
      <c r="B23" s="22"/>
      <c r="C23" s="22"/>
      <c r="D23" s="22"/>
      <c r="E23" s="22"/>
      <c r="F23" s="22" t="s">
        <v>101</v>
      </c>
      <c r="G23" s="58"/>
      <c r="I23" s="105"/>
    </row>
    <row r="24" spans="1:9" ht="15.75">
      <c r="A24" s="22"/>
      <c r="B24" s="22"/>
      <c r="C24" s="22"/>
      <c r="D24" s="22"/>
      <c r="E24" s="22" t="s">
        <v>108</v>
      </c>
      <c r="F24" s="106" t="s">
        <v>109</v>
      </c>
      <c r="G24" s="58">
        <v>7507</v>
      </c>
      <c r="H24" s="8">
        <v>7507</v>
      </c>
      <c r="I24" s="105">
        <f t="shared" si="0"/>
        <v>100</v>
      </c>
    </row>
    <row r="25" spans="1:9" s="68" customFormat="1" ht="15.75">
      <c r="A25" s="22"/>
      <c r="B25" s="22"/>
      <c r="C25" s="22"/>
      <c r="D25" s="22"/>
      <c r="E25" s="22"/>
      <c r="F25" s="22" t="s">
        <v>101</v>
      </c>
      <c r="G25" s="58"/>
      <c r="I25" s="105"/>
    </row>
    <row r="26" spans="1:9" ht="15.75">
      <c r="A26" s="22"/>
      <c r="B26" s="22"/>
      <c r="C26" s="22"/>
      <c r="D26" s="22" t="s">
        <v>73</v>
      </c>
      <c r="E26" s="22" t="s">
        <v>110</v>
      </c>
      <c r="F26" s="22"/>
      <c r="G26" s="58">
        <v>4000</v>
      </c>
      <c r="H26" s="8">
        <v>4000</v>
      </c>
      <c r="I26" s="105">
        <f t="shared" si="0"/>
        <v>100</v>
      </c>
    </row>
    <row r="27" spans="1:9" ht="15.75">
      <c r="A27" s="22"/>
      <c r="B27" s="22"/>
      <c r="C27" s="22"/>
      <c r="D27" s="22"/>
      <c r="E27" s="22"/>
      <c r="F27" s="22" t="s">
        <v>101</v>
      </c>
      <c r="G27" s="58">
        <v>-69</v>
      </c>
      <c r="H27" s="8">
        <v>-239</v>
      </c>
      <c r="I27" s="105">
        <f t="shared" si="0"/>
        <v>346.3768115942029</v>
      </c>
    </row>
    <row r="28" spans="1:9" ht="15.75">
      <c r="A28" s="22"/>
      <c r="B28" s="22"/>
      <c r="C28" s="22"/>
      <c r="D28" s="22" t="s">
        <v>74</v>
      </c>
      <c r="E28" s="22" t="s">
        <v>174</v>
      </c>
      <c r="F28" s="22"/>
      <c r="G28" s="58"/>
      <c r="H28" s="8">
        <v>20</v>
      </c>
      <c r="I28" s="105"/>
    </row>
    <row r="29" spans="1:9" ht="15.75">
      <c r="A29" s="22"/>
      <c r="B29" s="22"/>
      <c r="C29" s="22"/>
      <c r="D29" s="22" t="s">
        <v>175</v>
      </c>
      <c r="E29" s="22" t="s">
        <v>126</v>
      </c>
      <c r="F29" s="22"/>
      <c r="G29" s="58"/>
      <c r="H29" s="8">
        <v>682</v>
      </c>
      <c r="I29" s="105"/>
    </row>
    <row r="30" spans="1:9" ht="15.75">
      <c r="A30" s="22"/>
      <c r="B30" s="22"/>
      <c r="C30" s="22" t="s">
        <v>32</v>
      </c>
      <c r="D30" s="354" t="s">
        <v>112</v>
      </c>
      <c r="E30" s="354"/>
      <c r="F30" s="354"/>
      <c r="G30" s="58">
        <v>5</v>
      </c>
      <c r="H30" s="8">
        <v>6</v>
      </c>
      <c r="I30" s="105">
        <f>H30/G30*100</f>
        <v>120</v>
      </c>
    </row>
    <row r="31" spans="1:9" ht="15.75">
      <c r="A31" s="22"/>
      <c r="B31" s="22"/>
      <c r="C31" s="22" t="s">
        <v>124</v>
      </c>
      <c r="D31" s="22" t="s">
        <v>176</v>
      </c>
      <c r="E31" s="22"/>
      <c r="F31" s="22"/>
      <c r="G31" s="58"/>
      <c r="H31" s="8">
        <v>48</v>
      </c>
      <c r="I31" s="105"/>
    </row>
    <row r="32" spans="1:9" s="68" customFormat="1" ht="15.75">
      <c r="A32" s="22"/>
      <c r="B32" s="22"/>
      <c r="C32" s="22"/>
      <c r="D32" s="22" t="s">
        <v>32</v>
      </c>
      <c r="E32" s="22" t="s">
        <v>111</v>
      </c>
      <c r="F32" s="22"/>
      <c r="G32" s="58">
        <v>842</v>
      </c>
      <c r="I32" s="105"/>
    </row>
    <row r="33" spans="1:9" ht="15.75">
      <c r="A33" s="22"/>
      <c r="B33" s="22"/>
      <c r="C33" s="22"/>
      <c r="D33" s="22"/>
      <c r="E33" s="22"/>
      <c r="F33" s="22" t="s">
        <v>101</v>
      </c>
      <c r="G33" s="58">
        <v>-421</v>
      </c>
      <c r="I33" s="105"/>
    </row>
    <row r="34" spans="1:9" ht="15.75">
      <c r="A34" s="22"/>
      <c r="B34" s="22"/>
      <c r="C34" s="22"/>
      <c r="D34" s="22"/>
      <c r="E34" s="22"/>
      <c r="F34" s="22"/>
      <c r="G34" s="58"/>
      <c r="I34" s="105"/>
    </row>
    <row r="35" spans="1:9" ht="31.5" customHeight="1">
      <c r="A35" s="109"/>
      <c r="B35" s="109"/>
      <c r="C35" s="110"/>
      <c r="D35" s="344" t="s">
        <v>113</v>
      </c>
      <c r="E35" s="344"/>
      <c r="F35" s="344"/>
      <c r="G35" s="111">
        <f>SUM(G15:G34)</f>
        <v>17778</v>
      </c>
      <c r="H35" s="111">
        <f>SUM(H15:H34)</f>
        <v>18069</v>
      </c>
      <c r="I35" s="133">
        <f>H35/G35*100</f>
        <v>101.63685453931825</v>
      </c>
    </row>
    <row r="36" spans="1:9" s="68" customFormat="1" ht="15.75">
      <c r="A36" s="19"/>
      <c r="B36" s="19"/>
      <c r="C36" s="19"/>
      <c r="D36" s="102"/>
      <c r="E36" s="102"/>
      <c r="F36" s="102"/>
      <c r="G36" s="104"/>
      <c r="I36" s="105"/>
    </row>
    <row r="37" spans="1:9" ht="15.75">
      <c r="A37" s="22"/>
      <c r="B37" s="22"/>
      <c r="C37" s="19" t="s">
        <v>57</v>
      </c>
      <c r="D37" s="365" t="s">
        <v>114</v>
      </c>
      <c r="E37" s="365"/>
      <c r="F37" s="365"/>
      <c r="G37" s="104"/>
      <c r="I37" s="105"/>
    </row>
    <row r="38" spans="1:9" ht="15.75">
      <c r="A38" s="22"/>
      <c r="B38" s="22"/>
      <c r="C38" s="22"/>
      <c r="D38" s="22" t="s">
        <v>56</v>
      </c>
      <c r="E38" s="22" t="s">
        <v>177</v>
      </c>
      <c r="F38" s="22"/>
      <c r="G38" s="58">
        <v>782</v>
      </c>
      <c r="H38" s="8">
        <f>326</f>
        <v>326</v>
      </c>
      <c r="I38" s="105">
        <f>H38/G38*100</f>
        <v>41.687979539641944</v>
      </c>
    </row>
    <row r="39" spans="1:9" ht="30.75" customHeight="1">
      <c r="A39" s="22"/>
      <c r="B39" s="22"/>
      <c r="C39" s="22"/>
      <c r="D39" s="22" t="s">
        <v>32</v>
      </c>
      <c r="E39" s="354" t="s">
        <v>178</v>
      </c>
      <c r="F39" s="354"/>
      <c r="G39" s="58"/>
      <c r="H39" s="8">
        <v>1990</v>
      </c>
      <c r="I39" s="105"/>
    </row>
    <row r="40" spans="1:9" ht="15.75">
      <c r="A40" s="22"/>
      <c r="B40" s="22"/>
      <c r="C40" s="22"/>
      <c r="D40" s="22" t="s">
        <v>57</v>
      </c>
      <c r="E40" s="22" t="s">
        <v>115</v>
      </c>
      <c r="F40" s="22"/>
      <c r="G40" s="58">
        <f>280+830</f>
        <v>1110</v>
      </c>
      <c r="H40" s="8">
        <v>1052</v>
      </c>
      <c r="I40" s="105">
        <f>H40/G40*100</f>
        <v>94.77477477477477</v>
      </c>
    </row>
    <row r="41" spans="1:9" ht="15.75">
      <c r="A41" s="22"/>
      <c r="B41" s="22"/>
      <c r="C41" s="22"/>
      <c r="D41" s="22" t="s">
        <v>116</v>
      </c>
      <c r="E41" s="22" t="s">
        <v>117</v>
      </c>
      <c r="F41" s="22"/>
      <c r="G41" s="58">
        <v>709</v>
      </c>
      <c r="I41" s="105"/>
    </row>
    <row r="42" spans="1:9" ht="15.75">
      <c r="A42" s="22"/>
      <c r="B42" s="22"/>
      <c r="C42" s="22"/>
      <c r="D42" s="22" t="s">
        <v>118</v>
      </c>
      <c r="E42" s="22" t="s">
        <v>119</v>
      </c>
      <c r="F42" s="22"/>
      <c r="G42" s="58">
        <v>2605</v>
      </c>
      <c r="H42" s="8">
        <v>3129</v>
      </c>
      <c r="I42" s="105">
        <f>H42/G42*100</f>
        <v>120.11516314779271</v>
      </c>
    </row>
    <row r="43" spans="1:9" ht="15.75">
      <c r="A43" s="22"/>
      <c r="B43" s="22"/>
      <c r="C43" s="22"/>
      <c r="D43" s="22"/>
      <c r="E43" s="22"/>
      <c r="F43" s="22"/>
      <c r="G43" s="58"/>
      <c r="I43" s="105"/>
    </row>
    <row r="44" spans="1:9" ht="33.75" customHeight="1">
      <c r="A44" s="109"/>
      <c r="B44" s="109"/>
      <c r="C44" s="344" t="s">
        <v>120</v>
      </c>
      <c r="D44" s="344"/>
      <c r="E44" s="344"/>
      <c r="F44" s="344"/>
      <c r="G44" s="112">
        <f>SUM(G38:G43)</f>
        <v>5206</v>
      </c>
      <c r="H44" s="112">
        <f>SUM(H38:H43)</f>
        <v>6497</v>
      </c>
      <c r="I44" s="133">
        <f>H44/G44*100</f>
        <v>124.79830964271994</v>
      </c>
    </row>
    <row r="45" spans="1:9" ht="16.5" thickBot="1">
      <c r="A45" s="109"/>
      <c r="B45" s="109"/>
      <c r="C45" s="332"/>
      <c r="D45" s="332"/>
      <c r="E45" s="332"/>
      <c r="F45" s="332"/>
      <c r="G45" s="112"/>
      <c r="H45" s="112"/>
      <c r="I45" s="133"/>
    </row>
    <row r="46" spans="1:9" ht="15.75">
      <c r="A46" s="356" t="s">
        <v>24</v>
      </c>
      <c r="B46" s="357"/>
      <c r="C46" s="357"/>
      <c r="D46" s="357"/>
      <c r="E46" s="357"/>
      <c r="F46" s="358"/>
      <c r="G46" s="87" t="s">
        <v>22</v>
      </c>
      <c r="H46" s="87" t="s">
        <v>22</v>
      </c>
      <c r="I46" s="87" t="s">
        <v>23</v>
      </c>
    </row>
    <row r="47" spans="1:9" ht="15.75">
      <c r="A47" s="359"/>
      <c r="B47" s="360"/>
      <c r="C47" s="360"/>
      <c r="D47" s="360"/>
      <c r="E47" s="360"/>
      <c r="F47" s="361"/>
      <c r="G47" s="88" t="s">
        <v>11</v>
      </c>
      <c r="H47" s="89" t="s">
        <v>11</v>
      </c>
      <c r="I47" s="88"/>
    </row>
    <row r="48" spans="1:9" ht="16.5" thickBot="1">
      <c r="A48" s="362"/>
      <c r="B48" s="363"/>
      <c r="C48" s="363"/>
      <c r="D48" s="363"/>
      <c r="E48" s="363"/>
      <c r="F48" s="364"/>
      <c r="G48" s="90" t="s">
        <v>76</v>
      </c>
      <c r="H48" s="90" t="s">
        <v>172</v>
      </c>
      <c r="I48" s="90" t="s">
        <v>25</v>
      </c>
    </row>
    <row r="49" spans="1:9" ht="12" customHeight="1">
      <c r="A49" s="22"/>
      <c r="B49" s="22"/>
      <c r="C49" s="22"/>
      <c r="D49" s="22"/>
      <c r="E49" s="22"/>
      <c r="F49" s="22"/>
      <c r="G49" s="58"/>
      <c r="H49" s="58"/>
      <c r="I49" s="105"/>
    </row>
    <row r="50" spans="1:9" ht="31.5" customHeight="1">
      <c r="A50" s="22"/>
      <c r="B50" s="22"/>
      <c r="C50" s="19" t="s">
        <v>116</v>
      </c>
      <c r="D50" s="365" t="s">
        <v>121</v>
      </c>
      <c r="E50" s="365"/>
      <c r="F50" s="365"/>
      <c r="G50" s="104"/>
      <c r="H50" s="104"/>
      <c r="I50" s="103"/>
    </row>
    <row r="51" spans="1:9" ht="15.75">
      <c r="A51" s="22"/>
      <c r="B51" s="22"/>
      <c r="C51" s="22"/>
      <c r="D51" s="22" t="s">
        <v>56</v>
      </c>
      <c r="E51" s="354" t="s">
        <v>69</v>
      </c>
      <c r="F51" s="354"/>
      <c r="G51" s="107"/>
      <c r="H51" s="107"/>
      <c r="I51" s="106"/>
    </row>
    <row r="52" spans="1:9" ht="31.5">
      <c r="A52" s="22"/>
      <c r="B52" s="22"/>
      <c r="C52" s="22"/>
      <c r="D52" s="22"/>
      <c r="E52" s="22" t="s">
        <v>74</v>
      </c>
      <c r="F52" s="106" t="s">
        <v>122</v>
      </c>
      <c r="G52" s="58">
        <v>808</v>
      </c>
      <c r="H52" s="107">
        <v>1200</v>
      </c>
      <c r="I52" s="105">
        <f>H52/G52*100</f>
        <v>148.5148514851485</v>
      </c>
    </row>
    <row r="53" spans="1:9" ht="12" customHeight="1">
      <c r="A53" s="22"/>
      <c r="B53" s="22"/>
      <c r="C53" s="22"/>
      <c r="D53" s="22"/>
      <c r="E53" s="22"/>
      <c r="F53" s="22"/>
      <c r="G53" s="58"/>
      <c r="H53" s="58"/>
      <c r="I53" s="105"/>
    </row>
    <row r="54" spans="1:9" ht="15.75">
      <c r="A54" s="109"/>
      <c r="B54" s="109"/>
      <c r="C54" s="367" t="s">
        <v>123</v>
      </c>
      <c r="D54" s="367"/>
      <c r="E54" s="367"/>
      <c r="F54" s="367"/>
      <c r="G54" s="112">
        <f>SUM(G52:G53)</f>
        <v>808</v>
      </c>
      <c r="H54" s="112">
        <f>SUM(H52:H53)</f>
        <v>1200</v>
      </c>
      <c r="I54" s="133">
        <f>H54/G54*100</f>
        <v>148.5148514851485</v>
      </c>
    </row>
    <row r="55" spans="1:9" ht="12" customHeight="1">
      <c r="A55" s="22"/>
      <c r="B55" s="22"/>
      <c r="C55" s="22"/>
      <c r="D55" s="22"/>
      <c r="E55" s="22"/>
      <c r="F55" s="22"/>
      <c r="G55" s="58"/>
      <c r="H55" s="58"/>
      <c r="I55" s="105"/>
    </row>
    <row r="56" spans="1:9" ht="15.75">
      <c r="A56" s="22"/>
      <c r="B56" s="22"/>
      <c r="C56" s="19" t="s">
        <v>118</v>
      </c>
      <c r="D56" s="365" t="s">
        <v>427</v>
      </c>
      <c r="E56" s="365"/>
      <c r="F56" s="365"/>
      <c r="G56" s="104"/>
      <c r="H56" s="104"/>
      <c r="I56" s="103"/>
    </row>
    <row r="57" spans="1:9" ht="15.75">
      <c r="A57" s="22"/>
      <c r="B57" s="22"/>
      <c r="C57" s="22"/>
      <c r="D57" s="22" t="s">
        <v>56</v>
      </c>
      <c r="E57" s="354" t="s">
        <v>428</v>
      </c>
      <c r="F57" s="354"/>
      <c r="G57" s="107"/>
      <c r="H57" s="107">
        <v>186</v>
      </c>
      <c r="I57" s="106"/>
    </row>
    <row r="58" spans="1:9" ht="15.75">
      <c r="A58" s="22"/>
      <c r="B58" s="22"/>
      <c r="C58" s="22"/>
      <c r="D58" s="22"/>
      <c r="E58" s="118"/>
      <c r="F58" s="118"/>
      <c r="G58" s="107"/>
      <c r="H58" s="107"/>
      <c r="I58" s="106"/>
    </row>
    <row r="59" spans="1:9" ht="15.75">
      <c r="A59" s="109"/>
      <c r="B59" s="109"/>
      <c r="C59" s="367" t="s">
        <v>429</v>
      </c>
      <c r="D59" s="367"/>
      <c r="E59" s="367"/>
      <c r="F59" s="367"/>
      <c r="G59" s="112"/>
      <c r="H59" s="112">
        <f>H57</f>
        <v>186</v>
      </c>
      <c r="I59" s="133"/>
    </row>
    <row r="60" spans="1:9" ht="12" customHeight="1">
      <c r="A60" s="22"/>
      <c r="B60" s="22"/>
      <c r="C60" s="22"/>
      <c r="D60" s="22"/>
      <c r="E60" s="22"/>
      <c r="F60" s="22"/>
      <c r="G60" s="58"/>
      <c r="H60" s="58"/>
      <c r="I60" s="105"/>
    </row>
    <row r="61" spans="1:9" ht="15.75">
      <c r="A61" s="115"/>
      <c r="B61" s="115"/>
      <c r="C61" s="119" t="s">
        <v>124</v>
      </c>
      <c r="D61" s="19" t="s">
        <v>125</v>
      </c>
      <c r="E61" s="115"/>
      <c r="F61" s="115"/>
      <c r="G61" s="120"/>
      <c r="H61" s="120"/>
      <c r="I61" s="105"/>
    </row>
    <row r="62" spans="1:9" ht="15.75">
      <c r="A62" s="115"/>
      <c r="B62" s="115"/>
      <c r="C62" s="115"/>
      <c r="D62" s="115" t="s">
        <v>56</v>
      </c>
      <c r="E62" s="368" t="s">
        <v>126</v>
      </c>
      <c r="F62" s="368"/>
      <c r="G62" s="120">
        <v>280</v>
      </c>
      <c r="H62" s="120"/>
      <c r="I62" s="105"/>
    </row>
    <row r="63" spans="1:9" ht="15.75">
      <c r="A63" s="115"/>
      <c r="B63" s="115"/>
      <c r="C63" s="8"/>
      <c r="D63" s="115" t="s">
        <v>32</v>
      </c>
      <c r="E63" s="121" t="s">
        <v>127</v>
      </c>
      <c r="F63" s="115"/>
      <c r="G63" s="120">
        <v>21</v>
      </c>
      <c r="H63" s="120"/>
      <c r="I63" s="105"/>
    </row>
    <row r="64" spans="1:9" ht="12" customHeight="1">
      <c r="A64" s="22"/>
      <c r="B64" s="22"/>
      <c r="C64" s="22"/>
      <c r="D64" s="22"/>
      <c r="E64" s="22"/>
      <c r="F64" s="22"/>
      <c r="G64" s="58"/>
      <c r="H64" s="58"/>
      <c r="I64" s="105"/>
    </row>
    <row r="65" spans="1:9" ht="15.75">
      <c r="A65" s="22"/>
      <c r="B65" s="22"/>
      <c r="C65" s="109" t="s">
        <v>173</v>
      </c>
      <c r="D65" s="22"/>
      <c r="E65" s="22"/>
      <c r="F65" s="22"/>
      <c r="G65" s="112">
        <f>SUM(G62:G64)</f>
        <v>301</v>
      </c>
      <c r="H65" s="112"/>
      <c r="I65" s="105"/>
    </row>
    <row r="66" spans="1:9" ht="12" customHeight="1">
      <c r="A66" s="22"/>
      <c r="B66" s="22"/>
      <c r="C66" s="19"/>
      <c r="D66" s="22"/>
      <c r="E66" s="22"/>
      <c r="F66" s="22"/>
      <c r="G66" s="58"/>
      <c r="H66" s="58"/>
      <c r="I66" s="105"/>
    </row>
    <row r="67" spans="1:9" ht="15.75">
      <c r="A67" s="115"/>
      <c r="B67" s="365" t="s">
        <v>128</v>
      </c>
      <c r="C67" s="365"/>
      <c r="D67" s="365"/>
      <c r="E67" s="365"/>
      <c r="F67" s="365"/>
      <c r="G67" s="122">
        <f>G35+G44+G54+G65</f>
        <v>24093</v>
      </c>
      <c r="H67" s="122">
        <f>H35+H44+H54+H65+H59</f>
        <v>25952</v>
      </c>
      <c r="I67" s="123">
        <f>H67/G67*100</f>
        <v>107.71593408873947</v>
      </c>
    </row>
    <row r="68" spans="1:9" ht="12" customHeight="1">
      <c r="A68" s="22"/>
      <c r="B68" s="22"/>
      <c r="C68" s="22"/>
      <c r="D68" s="22"/>
      <c r="E68" s="22"/>
      <c r="F68" s="22"/>
      <c r="G68" s="58"/>
      <c r="H68" s="58"/>
      <c r="I68" s="105"/>
    </row>
    <row r="69" spans="1:9" ht="15.75">
      <c r="A69" s="115"/>
      <c r="B69" s="19" t="s">
        <v>67</v>
      </c>
      <c r="C69" s="365" t="s">
        <v>129</v>
      </c>
      <c r="D69" s="365"/>
      <c r="E69" s="365"/>
      <c r="F69" s="365"/>
      <c r="G69" s="103"/>
      <c r="H69" s="104"/>
      <c r="I69" s="105"/>
    </row>
    <row r="70" spans="1:9" ht="31.5" customHeight="1">
      <c r="A70" s="115"/>
      <c r="B70" s="115"/>
      <c r="C70" s="8" t="s">
        <v>56</v>
      </c>
      <c r="D70" s="338" t="s">
        <v>95</v>
      </c>
      <c r="E70" s="338"/>
      <c r="F70" s="338"/>
      <c r="G70" s="120">
        <v>7433</v>
      </c>
      <c r="H70" s="120"/>
      <c r="I70" s="105"/>
    </row>
    <row r="71" spans="1:9" ht="15.75">
      <c r="A71" s="22"/>
      <c r="B71" s="22"/>
      <c r="C71" s="22" t="s">
        <v>32</v>
      </c>
      <c r="D71" s="22" t="s">
        <v>130</v>
      </c>
      <c r="E71" s="22"/>
      <c r="F71" s="22"/>
      <c r="G71" s="120">
        <v>437</v>
      </c>
      <c r="H71" s="58">
        <v>633</v>
      </c>
      <c r="I71" s="105"/>
    </row>
    <row r="72" spans="1:9" ht="30" customHeight="1">
      <c r="A72" s="22"/>
      <c r="B72" s="22"/>
      <c r="C72" s="22" t="s">
        <v>57</v>
      </c>
      <c r="D72" s="338" t="s">
        <v>420</v>
      </c>
      <c r="E72" s="338"/>
      <c r="F72" s="338"/>
      <c r="G72" s="120"/>
      <c r="H72" s="58">
        <v>46</v>
      </c>
      <c r="I72" s="105"/>
    </row>
    <row r="73" spans="1:9" ht="12" customHeight="1">
      <c r="A73" s="22"/>
      <c r="B73" s="22"/>
      <c r="C73" s="22"/>
      <c r="D73" s="22"/>
      <c r="E73" s="22"/>
      <c r="F73" s="22"/>
      <c r="G73" s="58"/>
      <c r="H73" s="58"/>
      <c r="I73" s="105"/>
    </row>
    <row r="74" spans="1:9" ht="15.75" customHeight="1">
      <c r="A74" s="115"/>
      <c r="B74" s="365" t="s">
        <v>131</v>
      </c>
      <c r="C74" s="365"/>
      <c r="D74" s="365"/>
      <c r="E74" s="365"/>
      <c r="F74" s="365"/>
      <c r="G74" s="122">
        <f>SUM(G70:G73)</f>
        <v>7870</v>
      </c>
      <c r="H74" s="122">
        <f>SUM(H70:H73)</f>
        <v>679</v>
      </c>
      <c r="I74" s="123"/>
    </row>
    <row r="75" spans="1:9" ht="12" customHeight="1">
      <c r="A75" s="22"/>
      <c r="B75" s="22"/>
      <c r="C75" s="22"/>
      <c r="D75" s="22"/>
      <c r="E75" s="22"/>
      <c r="F75" s="22"/>
      <c r="G75" s="58"/>
      <c r="H75" s="58"/>
      <c r="I75" s="105"/>
    </row>
    <row r="76" spans="1:9" ht="36" customHeight="1">
      <c r="A76" s="365" t="s">
        <v>132</v>
      </c>
      <c r="B76" s="365"/>
      <c r="C76" s="365"/>
      <c r="D76" s="365"/>
      <c r="E76" s="365"/>
      <c r="F76" s="365"/>
      <c r="G76" s="124">
        <f>G74+G67</f>
        <v>31963</v>
      </c>
      <c r="H76" s="124">
        <f>H74+H67</f>
        <v>26631</v>
      </c>
      <c r="I76" s="105">
        <f>H76/G76*100</f>
        <v>83.31821168225761</v>
      </c>
    </row>
    <row r="77" spans="1:9" ht="12" customHeight="1">
      <c r="A77" s="22"/>
      <c r="B77" s="22"/>
      <c r="C77" s="22"/>
      <c r="D77" s="22"/>
      <c r="E77" s="22"/>
      <c r="F77" s="22"/>
      <c r="G77" s="58"/>
      <c r="H77" s="58"/>
      <c r="I77" s="105"/>
    </row>
    <row r="78" spans="1:9" s="91" customFormat="1" ht="15.75" customHeight="1">
      <c r="A78" s="19" t="s">
        <v>67</v>
      </c>
      <c r="B78" s="365" t="s">
        <v>133</v>
      </c>
      <c r="C78" s="365"/>
      <c r="D78" s="365"/>
      <c r="E78" s="365"/>
      <c r="F78" s="365"/>
      <c r="G78" s="103"/>
      <c r="H78" s="104"/>
      <c r="I78" s="105"/>
    </row>
    <row r="79" spans="1:9" ht="12" customHeight="1">
      <c r="A79" s="22"/>
      <c r="B79" s="22"/>
      <c r="C79" s="22"/>
      <c r="D79" s="22"/>
      <c r="E79" s="22"/>
      <c r="F79" s="22"/>
      <c r="G79" s="58"/>
      <c r="H79" s="58"/>
      <c r="I79" s="105"/>
    </row>
    <row r="80" spans="1:9" s="91" customFormat="1" ht="27.75" customHeight="1">
      <c r="A80" s="22"/>
      <c r="B80" s="19" t="s">
        <v>56</v>
      </c>
      <c r="C80" s="365" t="s">
        <v>134</v>
      </c>
      <c r="D80" s="365"/>
      <c r="E80" s="365"/>
      <c r="F80" s="365"/>
      <c r="G80" s="103"/>
      <c r="H80" s="104"/>
      <c r="I80" s="105"/>
    </row>
    <row r="81" spans="3:9" ht="35.25" customHeight="1">
      <c r="C81" s="82" t="s">
        <v>56</v>
      </c>
      <c r="D81" s="338" t="s">
        <v>94</v>
      </c>
      <c r="E81" s="338"/>
      <c r="F81" s="338"/>
      <c r="G81" s="125">
        <v>4390</v>
      </c>
      <c r="H81" s="125"/>
      <c r="I81" s="10"/>
    </row>
    <row r="82" spans="3:9" ht="35.25" customHeight="1">
      <c r="C82" s="82" t="s">
        <v>32</v>
      </c>
      <c r="D82" s="338" t="s">
        <v>179</v>
      </c>
      <c r="E82" s="338"/>
      <c r="F82" s="338"/>
      <c r="G82" s="125"/>
      <c r="H82" s="125">
        <f>9743+185</f>
        <v>9928</v>
      </c>
      <c r="I82" s="10"/>
    </row>
    <row r="83" spans="1:9" ht="12" customHeight="1">
      <c r="A83" s="22"/>
      <c r="B83" s="22"/>
      <c r="C83" s="22"/>
      <c r="D83" s="22"/>
      <c r="E83" s="22"/>
      <c r="F83" s="22"/>
      <c r="G83" s="58"/>
      <c r="H83" s="58"/>
      <c r="I83" s="105"/>
    </row>
    <row r="84" spans="1:9" ht="15.75">
      <c r="A84" s="115"/>
      <c r="B84" s="365" t="s">
        <v>135</v>
      </c>
      <c r="C84" s="365"/>
      <c r="D84" s="365"/>
      <c r="E84" s="365"/>
      <c r="F84" s="365"/>
      <c r="G84" s="126">
        <f>SUM(G81:G83)</f>
        <v>4390</v>
      </c>
      <c r="H84" s="126">
        <f>SUM(H81:H83)</f>
        <v>9928</v>
      </c>
      <c r="I84" s="105">
        <f>H84/G84*100</f>
        <v>226.15034168564918</v>
      </c>
    </row>
    <row r="85" spans="1:9" ht="12" customHeight="1">
      <c r="A85" s="22"/>
      <c r="B85" s="22"/>
      <c r="C85" s="22"/>
      <c r="D85" s="22"/>
      <c r="E85" s="22"/>
      <c r="F85" s="22"/>
      <c r="G85" s="58"/>
      <c r="H85" s="58"/>
      <c r="I85" s="105"/>
    </row>
    <row r="86" spans="1:9" ht="34.5" customHeight="1">
      <c r="A86" s="365" t="s">
        <v>136</v>
      </c>
      <c r="B86" s="365"/>
      <c r="C86" s="365"/>
      <c r="D86" s="365"/>
      <c r="E86" s="365"/>
      <c r="F86" s="365"/>
      <c r="G86" s="122">
        <f>G84</f>
        <v>4390</v>
      </c>
      <c r="H86" s="122">
        <f>H84</f>
        <v>9928</v>
      </c>
      <c r="I86" s="123">
        <f>H86/G86*100</f>
        <v>226.15034168564918</v>
      </c>
    </row>
    <row r="87" spans="1:9" ht="12" customHeight="1">
      <c r="A87" s="22"/>
      <c r="B87" s="22"/>
      <c r="C87" s="22"/>
      <c r="D87" s="22"/>
      <c r="E87" s="22"/>
      <c r="F87" s="22"/>
      <c r="G87" s="58"/>
      <c r="H87" s="58"/>
      <c r="I87" s="105"/>
    </row>
    <row r="88" spans="1:9" ht="15.75">
      <c r="A88" s="19" t="s">
        <v>68</v>
      </c>
      <c r="B88" s="19" t="s">
        <v>137</v>
      </c>
      <c r="C88" s="19"/>
      <c r="D88" s="19"/>
      <c r="E88" s="19"/>
      <c r="F88" s="19"/>
      <c r="G88" s="19"/>
      <c r="H88" s="59"/>
      <c r="I88" s="105"/>
    </row>
    <row r="89" spans="1:9" ht="12" customHeight="1">
      <c r="A89" s="22"/>
      <c r="B89" s="22"/>
      <c r="C89" s="22"/>
      <c r="D89" s="22"/>
      <c r="E89" s="22"/>
      <c r="F89" s="22"/>
      <c r="G89" s="58"/>
      <c r="H89" s="58"/>
      <c r="I89" s="105"/>
    </row>
    <row r="90" spans="1:9" ht="15.75">
      <c r="A90" s="22"/>
      <c r="B90" s="22" t="s">
        <v>56</v>
      </c>
      <c r="C90" s="22" t="s">
        <v>138</v>
      </c>
      <c r="D90" s="22"/>
      <c r="E90" s="22"/>
      <c r="F90" s="22"/>
      <c r="G90" s="22"/>
      <c r="H90" s="58"/>
      <c r="I90" s="105"/>
    </row>
    <row r="91" spans="1:9" ht="15.75">
      <c r="A91" s="22"/>
      <c r="B91" s="22"/>
      <c r="C91" s="22" t="s">
        <v>56</v>
      </c>
      <c r="D91" s="22" t="s">
        <v>139</v>
      </c>
      <c r="E91" s="22"/>
      <c r="F91" s="22"/>
      <c r="G91" s="120">
        <v>1600</v>
      </c>
      <c r="H91" s="58">
        <v>1500</v>
      </c>
      <c r="I91" s="105">
        <f>H91/G91*100</f>
        <v>93.75</v>
      </c>
    </row>
    <row r="92" ht="16.5" thickBot="1"/>
    <row r="93" spans="1:9" ht="15.75" customHeight="1">
      <c r="A93" s="356" t="s">
        <v>24</v>
      </c>
      <c r="B93" s="357"/>
      <c r="C93" s="357"/>
      <c r="D93" s="357"/>
      <c r="E93" s="357"/>
      <c r="F93" s="358"/>
      <c r="G93" s="113" t="s">
        <v>22</v>
      </c>
      <c r="H93" s="113" t="s">
        <v>22</v>
      </c>
      <c r="I93" s="114" t="s">
        <v>23</v>
      </c>
    </row>
    <row r="94" spans="1:9" ht="15.75">
      <c r="A94" s="359"/>
      <c r="B94" s="360"/>
      <c r="C94" s="360"/>
      <c r="D94" s="360"/>
      <c r="E94" s="360"/>
      <c r="F94" s="361"/>
      <c r="G94" s="116" t="s">
        <v>11</v>
      </c>
      <c r="H94" s="116" t="s">
        <v>11</v>
      </c>
      <c r="I94" s="88"/>
    </row>
    <row r="95" spans="1:9" s="91" customFormat="1" ht="15.75" customHeight="1" thickBot="1">
      <c r="A95" s="362"/>
      <c r="B95" s="363"/>
      <c r="C95" s="363"/>
      <c r="D95" s="363"/>
      <c r="E95" s="363"/>
      <c r="F95" s="364"/>
      <c r="G95" s="117" t="s">
        <v>76</v>
      </c>
      <c r="H95" s="117" t="s">
        <v>262</v>
      </c>
      <c r="I95" s="90" t="s">
        <v>25</v>
      </c>
    </row>
    <row r="96" spans="1:9" ht="15.75">
      <c r="A96" s="19"/>
      <c r="B96" s="19" t="s">
        <v>32</v>
      </c>
      <c r="C96" s="19" t="s">
        <v>140</v>
      </c>
      <c r="D96" s="19"/>
      <c r="E96" s="19"/>
      <c r="F96" s="19"/>
      <c r="G96" s="19"/>
      <c r="H96" s="59"/>
      <c r="I96" s="105"/>
    </row>
    <row r="97" spans="1:9" s="9" customFormat="1" ht="15.75">
      <c r="A97" s="22"/>
      <c r="B97" s="22"/>
      <c r="C97" s="22" t="s">
        <v>56</v>
      </c>
      <c r="D97" s="22" t="s">
        <v>141</v>
      </c>
      <c r="E97" s="22"/>
      <c r="F97" s="22"/>
      <c r="G97" s="120">
        <v>4500</v>
      </c>
      <c r="H97" s="58">
        <v>3900</v>
      </c>
      <c r="I97" s="105">
        <f>H97/G97*100</f>
        <v>86.66666666666667</v>
      </c>
    </row>
    <row r="98" spans="1:9" ht="15.75">
      <c r="A98" s="19"/>
      <c r="B98" s="19" t="s">
        <v>57</v>
      </c>
      <c r="C98" s="19" t="s">
        <v>142</v>
      </c>
      <c r="D98" s="19"/>
      <c r="E98" s="19"/>
      <c r="F98" s="19"/>
      <c r="G98" s="120"/>
      <c r="H98" s="59"/>
      <c r="I98" s="105"/>
    </row>
    <row r="99" spans="1:9" ht="15.75">
      <c r="A99" s="22"/>
      <c r="B99" s="22"/>
      <c r="C99" s="22" t="s">
        <v>56</v>
      </c>
      <c r="D99" s="22" t="s">
        <v>143</v>
      </c>
      <c r="E99" s="22"/>
      <c r="F99" s="22"/>
      <c r="G99" s="120">
        <v>1760</v>
      </c>
      <c r="H99" s="58">
        <v>1913</v>
      </c>
      <c r="I99" s="105">
        <f>H99/G99*100</f>
        <v>108.69318181818181</v>
      </c>
    </row>
    <row r="100" spans="1:9" ht="15.75">
      <c r="A100" s="22"/>
      <c r="B100" s="19" t="s">
        <v>116</v>
      </c>
      <c r="C100" s="19" t="s">
        <v>144</v>
      </c>
      <c r="D100" s="22"/>
      <c r="E100" s="22"/>
      <c r="F100" s="22"/>
      <c r="G100" s="120"/>
      <c r="H100" s="58"/>
      <c r="I100" s="105"/>
    </row>
    <row r="101" spans="1:9" ht="15.75">
      <c r="A101" s="22"/>
      <c r="B101" s="22"/>
      <c r="C101" s="22" t="s">
        <v>56</v>
      </c>
      <c r="D101" s="22" t="s">
        <v>145</v>
      </c>
      <c r="E101" s="22"/>
      <c r="F101" s="22"/>
      <c r="G101" s="120">
        <v>400</v>
      </c>
      <c r="H101" s="58">
        <v>140</v>
      </c>
      <c r="I101" s="105">
        <f>H101/G101*100</f>
        <v>35</v>
      </c>
    </row>
    <row r="102" spans="1:9" ht="15.75">
      <c r="A102" s="22"/>
      <c r="B102" s="22"/>
      <c r="C102" s="19" t="s">
        <v>32</v>
      </c>
      <c r="D102" s="22" t="s">
        <v>93</v>
      </c>
      <c r="E102" s="22"/>
      <c r="F102" s="22"/>
      <c r="G102" s="120">
        <v>357</v>
      </c>
      <c r="H102" s="58">
        <v>280</v>
      </c>
      <c r="I102" s="105">
        <f>H102/G102*100</f>
        <v>78.43137254901961</v>
      </c>
    </row>
    <row r="103" spans="1:9" ht="15.75">
      <c r="A103" s="19"/>
      <c r="B103" s="19" t="s">
        <v>118</v>
      </c>
      <c r="C103" s="19" t="s">
        <v>146</v>
      </c>
      <c r="D103" s="19"/>
      <c r="E103" s="19"/>
      <c r="F103" s="19"/>
      <c r="G103" s="120"/>
      <c r="H103" s="59"/>
      <c r="I103" s="105"/>
    </row>
    <row r="104" spans="1:9" ht="15.75">
      <c r="A104" s="22"/>
      <c r="B104" s="22"/>
      <c r="C104" s="19" t="s">
        <v>56</v>
      </c>
      <c r="D104" s="22" t="s">
        <v>147</v>
      </c>
      <c r="E104" s="22"/>
      <c r="F104" s="22"/>
      <c r="G104" s="120">
        <v>30</v>
      </c>
      <c r="H104" s="58">
        <v>5</v>
      </c>
      <c r="I104" s="105">
        <f>H104/G104*100</f>
        <v>16.666666666666664</v>
      </c>
    </row>
    <row r="105" spans="1:9" ht="15.75" customHeight="1">
      <c r="A105" s="115"/>
      <c r="B105" s="115"/>
      <c r="C105" s="115" t="s">
        <v>57</v>
      </c>
      <c r="D105" s="121" t="s">
        <v>146</v>
      </c>
      <c r="E105" s="115"/>
      <c r="F105" s="115"/>
      <c r="G105" s="120">
        <v>30</v>
      </c>
      <c r="H105" s="120"/>
      <c r="I105" s="105"/>
    </row>
    <row r="106" spans="1:9" ht="15.75">
      <c r="A106" s="22"/>
      <c r="B106" s="22"/>
      <c r="C106" s="19" t="s">
        <v>116</v>
      </c>
      <c r="D106" s="22" t="s">
        <v>148</v>
      </c>
      <c r="E106" s="22"/>
      <c r="F106" s="22"/>
      <c r="G106" s="120">
        <v>120</v>
      </c>
      <c r="H106" s="58">
        <v>75</v>
      </c>
      <c r="I106" s="105">
        <f>H106/G106*100</f>
        <v>62.5</v>
      </c>
    </row>
    <row r="107" spans="1:9" ht="9" customHeight="1">
      <c r="A107" s="115"/>
      <c r="B107" s="115"/>
      <c r="C107" s="115"/>
      <c r="D107" s="115"/>
      <c r="E107" s="115"/>
      <c r="F107" s="115"/>
      <c r="G107" s="120"/>
      <c r="H107" s="120"/>
      <c r="I107" s="105"/>
    </row>
    <row r="108" spans="1:9" s="9" customFormat="1" ht="15.75">
      <c r="A108" s="19" t="s">
        <v>77</v>
      </c>
      <c r="B108" s="115"/>
      <c r="C108" s="115"/>
      <c r="D108" s="115"/>
      <c r="E108" s="115"/>
      <c r="F108" s="115"/>
      <c r="G108" s="122">
        <f>G91+G97+G99+G101+G102+G104+G105+G106</f>
        <v>8797</v>
      </c>
      <c r="H108" s="122">
        <f>H91+H97+H99+H101+H102+H104+H105+H106</f>
        <v>7813</v>
      </c>
      <c r="I108" s="123">
        <f>H108/G108*100</f>
        <v>88.81436853472775</v>
      </c>
    </row>
    <row r="109" spans="1:9" ht="9" customHeight="1">
      <c r="A109" s="115"/>
      <c r="B109" s="115"/>
      <c r="C109" s="115"/>
      <c r="D109" s="115"/>
      <c r="E109" s="115"/>
      <c r="F109" s="115"/>
      <c r="G109" s="120"/>
      <c r="H109" s="120"/>
      <c r="I109" s="105"/>
    </row>
    <row r="110" spans="1:9" ht="15.75">
      <c r="A110" s="19" t="s">
        <v>149</v>
      </c>
      <c r="B110" s="19" t="s">
        <v>70</v>
      </c>
      <c r="C110" s="19"/>
      <c r="D110" s="19"/>
      <c r="E110" s="19"/>
      <c r="F110" s="19"/>
      <c r="G110" s="19"/>
      <c r="H110" s="59"/>
      <c r="I110" s="105"/>
    </row>
    <row r="111" spans="1:9" ht="9" customHeight="1">
      <c r="A111" s="115"/>
      <c r="B111" s="115"/>
      <c r="C111" s="115"/>
      <c r="D111" s="115"/>
      <c r="E111" s="115"/>
      <c r="F111" s="115"/>
      <c r="G111" s="120"/>
      <c r="H111" s="120"/>
      <c r="I111" s="105"/>
    </row>
    <row r="112" spans="1:9" ht="15.75">
      <c r="A112" s="115"/>
      <c r="B112" s="115" t="s">
        <v>56</v>
      </c>
      <c r="C112" s="368" t="s">
        <v>150</v>
      </c>
      <c r="D112" s="368"/>
      <c r="E112" s="368"/>
      <c r="F112" s="368"/>
      <c r="G112" s="120"/>
      <c r="H112" s="120"/>
      <c r="I112" s="105"/>
    </row>
    <row r="113" spans="1:9" ht="15.75">
      <c r="A113" s="115"/>
      <c r="B113" s="115"/>
      <c r="C113" s="115" t="s">
        <v>56</v>
      </c>
      <c r="D113" s="121" t="s">
        <v>158</v>
      </c>
      <c r="E113" s="121"/>
      <c r="F113" s="121"/>
      <c r="G113" s="120">
        <v>183</v>
      </c>
      <c r="H113" s="120">
        <v>180</v>
      </c>
      <c r="I113" s="105">
        <f>H113/G113*100</f>
        <v>98.36065573770492</v>
      </c>
    </row>
    <row r="114" spans="1:9" ht="15.75">
      <c r="A114" s="115"/>
      <c r="B114" s="115"/>
      <c r="C114" s="115" t="s">
        <v>32</v>
      </c>
      <c r="D114" s="121" t="s">
        <v>153</v>
      </c>
      <c r="E114" s="121"/>
      <c r="F114" s="121"/>
      <c r="G114" s="120"/>
      <c r="H114" s="120"/>
      <c r="I114" s="105"/>
    </row>
    <row r="115" spans="1:9" ht="15.75">
      <c r="A115" s="115"/>
      <c r="B115" s="115"/>
      <c r="C115" s="115"/>
      <c r="D115" s="121" t="s">
        <v>56</v>
      </c>
      <c r="E115" s="121" t="s">
        <v>154</v>
      </c>
      <c r="F115" s="121"/>
      <c r="G115" s="120">
        <v>76</v>
      </c>
      <c r="H115" s="120">
        <v>20</v>
      </c>
      <c r="I115" s="105">
        <f>H115/G115*100</f>
        <v>26.31578947368421</v>
      </c>
    </row>
    <row r="116" spans="1:9" ht="15.75">
      <c r="A116" s="115"/>
      <c r="B116" s="115"/>
      <c r="C116" s="115"/>
      <c r="D116" s="121" t="s">
        <v>32</v>
      </c>
      <c r="E116" s="121" t="s">
        <v>155</v>
      </c>
      <c r="F116" s="121"/>
      <c r="G116" s="120">
        <v>381</v>
      </c>
      <c r="H116" s="120">
        <v>820</v>
      </c>
      <c r="I116" s="105">
        <f>H116/G116*100</f>
        <v>215.2230971128609</v>
      </c>
    </row>
    <row r="117" spans="1:9" ht="15.75">
      <c r="A117" s="115"/>
      <c r="B117" s="115"/>
      <c r="C117" s="115"/>
      <c r="D117" s="121" t="s">
        <v>57</v>
      </c>
      <c r="E117" s="121" t="s">
        <v>444</v>
      </c>
      <c r="F117" s="121"/>
      <c r="G117" s="120">
        <v>10</v>
      </c>
      <c r="H117" s="120">
        <v>2</v>
      </c>
      <c r="I117" s="105">
        <f>H117/G117*100</f>
        <v>20</v>
      </c>
    </row>
    <row r="118" spans="1:9" ht="15.75">
      <c r="A118" s="115"/>
      <c r="B118" s="115"/>
      <c r="C118" s="115"/>
      <c r="D118" s="121" t="s">
        <v>116</v>
      </c>
      <c r="E118" s="121" t="s">
        <v>78</v>
      </c>
      <c r="F118" s="121"/>
      <c r="G118" s="120">
        <v>8</v>
      </c>
      <c r="H118" s="120">
        <v>1</v>
      </c>
      <c r="I118" s="105">
        <f>H118/G118*100</f>
        <v>12.5</v>
      </c>
    </row>
    <row r="119" spans="1:9" ht="15.75">
      <c r="A119" s="115"/>
      <c r="B119" s="115"/>
      <c r="C119" s="115"/>
      <c r="D119" s="121" t="s">
        <v>118</v>
      </c>
      <c r="E119" s="121" t="s">
        <v>445</v>
      </c>
      <c r="F119" s="121"/>
      <c r="G119" s="120">
        <v>35</v>
      </c>
      <c r="H119" s="120">
        <v>85</v>
      </c>
      <c r="I119" s="105">
        <f>H119/G119*100</f>
        <v>242.85714285714283</v>
      </c>
    </row>
    <row r="120" spans="1:9" ht="15.75">
      <c r="A120" s="115"/>
      <c r="B120" s="115"/>
      <c r="C120" s="115" t="s">
        <v>57</v>
      </c>
      <c r="D120" s="121" t="s">
        <v>180</v>
      </c>
      <c r="E120" s="121"/>
      <c r="F120" s="121"/>
      <c r="G120" s="120"/>
      <c r="H120" s="120"/>
      <c r="I120" s="105"/>
    </row>
    <row r="121" spans="1:9" ht="15.75">
      <c r="A121" s="115"/>
      <c r="B121" s="115"/>
      <c r="D121" s="115" t="s">
        <v>56</v>
      </c>
      <c r="E121" s="121" t="s">
        <v>151</v>
      </c>
      <c r="F121" s="115"/>
      <c r="G121" s="120">
        <v>2</v>
      </c>
      <c r="H121" s="120">
        <v>40</v>
      </c>
      <c r="I121" s="105">
        <f>H121/G121*100</f>
        <v>2000</v>
      </c>
    </row>
    <row r="122" spans="1:9" ht="15.75">
      <c r="A122" s="115"/>
      <c r="B122" s="115"/>
      <c r="D122" s="115" t="s">
        <v>32</v>
      </c>
      <c r="E122" s="121" t="s">
        <v>152</v>
      </c>
      <c r="F122" s="121"/>
      <c r="G122" s="120">
        <v>1690</v>
      </c>
      <c r="H122" s="120">
        <v>1149</v>
      </c>
      <c r="I122" s="105">
        <f>H122/G122*100</f>
        <v>67.98816568047337</v>
      </c>
    </row>
    <row r="123" spans="4:9" ht="15.75">
      <c r="D123" s="82" t="s">
        <v>57</v>
      </c>
      <c r="E123" s="121" t="s">
        <v>79</v>
      </c>
      <c r="G123" s="120">
        <v>460</v>
      </c>
      <c r="H123" s="120">
        <v>340</v>
      </c>
      <c r="I123" s="105">
        <f>H123/G123*100</f>
        <v>73.91304347826086</v>
      </c>
    </row>
    <row r="124" spans="1:9" ht="15.75">
      <c r="A124" s="115"/>
      <c r="B124" s="115" t="s">
        <v>32</v>
      </c>
      <c r="C124" s="121" t="s">
        <v>156</v>
      </c>
      <c r="D124" s="121"/>
      <c r="E124" s="121"/>
      <c r="F124" s="121"/>
      <c r="G124" s="120"/>
      <c r="H124" s="120"/>
      <c r="I124" s="105"/>
    </row>
    <row r="125" spans="1:9" ht="15.75">
      <c r="A125" s="115"/>
      <c r="B125" s="115"/>
      <c r="C125" s="115" t="s">
        <v>56</v>
      </c>
      <c r="D125" s="121" t="s">
        <v>446</v>
      </c>
      <c r="E125" s="121"/>
      <c r="F125" s="121"/>
      <c r="G125" s="120">
        <v>2652</v>
      </c>
      <c r="H125" s="120">
        <v>2593</v>
      </c>
      <c r="I125" s="105">
        <f>H125/G125*100</f>
        <v>97.77526395173453</v>
      </c>
    </row>
    <row r="126" spans="1:9" ht="15.75">
      <c r="A126" s="115"/>
      <c r="B126" s="115" t="s">
        <v>57</v>
      </c>
      <c r="C126" s="121" t="s">
        <v>157</v>
      </c>
      <c r="D126" s="121"/>
      <c r="E126" s="121"/>
      <c r="F126" s="121"/>
      <c r="G126" s="120"/>
      <c r="H126" s="120"/>
      <c r="I126" s="105"/>
    </row>
    <row r="127" spans="1:9" ht="15.75">
      <c r="A127" s="115"/>
      <c r="B127" s="115"/>
      <c r="C127" s="115" t="s">
        <v>56</v>
      </c>
      <c r="D127" s="121" t="s">
        <v>90</v>
      </c>
      <c r="E127" s="121"/>
      <c r="F127" s="121"/>
      <c r="G127" s="120">
        <v>1307</v>
      </c>
      <c r="H127" s="120">
        <f>1107</f>
        <v>1107</v>
      </c>
      <c r="I127" s="105">
        <f>H127/G127*100</f>
        <v>84.69778117827084</v>
      </c>
    </row>
    <row r="128" spans="1:9" ht="15.75">
      <c r="A128" s="115"/>
      <c r="B128" s="115" t="s">
        <v>116</v>
      </c>
      <c r="C128" s="121" t="s">
        <v>159</v>
      </c>
      <c r="D128" s="115"/>
      <c r="E128" s="115"/>
      <c r="F128" s="115"/>
      <c r="G128" s="120">
        <v>1722</v>
      </c>
      <c r="H128" s="120">
        <v>1489</v>
      </c>
      <c r="I128" s="105">
        <f>H128/G128*100</f>
        <v>86.46922183507549</v>
      </c>
    </row>
    <row r="129" spans="1:9" ht="15.75">
      <c r="A129" s="115"/>
      <c r="B129" s="115" t="s">
        <v>118</v>
      </c>
      <c r="C129" s="121" t="s">
        <v>160</v>
      </c>
      <c r="D129" s="115"/>
      <c r="E129" s="115"/>
      <c r="F129" s="115"/>
      <c r="G129" s="120">
        <v>642</v>
      </c>
      <c r="H129" s="120">
        <v>1409</v>
      </c>
      <c r="I129" s="105">
        <f>H129/G129*100</f>
        <v>219.47040498442368</v>
      </c>
    </row>
    <row r="130" spans="1:9" ht="15.75">
      <c r="A130" s="115"/>
      <c r="B130" s="115" t="s">
        <v>124</v>
      </c>
      <c r="C130" s="121" t="s">
        <v>161</v>
      </c>
      <c r="D130" s="115"/>
      <c r="E130" s="115"/>
      <c r="F130" s="115"/>
      <c r="G130" s="120">
        <v>100</v>
      </c>
      <c r="H130" s="120">
        <f>2+756</f>
        <v>758</v>
      </c>
      <c r="I130" s="105">
        <f>H130/G130*100</f>
        <v>758</v>
      </c>
    </row>
    <row r="131" spans="1:9" ht="9" customHeight="1">
      <c r="A131" s="115"/>
      <c r="B131" s="115"/>
      <c r="C131" s="115"/>
      <c r="D131" s="115"/>
      <c r="E131" s="115"/>
      <c r="F131" s="115"/>
      <c r="G131" s="120"/>
      <c r="H131" s="120"/>
      <c r="I131" s="105"/>
    </row>
    <row r="132" spans="1:9" ht="15.75">
      <c r="A132" s="19" t="s">
        <v>26</v>
      </c>
      <c r="B132" s="115"/>
      <c r="C132" s="115"/>
      <c r="D132" s="115"/>
      <c r="E132" s="115"/>
      <c r="F132" s="115"/>
      <c r="G132" s="122">
        <f>SUM(G112:G131)</f>
        <v>9268</v>
      </c>
      <c r="H132" s="122">
        <f>SUM(H112:H131)</f>
        <v>9993</v>
      </c>
      <c r="I132" s="123">
        <f>H132/G132*100</f>
        <v>107.82261545101423</v>
      </c>
    </row>
    <row r="133" spans="1:9" ht="9" customHeight="1">
      <c r="A133" s="115"/>
      <c r="B133" s="115"/>
      <c r="C133" s="115"/>
      <c r="D133" s="115"/>
      <c r="E133" s="115"/>
      <c r="F133" s="115"/>
      <c r="G133" s="120"/>
      <c r="H133" s="120"/>
      <c r="I133" s="105"/>
    </row>
    <row r="134" spans="1:9" ht="15.75">
      <c r="A134" s="19" t="s">
        <v>75</v>
      </c>
      <c r="B134" s="19" t="s">
        <v>162</v>
      </c>
      <c r="C134" s="19"/>
      <c r="D134" s="19"/>
      <c r="E134" s="19"/>
      <c r="F134" s="19"/>
      <c r="G134" s="19"/>
      <c r="H134" s="59"/>
      <c r="I134" s="105"/>
    </row>
    <row r="135" spans="1:9" ht="15.75">
      <c r="A135" s="22"/>
      <c r="B135" s="22" t="s">
        <v>56</v>
      </c>
      <c r="C135" s="354" t="s">
        <v>163</v>
      </c>
      <c r="D135" s="354"/>
      <c r="E135" s="354"/>
      <c r="F135" s="354"/>
      <c r="G135" s="106"/>
      <c r="H135" s="107"/>
      <c r="I135" s="105"/>
    </row>
    <row r="136" spans="1:9" ht="30" customHeight="1">
      <c r="A136" s="22"/>
      <c r="B136" s="22"/>
      <c r="C136" s="118" t="s">
        <v>56</v>
      </c>
      <c r="D136" s="354" t="s">
        <v>164</v>
      </c>
      <c r="E136" s="354"/>
      <c r="F136" s="354"/>
      <c r="G136" s="120">
        <v>93</v>
      </c>
      <c r="H136" s="127">
        <v>92</v>
      </c>
      <c r="I136" s="105">
        <f>H136/G136*100</f>
        <v>98.9247311827957</v>
      </c>
    </row>
    <row r="137" spans="1:9" ht="30" customHeight="1">
      <c r="A137" s="22"/>
      <c r="B137" s="22"/>
      <c r="C137" s="118" t="s">
        <v>32</v>
      </c>
      <c r="D137" s="354" t="s">
        <v>447</v>
      </c>
      <c r="E137" s="354"/>
      <c r="F137" s="354"/>
      <c r="G137" s="120"/>
      <c r="H137" s="127">
        <f>26215-12586-756</f>
        <v>12873</v>
      </c>
      <c r="I137" s="105"/>
    </row>
    <row r="138" spans="1:9" ht="9" customHeight="1">
      <c r="A138" s="115"/>
      <c r="B138" s="115"/>
      <c r="C138" s="115"/>
      <c r="D138" s="22"/>
      <c r="E138" s="115"/>
      <c r="F138" s="115"/>
      <c r="G138" s="120"/>
      <c r="H138" s="120"/>
      <c r="I138" s="105"/>
    </row>
    <row r="139" spans="1:9" ht="15.75">
      <c r="A139" s="369" t="s">
        <v>165</v>
      </c>
      <c r="B139" s="369"/>
      <c r="C139" s="369"/>
      <c r="D139" s="369"/>
      <c r="E139" s="369"/>
      <c r="F139" s="369"/>
      <c r="G139" s="128">
        <f>SUM(G136:G138)</f>
        <v>93</v>
      </c>
      <c r="H139" s="128">
        <f>SUM(H136:H138)</f>
        <v>12965</v>
      </c>
      <c r="I139" s="123">
        <f>H139/G139*100</f>
        <v>13940.860215053763</v>
      </c>
    </row>
    <row r="140" spans="1:9" ht="9" customHeight="1">
      <c r="A140" s="115"/>
      <c r="B140" s="115"/>
      <c r="C140" s="115"/>
      <c r="D140" s="115"/>
      <c r="E140" s="115"/>
      <c r="F140" s="115"/>
      <c r="G140" s="120"/>
      <c r="H140" s="120"/>
      <c r="I140" s="105"/>
    </row>
    <row r="141" spans="1:9" ht="16.5">
      <c r="A141" s="129" t="s">
        <v>166</v>
      </c>
      <c r="B141" s="129"/>
      <c r="C141" s="129"/>
      <c r="D141" s="129"/>
      <c r="E141" s="129"/>
      <c r="F141" s="129"/>
      <c r="G141" s="128">
        <f>G139+G132+G108+G86+G76</f>
        <v>54511</v>
      </c>
      <c r="H141" s="128">
        <f>H139+H132+H108+H86+H76</f>
        <v>67330</v>
      </c>
      <c r="I141" s="123">
        <f>H141/G141*100</f>
        <v>123.51635449725744</v>
      </c>
    </row>
    <row r="142" spans="1:9" ht="16.5">
      <c r="A142" s="129"/>
      <c r="B142" s="129"/>
      <c r="C142" s="129"/>
      <c r="D142" s="129"/>
      <c r="E142" s="129"/>
      <c r="F142" s="129"/>
      <c r="G142" s="128"/>
      <c r="H142" s="128"/>
      <c r="I142" s="123"/>
    </row>
    <row r="143" spans="1:9" ht="16.5">
      <c r="A143" s="129"/>
      <c r="B143" s="129"/>
      <c r="C143" s="129"/>
      <c r="D143" s="129"/>
      <c r="E143" s="129"/>
      <c r="F143" s="129"/>
      <c r="G143" s="128"/>
      <c r="H143" s="128"/>
      <c r="I143" s="123"/>
    </row>
    <row r="144" spans="1:9" ht="16.5">
      <c r="A144" s="129"/>
      <c r="B144" s="129"/>
      <c r="C144" s="129"/>
      <c r="D144" s="129"/>
      <c r="E144" s="129"/>
      <c r="F144" s="129"/>
      <c r="G144" s="128"/>
      <c r="H144" s="128"/>
      <c r="I144" s="123"/>
    </row>
    <row r="145" spans="1:9" ht="16.5">
      <c r="A145" s="129"/>
      <c r="B145" s="129"/>
      <c r="C145" s="129"/>
      <c r="D145" s="129"/>
      <c r="E145" s="129"/>
      <c r="F145" s="129"/>
      <c r="G145" s="128"/>
      <c r="H145" s="128"/>
      <c r="I145" s="123"/>
    </row>
    <row r="146" spans="1:9" ht="17.25" thickBot="1">
      <c r="A146" s="129"/>
      <c r="B146" s="129"/>
      <c r="C146" s="129"/>
      <c r="D146" s="129"/>
      <c r="E146" s="129"/>
      <c r="F146" s="129"/>
      <c r="G146" s="128"/>
      <c r="H146" s="128"/>
      <c r="I146" s="123"/>
    </row>
    <row r="147" spans="1:9" ht="15.75" customHeight="1">
      <c r="A147" s="356" t="s">
        <v>24</v>
      </c>
      <c r="B147" s="357"/>
      <c r="C147" s="357"/>
      <c r="D147" s="357"/>
      <c r="E147" s="357"/>
      <c r="F147" s="358"/>
      <c r="G147" s="113" t="s">
        <v>22</v>
      </c>
      <c r="H147" s="113" t="s">
        <v>22</v>
      </c>
      <c r="I147" s="114" t="s">
        <v>23</v>
      </c>
    </row>
    <row r="148" spans="1:9" ht="15.75">
      <c r="A148" s="359"/>
      <c r="B148" s="360"/>
      <c r="C148" s="360"/>
      <c r="D148" s="360"/>
      <c r="E148" s="360"/>
      <c r="F148" s="361"/>
      <c r="G148" s="116" t="s">
        <v>11</v>
      </c>
      <c r="H148" s="116" t="s">
        <v>11</v>
      </c>
      <c r="I148" s="88"/>
    </row>
    <row r="149" spans="1:9" s="91" customFormat="1" ht="15.75" customHeight="1" thickBot="1">
      <c r="A149" s="362"/>
      <c r="B149" s="363"/>
      <c r="C149" s="363"/>
      <c r="D149" s="363"/>
      <c r="E149" s="363"/>
      <c r="F149" s="364"/>
      <c r="G149" s="117" t="s">
        <v>76</v>
      </c>
      <c r="H149" s="117" t="s">
        <v>262</v>
      </c>
      <c r="I149" s="90" t="s">
        <v>25</v>
      </c>
    </row>
    <row r="150" spans="1:9" ht="16.5">
      <c r="A150" s="129"/>
      <c r="B150" s="129"/>
      <c r="C150" s="129"/>
      <c r="D150" s="129"/>
      <c r="E150" s="129"/>
      <c r="F150" s="129"/>
      <c r="G150" s="130"/>
      <c r="H150" s="130"/>
      <c r="I150" s="123"/>
    </row>
    <row r="151" spans="1:9" ht="15.75">
      <c r="A151" s="131" t="s">
        <v>167</v>
      </c>
      <c r="B151" s="365" t="s">
        <v>168</v>
      </c>
      <c r="C151" s="365"/>
      <c r="D151" s="365"/>
      <c r="E151" s="365"/>
      <c r="F151" s="365"/>
      <c r="G151" s="19"/>
      <c r="H151" s="107"/>
      <c r="I151" s="105"/>
    </row>
    <row r="152" spans="1:9" ht="15.75">
      <c r="A152" s="19"/>
      <c r="B152" s="102" t="s">
        <v>56</v>
      </c>
      <c r="C152" s="365" t="s">
        <v>169</v>
      </c>
      <c r="D152" s="365"/>
      <c r="E152" s="365"/>
      <c r="F152" s="365"/>
      <c r="G152" s="120"/>
      <c r="H152" s="107"/>
      <c r="I152" s="105"/>
    </row>
    <row r="153" spans="1:9" ht="15.75">
      <c r="A153" s="19"/>
      <c r="B153" s="102"/>
      <c r="C153" s="118" t="s">
        <v>56</v>
      </c>
      <c r="D153" s="354" t="s">
        <v>439</v>
      </c>
      <c r="E153" s="354"/>
      <c r="F153" s="354"/>
      <c r="G153" s="120"/>
      <c r="H153" s="107">
        <v>12586</v>
      </c>
      <c r="I153" s="105"/>
    </row>
    <row r="154" spans="1:9" ht="15.75">
      <c r="A154" s="19"/>
      <c r="B154" s="102"/>
      <c r="C154" s="118" t="s">
        <v>32</v>
      </c>
      <c r="D154" s="354" t="s">
        <v>170</v>
      </c>
      <c r="E154" s="354"/>
      <c r="F154" s="354"/>
      <c r="G154" s="120">
        <v>1167</v>
      </c>
      <c r="H154" s="107">
        <f>1115+1348+148+119+191</f>
        <v>2921</v>
      </c>
      <c r="I154" s="105">
        <f>H154/G154*100</f>
        <v>250.29991431019707</v>
      </c>
    </row>
    <row r="155" spans="1:9" ht="15.75">
      <c r="A155" s="22"/>
      <c r="B155" s="22"/>
      <c r="C155" s="22"/>
      <c r="D155" s="22"/>
      <c r="E155" s="22"/>
      <c r="F155" s="22"/>
      <c r="G155" s="67"/>
      <c r="H155" s="58"/>
      <c r="I155" s="105"/>
    </row>
    <row r="156" spans="1:9" ht="16.5">
      <c r="A156" s="129" t="s">
        <v>168</v>
      </c>
      <c r="B156" s="129"/>
      <c r="C156" s="129"/>
      <c r="D156" s="129"/>
      <c r="E156" s="129"/>
      <c r="F156" s="129"/>
      <c r="G156" s="132">
        <f>G154</f>
        <v>1167</v>
      </c>
      <c r="H156" s="130">
        <f>H154+H153</f>
        <v>15507</v>
      </c>
      <c r="I156" s="105">
        <f>H156/G156*100</f>
        <v>1328.7917737789203</v>
      </c>
    </row>
    <row r="157" spans="1:9" ht="15.75">
      <c r="A157" s="22"/>
      <c r="B157" s="22"/>
      <c r="C157" s="22"/>
      <c r="D157" s="22"/>
      <c r="E157" s="22"/>
      <c r="F157" s="22"/>
      <c r="G157" s="67"/>
      <c r="H157" s="22"/>
      <c r="I157" s="105"/>
    </row>
    <row r="158" spans="1:9" ht="18.75">
      <c r="A158" s="21" t="s">
        <v>171</v>
      </c>
      <c r="B158" s="21"/>
      <c r="C158" s="21"/>
      <c r="D158" s="21"/>
      <c r="E158" s="21"/>
      <c r="F158" s="21"/>
      <c r="G158" s="132">
        <f>G141+G156</f>
        <v>55678</v>
      </c>
      <c r="H158" s="128">
        <f>H141+H156</f>
        <v>82837</v>
      </c>
      <c r="I158" s="123">
        <f>H158/G158*100</f>
        <v>148.77869176335358</v>
      </c>
    </row>
  </sheetData>
  <sheetProtection/>
  <mergeCells count="44">
    <mergeCell ref="C152:F152"/>
    <mergeCell ref="D154:F154"/>
    <mergeCell ref="E39:F39"/>
    <mergeCell ref="D82:F82"/>
    <mergeCell ref="D137:F137"/>
    <mergeCell ref="D136:F136"/>
    <mergeCell ref="A139:F139"/>
    <mergeCell ref="B151:F151"/>
    <mergeCell ref="A86:F86"/>
    <mergeCell ref="A93:F95"/>
    <mergeCell ref="A76:F76"/>
    <mergeCell ref="B78:F78"/>
    <mergeCell ref="C112:F112"/>
    <mergeCell ref="C135:F135"/>
    <mergeCell ref="C80:F80"/>
    <mergeCell ref="D81:F81"/>
    <mergeCell ref="B84:F84"/>
    <mergeCell ref="D50:F50"/>
    <mergeCell ref="E51:F51"/>
    <mergeCell ref="C54:F54"/>
    <mergeCell ref="E62:F62"/>
    <mergeCell ref="D56:F56"/>
    <mergeCell ref="E57:F57"/>
    <mergeCell ref="C59:F59"/>
    <mergeCell ref="D70:F70"/>
    <mergeCell ref="B74:F74"/>
    <mergeCell ref="B67:F67"/>
    <mergeCell ref="C69:F69"/>
    <mergeCell ref="D72:F72"/>
    <mergeCell ref="A46:F48"/>
    <mergeCell ref="E14:F14"/>
    <mergeCell ref="D30:F30"/>
    <mergeCell ref="D35:F35"/>
    <mergeCell ref="D37:F37"/>
    <mergeCell ref="D153:F153"/>
    <mergeCell ref="A2:I2"/>
    <mergeCell ref="A147:F149"/>
    <mergeCell ref="B11:F11"/>
    <mergeCell ref="A8:F10"/>
    <mergeCell ref="A3:I3"/>
    <mergeCell ref="A4:I4"/>
    <mergeCell ref="A5:I5"/>
    <mergeCell ref="D13:F13"/>
    <mergeCell ref="C44:F44"/>
  </mergeCells>
  <printOptions horizontalCentered="1"/>
  <pageMargins left="0" right="0" top="0.1968503937007874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39" customWidth="1"/>
    <col min="2" max="2" width="61.125" style="239" customWidth="1"/>
    <col min="3" max="6" width="26.25390625" style="239" customWidth="1"/>
    <col min="7" max="16384" width="9.125" style="239" customWidth="1"/>
  </cols>
  <sheetData>
    <row r="2" spans="1:6" s="227" customFormat="1" ht="15.75">
      <c r="A2" s="165" t="s">
        <v>451</v>
      </c>
      <c r="C2" s="228"/>
      <c r="D2" s="229"/>
      <c r="E2" s="229"/>
      <c r="F2" s="229"/>
    </row>
    <row r="3" spans="2:6" s="93" customFormat="1" ht="15" customHeight="1">
      <c r="B3" s="355"/>
      <c r="C3" s="355"/>
      <c r="D3" s="355"/>
      <c r="E3" s="355"/>
      <c r="F3" s="355"/>
    </row>
    <row r="4" spans="3:6" s="230" customFormat="1" ht="15" customHeight="1">
      <c r="C4" s="231"/>
      <c r="D4" s="232"/>
      <c r="E4" s="232"/>
      <c r="F4" s="232"/>
    </row>
    <row r="5" spans="2:6" s="162" customFormat="1" ht="15" customHeight="1">
      <c r="B5" s="390" t="s">
        <v>53</v>
      </c>
      <c r="C5" s="390"/>
      <c r="D5" s="390"/>
      <c r="E5" s="390"/>
      <c r="F5" s="390"/>
    </row>
    <row r="6" spans="2:6" s="162" customFormat="1" ht="15.75">
      <c r="B6" s="391" t="s">
        <v>337</v>
      </c>
      <c r="C6" s="391"/>
      <c r="D6" s="391"/>
      <c r="E6" s="391"/>
      <c r="F6" s="391"/>
    </row>
    <row r="7" spans="2:6" s="162" customFormat="1" ht="15" customHeight="1">
      <c r="B7" s="390" t="s">
        <v>172</v>
      </c>
      <c r="C7" s="390"/>
      <c r="D7" s="390"/>
      <c r="E7" s="390"/>
      <c r="F7" s="390"/>
    </row>
    <row r="8" spans="2:6" s="227" customFormat="1" ht="12" customHeight="1" thickBot="1">
      <c r="B8" s="228"/>
      <c r="C8" s="233"/>
      <c r="D8" s="234"/>
      <c r="E8" s="234"/>
      <c r="F8" s="235"/>
    </row>
    <row r="9" spans="1:6" s="227" customFormat="1" ht="16.5" customHeight="1" thickBot="1">
      <c r="A9" s="370" t="s">
        <v>204</v>
      </c>
      <c r="B9" s="373" t="s">
        <v>205</v>
      </c>
      <c r="C9" s="376" t="s">
        <v>338</v>
      </c>
      <c r="D9" s="379" t="s">
        <v>339</v>
      </c>
      <c r="E9" s="379"/>
      <c r="F9" s="380"/>
    </row>
    <row r="10" spans="1:6" s="227" customFormat="1" ht="33" customHeight="1" thickBot="1">
      <c r="A10" s="371"/>
      <c r="B10" s="374"/>
      <c r="C10" s="377"/>
      <c r="D10" s="236" t="s">
        <v>340</v>
      </c>
      <c r="E10" s="237" t="s">
        <v>341</v>
      </c>
      <c r="F10" s="238" t="s">
        <v>342</v>
      </c>
    </row>
    <row r="11" spans="1:6" s="227" customFormat="1" ht="22.5" customHeight="1">
      <c r="A11" s="371"/>
      <c r="B11" s="374"/>
      <c r="C11" s="377"/>
      <c r="D11" s="381" t="s">
        <v>343</v>
      </c>
      <c r="E11" s="382"/>
      <c r="F11" s="383"/>
    </row>
    <row r="12" spans="1:6" ht="12.75">
      <c r="A12" s="371"/>
      <c r="B12" s="374"/>
      <c r="C12" s="377"/>
      <c r="D12" s="384"/>
      <c r="E12" s="385"/>
      <c r="F12" s="386"/>
    </row>
    <row r="13" spans="1:6" ht="3" customHeight="1" thickBot="1">
      <c r="A13" s="372"/>
      <c r="B13" s="375"/>
      <c r="C13" s="378"/>
      <c r="D13" s="387"/>
      <c r="E13" s="388"/>
      <c r="F13" s="389"/>
    </row>
    <row r="14" spans="1:6" ht="30">
      <c r="A14" s="240" t="s">
        <v>222</v>
      </c>
      <c r="B14" s="241" t="s">
        <v>223</v>
      </c>
      <c r="C14" s="242">
        <f>SUM(D14:F14)</f>
        <v>36835</v>
      </c>
      <c r="D14" s="242">
        <f>7+9743+185+191+135+148+119</f>
        <v>10528</v>
      </c>
      <c r="E14" s="242">
        <f>26215+92</f>
        <v>26307</v>
      </c>
      <c r="F14" s="243"/>
    </row>
    <row r="15" spans="1:6" ht="15">
      <c r="A15" s="150" t="s">
        <v>224</v>
      </c>
      <c r="B15" s="147" t="s">
        <v>48</v>
      </c>
      <c r="C15" s="244">
        <f aca="true" t="shared" si="0" ref="C15:C29">SUM(D15:F15)</f>
        <v>52</v>
      </c>
      <c r="D15" s="244">
        <v>52</v>
      </c>
      <c r="E15" s="244"/>
      <c r="F15" s="245"/>
    </row>
    <row r="16" spans="1:6" ht="15">
      <c r="A16" s="150" t="s">
        <v>225</v>
      </c>
      <c r="B16" s="147" t="s">
        <v>226</v>
      </c>
      <c r="C16" s="244">
        <f t="shared" si="0"/>
        <v>1599</v>
      </c>
      <c r="D16" s="244">
        <f>820+643</f>
        <v>1463</v>
      </c>
      <c r="E16" s="244">
        <v>136</v>
      </c>
      <c r="F16" s="245"/>
    </row>
    <row r="17" spans="1:6" ht="15">
      <c r="A17" s="150" t="s">
        <v>344</v>
      </c>
      <c r="B17" s="147" t="s">
        <v>345</v>
      </c>
      <c r="C17" s="244">
        <f t="shared" si="0"/>
        <v>26895</v>
      </c>
      <c r="D17" s="244">
        <f>25766-326+186+943</f>
        <v>26569</v>
      </c>
      <c r="E17" s="244"/>
      <c r="F17" s="245">
        <f>326</f>
        <v>326</v>
      </c>
    </row>
    <row r="18" spans="1:6" ht="15">
      <c r="A18" s="150" t="s">
        <v>430</v>
      </c>
      <c r="B18" s="257" t="s">
        <v>431</v>
      </c>
      <c r="C18" s="244">
        <f t="shared" si="0"/>
        <v>633</v>
      </c>
      <c r="D18" s="244"/>
      <c r="E18" s="244">
        <v>633</v>
      </c>
      <c r="F18" s="245"/>
    </row>
    <row r="19" spans="1:6" ht="15">
      <c r="A19" s="150" t="s">
        <v>354</v>
      </c>
      <c r="B19" s="257" t="s">
        <v>355</v>
      </c>
      <c r="C19" s="244">
        <f t="shared" si="0"/>
        <v>58</v>
      </c>
      <c r="D19" s="244">
        <v>58</v>
      </c>
      <c r="E19" s="244"/>
      <c r="F19" s="245"/>
    </row>
    <row r="20" spans="1:6" ht="15">
      <c r="A20" s="150" t="s">
        <v>229</v>
      </c>
      <c r="B20" s="147" t="s">
        <v>230</v>
      </c>
      <c r="C20" s="244">
        <f t="shared" si="0"/>
        <v>3993</v>
      </c>
      <c r="D20" s="244">
        <v>3993</v>
      </c>
      <c r="E20" s="244"/>
      <c r="F20" s="245"/>
    </row>
    <row r="21" spans="1:6" ht="15">
      <c r="A21" s="150" t="s">
        <v>237</v>
      </c>
      <c r="B21" s="147" t="s">
        <v>238</v>
      </c>
      <c r="C21" s="244">
        <f t="shared" si="0"/>
        <v>165</v>
      </c>
      <c r="D21" s="244">
        <v>165</v>
      </c>
      <c r="E21" s="244"/>
      <c r="F21" s="245"/>
    </row>
    <row r="22" spans="1:6" ht="15">
      <c r="A22" s="150" t="s">
        <v>244</v>
      </c>
      <c r="B22" s="147" t="s">
        <v>245</v>
      </c>
      <c r="C22" s="244">
        <f t="shared" si="0"/>
        <v>191</v>
      </c>
      <c r="D22" s="244">
        <v>191</v>
      </c>
      <c r="E22" s="244"/>
      <c r="F22" s="245"/>
    </row>
    <row r="23" spans="1:6" ht="15">
      <c r="A23" s="150" t="s">
        <v>346</v>
      </c>
      <c r="B23" s="147" t="s">
        <v>347</v>
      </c>
      <c r="C23" s="244">
        <f t="shared" si="0"/>
        <v>1808</v>
      </c>
      <c r="D23" s="244">
        <f>1785+23</f>
        <v>1808</v>
      </c>
      <c r="E23" s="244"/>
      <c r="F23" s="245"/>
    </row>
    <row r="24" spans="1:6" ht="15">
      <c r="A24" s="150" t="s">
        <v>348</v>
      </c>
      <c r="B24" s="147" t="s">
        <v>349</v>
      </c>
      <c r="C24" s="244">
        <f t="shared" si="0"/>
        <v>275</v>
      </c>
      <c r="D24" s="244"/>
      <c r="E24" s="244">
        <f>271+4</f>
        <v>275</v>
      </c>
      <c r="F24" s="245"/>
    </row>
    <row r="25" spans="1:6" ht="15">
      <c r="A25" s="249">
        <v>104051</v>
      </c>
      <c r="B25" s="147" t="s">
        <v>412</v>
      </c>
      <c r="C25" s="244">
        <f t="shared" si="0"/>
        <v>46</v>
      </c>
      <c r="D25" s="244"/>
      <c r="E25" s="244"/>
      <c r="F25" s="245">
        <v>46</v>
      </c>
    </row>
    <row r="26" spans="1:6" ht="15">
      <c r="A26" s="150" t="s">
        <v>252</v>
      </c>
      <c r="B26" s="153" t="s">
        <v>409</v>
      </c>
      <c r="C26" s="244">
        <f t="shared" si="0"/>
        <v>1702</v>
      </c>
      <c r="D26" s="244">
        <f>29+1655+18</f>
        <v>1702</v>
      </c>
      <c r="E26" s="244"/>
      <c r="F26" s="245"/>
    </row>
    <row r="27" spans="1:6" ht="15">
      <c r="A27" s="150" t="s">
        <v>252</v>
      </c>
      <c r="B27" s="153" t="s">
        <v>411</v>
      </c>
      <c r="C27" s="244">
        <f t="shared" si="0"/>
        <v>528</v>
      </c>
      <c r="D27" s="244"/>
      <c r="E27" s="244">
        <f>523+5</f>
        <v>528</v>
      </c>
      <c r="F27" s="245"/>
    </row>
    <row r="28" spans="1:6" ht="15">
      <c r="A28" s="150">
        <v>107060</v>
      </c>
      <c r="B28" s="147" t="s">
        <v>254</v>
      </c>
      <c r="C28" s="244">
        <f t="shared" si="0"/>
        <v>249</v>
      </c>
      <c r="D28" s="244">
        <v>249</v>
      </c>
      <c r="E28" s="244"/>
      <c r="F28" s="245"/>
    </row>
    <row r="29" spans="1:6" ht="30.75" thickBot="1">
      <c r="A29" s="249">
        <v>900020</v>
      </c>
      <c r="B29" s="147" t="s">
        <v>350</v>
      </c>
      <c r="C29" s="244">
        <f t="shared" si="0"/>
        <v>7808</v>
      </c>
      <c r="D29" s="244">
        <v>7808</v>
      </c>
      <c r="E29" s="244"/>
      <c r="F29" s="245"/>
    </row>
    <row r="30" spans="1:6" ht="30" customHeight="1" thickBot="1">
      <c r="A30" s="250"/>
      <c r="B30" s="250" t="s">
        <v>2</v>
      </c>
      <c r="C30" s="248">
        <f>SUM(C14:C29)</f>
        <v>82837</v>
      </c>
      <c r="D30" s="248">
        <f>SUM(D14:D29)</f>
        <v>54586</v>
      </c>
      <c r="E30" s="248">
        <f>SUM(E14:E29)</f>
        <v>27879</v>
      </c>
      <c r="F30" s="248">
        <f>SUM(F14:F29)</f>
        <v>372</v>
      </c>
    </row>
  </sheetData>
  <sheetProtection/>
  <mergeCells count="9">
    <mergeCell ref="B3:F3"/>
    <mergeCell ref="B5:F5"/>
    <mergeCell ref="B6:F6"/>
    <mergeCell ref="B7:F7"/>
    <mergeCell ref="A9:A13"/>
    <mergeCell ref="B9:B13"/>
    <mergeCell ref="C9:C13"/>
    <mergeCell ref="D9:F9"/>
    <mergeCell ref="D11:F13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PageLayoutView="0" workbookViewId="0" topLeftCell="A1">
      <selection activeCell="A3" sqref="A3:T3"/>
    </sheetView>
  </sheetViews>
  <sheetFormatPr defaultColWidth="9.00390625" defaultRowHeight="12.75"/>
  <cols>
    <col min="1" max="1" width="9.125" style="11" customWidth="1"/>
    <col min="2" max="2" width="42.125" style="11" customWidth="1"/>
    <col min="3" max="3" width="10.125" style="11" customWidth="1"/>
    <col min="4" max="7" width="10.375" style="11" customWidth="1"/>
    <col min="8" max="11" width="10.25390625" style="11" customWidth="1"/>
    <col min="12" max="12" width="9.625" style="11" customWidth="1"/>
    <col min="13" max="13" width="10.875" style="11" customWidth="1"/>
    <col min="14" max="14" width="11.125" style="11" customWidth="1"/>
    <col min="15" max="15" width="9.875" style="11" customWidth="1"/>
    <col min="16" max="16" width="10.625" style="11" customWidth="1"/>
    <col min="17" max="17" width="12.00390625" style="11" customWidth="1"/>
    <col min="18" max="18" width="10.375" style="11" customWidth="1"/>
    <col min="19" max="16384" width="9.125" style="11" customWidth="1"/>
  </cols>
  <sheetData>
    <row r="1" spans="1:20" ht="15.75">
      <c r="A1" s="165" t="s">
        <v>452</v>
      </c>
      <c r="K1" s="429"/>
      <c r="L1" s="429"/>
      <c r="M1" s="429"/>
      <c r="N1" s="429"/>
      <c r="O1" s="429"/>
      <c r="P1" s="429"/>
      <c r="Q1" s="429"/>
      <c r="R1" s="429"/>
      <c r="S1" s="429"/>
      <c r="T1" s="429"/>
    </row>
    <row r="2" spans="1:17" ht="15.75" customHeight="1">
      <c r="A2" s="431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334"/>
    </row>
    <row r="3" spans="1:20" s="144" customFormat="1" ht="15.75" customHeight="1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</row>
    <row r="4" spans="1:17" s="144" customFormat="1" ht="15.75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20" s="144" customFormat="1" ht="15.75" customHeight="1">
      <c r="A5" s="415" t="s">
        <v>53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</row>
    <row r="6" spans="1:20" s="144" customFormat="1" ht="15.75" customHeight="1">
      <c r="A6" s="415" t="s">
        <v>203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</row>
    <row r="7" spans="1:20" s="144" customFormat="1" ht="15.75" customHeight="1">
      <c r="A7" s="415" t="s">
        <v>261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</row>
    <row r="8" spans="19:20" s="144" customFormat="1" ht="15.75" thickBot="1">
      <c r="S8" s="430" t="s">
        <v>8</v>
      </c>
      <c r="T8" s="430"/>
    </row>
    <row r="9" spans="1:20" s="145" customFormat="1" ht="20.25" customHeight="1" thickBot="1">
      <c r="A9" s="421" t="s">
        <v>204</v>
      </c>
      <c r="B9" s="397" t="s">
        <v>205</v>
      </c>
      <c r="C9" s="394" t="s">
        <v>206</v>
      </c>
      <c r="D9" s="406" t="s">
        <v>207</v>
      </c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8"/>
      <c r="S9" s="416" t="s">
        <v>3</v>
      </c>
      <c r="T9" s="417"/>
    </row>
    <row r="10" spans="1:20" s="145" customFormat="1" ht="38.25" customHeight="1" thickBot="1">
      <c r="A10" s="422"/>
      <c r="B10" s="398"/>
      <c r="C10" s="395"/>
      <c r="D10" s="409" t="s">
        <v>80</v>
      </c>
      <c r="E10" s="410"/>
      <c r="F10" s="410"/>
      <c r="G10" s="410"/>
      <c r="H10" s="410"/>
      <c r="I10" s="411"/>
      <c r="J10" s="406" t="s">
        <v>81</v>
      </c>
      <c r="K10" s="407"/>
      <c r="L10" s="407"/>
      <c r="M10" s="408"/>
      <c r="N10" s="426" t="s">
        <v>208</v>
      </c>
      <c r="O10" s="427"/>
      <c r="P10" s="427"/>
      <c r="Q10" s="427"/>
      <c r="R10" s="428"/>
      <c r="S10" s="392" t="s">
        <v>9</v>
      </c>
      <c r="T10" s="393"/>
    </row>
    <row r="11" spans="1:20" s="145" customFormat="1" ht="21" customHeight="1" thickBot="1">
      <c r="A11" s="422"/>
      <c r="B11" s="398"/>
      <c r="C11" s="395"/>
      <c r="D11" s="394" t="s">
        <v>209</v>
      </c>
      <c r="E11" s="394" t="s">
        <v>210</v>
      </c>
      <c r="F11" s="394" t="s">
        <v>211</v>
      </c>
      <c r="G11" s="394" t="s">
        <v>212</v>
      </c>
      <c r="H11" s="394" t="s">
        <v>213</v>
      </c>
      <c r="I11" s="418" t="s">
        <v>214</v>
      </c>
      <c r="J11" s="400" t="s">
        <v>215</v>
      </c>
      <c r="K11" s="400" t="s">
        <v>82</v>
      </c>
      <c r="L11" s="394" t="s">
        <v>351</v>
      </c>
      <c r="M11" s="403" t="s">
        <v>352</v>
      </c>
      <c r="N11" s="394" t="s">
        <v>216</v>
      </c>
      <c r="O11" s="394" t="s">
        <v>217</v>
      </c>
      <c r="P11" s="394" t="s">
        <v>218</v>
      </c>
      <c r="Q11" s="412" t="s">
        <v>432</v>
      </c>
      <c r="R11" s="403" t="s">
        <v>353</v>
      </c>
      <c r="S11" s="223" t="s">
        <v>219</v>
      </c>
      <c r="T11" s="224" t="s">
        <v>220</v>
      </c>
    </row>
    <row r="12" spans="1:20" s="145" customFormat="1" ht="18.75" customHeight="1">
      <c r="A12" s="422"/>
      <c r="B12" s="398"/>
      <c r="C12" s="395"/>
      <c r="D12" s="395"/>
      <c r="E12" s="395"/>
      <c r="F12" s="395"/>
      <c r="G12" s="395"/>
      <c r="H12" s="395"/>
      <c r="I12" s="419"/>
      <c r="J12" s="401"/>
      <c r="K12" s="401"/>
      <c r="L12" s="395"/>
      <c r="M12" s="404"/>
      <c r="N12" s="395"/>
      <c r="O12" s="395"/>
      <c r="P12" s="395"/>
      <c r="Q12" s="413"/>
      <c r="R12" s="404"/>
      <c r="S12" s="424" t="s">
        <v>221</v>
      </c>
      <c r="T12" s="425"/>
    </row>
    <row r="13" spans="1:20" s="145" customFormat="1" ht="20.25" customHeight="1" thickBot="1">
      <c r="A13" s="423"/>
      <c r="B13" s="399"/>
      <c r="C13" s="396"/>
      <c r="D13" s="396"/>
      <c r="E13" s="396"/>
      <c r="F13" s="396"/>
      <c r="G13" s="396"/>
      <c r="H13" s="396"/>
      <c r="I13" s="420"/>
      <c r="J13" s="402"/>
      <c r="K13" s="402"/>
      <c r="L13" s="396"/>
      <c r="M13" s="405"/>
      <c r="N13" s="396"/>
      <c r="O13" s="396"/>
      <c r="P13" s="396"/>
      <c r="Q13" s="414"/>
      <c r="R13" s="405"/>
      <c r="S13" s="392"/>
      <c r="T13" s="393"/>
    </row>
    <row r="14" spans="1:20" s="144" customFormat="1" ht="30">
      <c r="A14" s="146" t="s">
        <v>222</v>
      </c>
      <c r="B14" s="147" t="s">
        <v>223</v>
      </c>
      <c r="C14" s="252">
        <f>I14+M14+O14+P14</f>
        <v>40414</v>
      </c>
      <c r="D14" s="159">
        <f>5750+26+13+1376</f>
        <v>7165</v>
      </c>
      <c r="E14" s="160">
        <f>1664+6+6+372</f>
        <v>2048</v>
      </c>
      <c r="F14" s="160">
        <f>4281+191+119</f>
        <v>4591</v>
      </c>
      <c r="G14" s="160"/>
      <c r="H14" s="160">
        <f>112+15+120</f>
        <v>247</v>
      </c>
      <c r="I14" s="253">
        <f aca="true" t="shared" si="0" ref="I14:I44">SUM(D14:H14)</f>
        <v>14051</v>
      </c>
      <c r="J14" s="161">
        <f>148</f>
        <v>148</v>
      </c>
      <c r="K14" s="161"/>
      <c r="L14" s="161">
        <v>26215</v>
      </c>
      <c r="M14" s="254">
        <f>SUM(J14:L14)</f>
        <v>26363</v>
      </c>
      <c r="N14" s="254"/>
      <c r="O14" s="255"/>
      <c r="P14" s="256"/>
      <c r="Q14" s="256"/>
      <c r="R14" s="256"/>
      <c r="S14" s="149">
        <f>0.5+0.1+0.2-0.3</f>
        <v>0.5</v>
      </c>
      <c r="T14" s="222">
        <v>0.5</v>
      </c>
    </row>
    <row r="15" spans="1:20" s="144" customFormat="1" ht="15">
      <c r="A15" s="150" t="s">
        <v>224</v>
      </c>
      <c r="B15" s="147" t="s">
        <v>48</v>
      </c>
      <c r="C15" s="252">
        <f aca="true" t="shared" si="1" ref="C15:C44">I15+M15+O15+P15</f>
        <v>64</v>
      </c>
      <c r="D15" s="159"/>
      <c r="E15" s="160"/>
      <c r="F15" s="160">
        <v>64</v>
      </c>
      <c r="G15" s="160"/>
      <c r="H15" s="160"/>
      <c r="I15" s="253">
        <f t="shared" si="0"/>
        <v>64</v>
      </c>
      <c r="J15" s="161"/>
      <c r="K15" s="161"/>
      <c r="L15" s="161"/>
      <c r="M15" s="254"/>
      <c r="N15" s="254"/>
      <c r="O15" s="255"/>
      <c r="P15" s="256"/>
      <c r="Q15" s="256"/>
      <c r="R15" s="256"/>
      <c r="S15" s="151"/>
      <c r="T15" s="148"/>
    </row>
    <row r="16" spans="1:20" s="144" customFormat="1" ht="29.25" customHeight="1">
      <c r="A16" s="150" t="s">
        <v>225</v>
      </c>
      <c r="B16" s="147" t="s">
        <v>226</v>
      </c>
      <c r="C16" s="252">
        <f t="shared" si="1"/>
        <v>1523</v>
      </c>
      <c r="D16" s="159"/>
      <c r="E16" s="160"/>
      <c r="F16" s="160">
        <v>1515</v>
      </c>
      <c r="G16" s="160"/>
      <c r="H16" s="160"/>
      <c r="I16" s="253">
        <f t="shared" si="0"/>
        <v>1515</v>
      </c>
      <c r="J16" s="161">
        <v>8</v>
      </c>
      <c r="K16" s="161"/>
      <c r="L16" s="161"/>
      <c r="M16" s="254">
        <f>SUM(J16:L16)</f>
        <v>8</v>
      </c>
      <c r="N16" s="254"/>
      <c r="O16" s="255"/>
      <c r="P16" s="256"/>
      <c r="Q16" s="256"/>
      <c r="R16" s="256"/>
      <c r="S16" s="152"/>
      <c r="T16" s="148"/>
    </row>
    <row r="17" spans="1:20" s="144" customFormat="1" ht="29.25" customHeight="1">
      <c r="A17" s="150" t="s">
        <v>344</v>
      </c>
      <c r="B17" s="147" t="s">
        <v>345</v>
      </c>
      <c r="C17" s="252">
        <f>I17+M17+O17+P17+R17</f>
        <v>943</v>
      </c>
      <c r="D17" s="159"/>
      <c r="E17" s="160"/>
      <c r="F17" s="160"/>
      <c r="G17" s="160"/>
      <c r="H17" s="160"/>
      <c r="I17" s="253"/>
      <c r="J17" s="161"/>
      <c r="K17" s="161"/>
      <c r="L17" s="161"/>
      <c r="M17" s="254"/>
      <c r="N17" s="254"/>
      <c r="O17" s="255"/>
      <c r="P17" s="256"/>
      <c r="Q17" s="256">
        <v>943</v>
      </c>
      <c r="R17" s="336">
        <f>SUM(N17:Q17)</f>
        <v>943</v>
      </c>
      <c r="S17" s="152"/>
      <c r="T17" s="148"/>
    </row>
    <row r="18" spans="1:20" s="144" customFormat="1" ht="15">
      <c r="A18" s="150" t="s">
        <v>430</v>
      </c>
      <c r="B18" s="257" t="s">
        <v>431</v>
      </c>
      <c r="C18" s="252">
        <f t="shared" si="1"/>
        <v>657</v>
      </c>
      <c r="D18" s="159">
        <f>16+558</f>
        <v>574</v>
      </c>
      <c r="E18" s="160">
        <f>8+75</f>
        <v>83</v>
      </c>
      <c r="F18" s="160"/>
      <c r="G18" s="160"/>
      <c r="H18" s="160"/>
      <c r="I18" s="253">
        <f t="shared" si="0"/>
        <v>657</v>
      </c>
      <c r="J18" s="161"/>
      <c r="K18" s="161"/>
      <c r="L18" s="161"/>
      <c r="M18" s="254"/>
      <c r="N18" s="254"/>
      <c r="O18" s="255"/>
      <c r="P18" s="256"/>
      <c r="Q18" s="256"/>
      <c r="R18" s="256"/>
      <c r="S18" s="152"/>
      <c r="T18" s="148"/>
    </row>
    <row r="19" spans="1:20" s="144" customFormat="1" ht="15">
      <c r="A19" s="150" t="s">
        <v>354</v>
      </c>
      <c r="B19" s="257" t="s">
        <v>355</v>
      </c>
      <c r="C19" s="252">
        <f>I19+M19+O19+P19</f>
        <v>312</v>
      </c>
      <c r="D19" s="159"/>
      <c r="E19" s="160"/>
      <c r="F19" s="160">
        <v>254</v>
      </c>
      <c r="G19" s="160"/>
      <c r="H19" s="160"/>
      <c r="I19" s="253">
        <f t="shared" si="0"/>
        <v>254</v>
      </c>
      <c r="J19" s="161">
        <v>58</v>
      </c>
      <c r="K19" s="161"/>
      <c r="L19" s="161"/>
      <c r="M19" s="254">
        <f>SUM(J19:L19)</f>
        <v>58</v>
      </c>
      <c r="N19" s="254"/>
      <c r="O19" s="255"/>
      <c r="P19" s="256"/>
      <c r="Q19" s="256"/>
      <c r="R19" s="256"/>
      <c r="S19" s="152"/>
      <c r="T19" s="148"/>
    </row>
    <row r="20" spans="1:20" s="144" customFormat="1" ht="30">
      <c r="A20" s="150" t="s">
        <v>227</v>
      </c>
      <c r="B20" s="147" t="s">
        <v>228</v>
      </c>
      <c r="C20" s="252">
        <f>I20+M20+O20+P20</f>
        <v>237</v>
      </c>
      <c r="D20" s="159"/>
      <c r="E20" s="160"/>
      <c r="F20" s="160">
        <v>237</v>
      </c>
      <c r="G20" s="160"/>
      <c r="H20" s="160"/>
      <c r="I20" s="253">
        <f t="shared" si="0"/>
        <v>237</v>
      </c>
      <c r="J20" s="161"/>
      <c r="K20" s="161"/>
      <c r="L20" s="161"/>
      <c r="M20" s="254"/>
      <c r="N20" s="254"/>
      <c r="O20" s="255"/>
      <c r="P20" s="256"/>
      <c r="Q20" s="256"/>
      <c r="R20" s="256"/>
      <c r="S20" s="149"/>
      <c r="T20" s="148"/>
    </row>
    <row r="21" spans="1:20" s="144" customFormat="1" ht="30">
      <c r="A21" s="150" t="s">
        <v>229</v>
      </c>
      <c r="B21" s="147" t="s">
        <v>230</v>
      </c>
      <c r="C21" s="252">
        <f>I21+M21+O21+P21</f>
        <v>3993</v>
      </c>
      <c r="D21" s="159"/>
      <c r="E21" s="160"/>
      <c r="F21" s="160">
        <v>3993</v>
      </c>
      <c r="G21" s="160"/>
      <c r="H21" s="160"/>
      <c r="I21" s="253">
        <f t="shared" si="0"/>
        <v>3993</v>
      </c>
      <c r="J21" s="161"/>
      <c r="K21" s="161"/>
      <c r="L21" s="161"/>
      <c r="M21" s="254"/>
      <c r="N21" s="254"/>
      <c r="O21" s="255"/>
      <c r="P21" s="256"/>
      <c r="Q21" s="256"/>
      <c r="R21" s="256"/>
      <c r="S21" s="152"/>
      <c r="T21" s="148"/>
    </row>
    <row r="22" spans="1:20" s="144" customFormat="1" ht="15">
      <c r="A22" s="150" t="s">
        <v>231</v>
      </c>
      <c r="B22" s="147" t="s">
        <v>232</v>
      </c>
      <c r="C22" s="252">
        <f>I22+M22+O22+P22</f>
        <v>600</v>
      </c>
      <c r="D22" s="159"/>
      <c r="E22" s="160"/>
      <c r="F22" s="160"/>
      <c r="G22" s="160"/>
      <c r="H22" s="160"/>
      <c r="I22" s="253"/>
      <c r="J22" s="161"/>
      <c r="K22" s="161"/>
      <c r="L22" s="161">
        <v>600</v>
      </c>
      <c r="M22" s="254">
        <f>SUM(J22:L22)</f>
        <v>600</v>
      </c>
      <c r="N22" s="254"/>
      <c r="O22" s="255"/>
      <c r="P22" s="256"/>
      <c r="Q22" s="256"/>
      <c r="R22" s="256"/>
      <c r="S22" s="152"/>
      <c r="T22" s="148"/>
    </row>
    <row r="23" spans="1:20" s="144" customFormat="1" ht="15">
      <c r="A23" s="150" t="s">
        <v>233</v>
      </c>
      <c r="B23" s="147" t="s">
        <v>234</v>
      </c>
      <c r="C23" s="252">
        <f t="shared" si="1"/>
        <v>3056</v>
      </c>
      <c r="D23" s="159"/>
      <c r="E23" s="160"/>
      <c r="F23" s="160">
        <v>3056</v>
      </c>
      <c r="G23" s="161"/>
      <c r="H23" s="160"/>
      <c r="I23" s="253">
        <f t="shared" si="0"/>
        <v>3056</v>
      </c>
      <c r="J23" s="161"/>
      <c r="K23" s="161"/>
      <c r="L23" s="161"/>
      <c r="M23" s="254"/>
      <c r="N23" s="254"/>
      <c r="O23" s="255"/>
      <c r="P23" s="256"/>
      <c r="Q23" s="256"/>
      <c r="R23" s="256"/>
      <c r="S23" s="152"/>
      <c r="T23" s="148"/>
    </row>
    <row r="24" spans="1:20" s="144" customFormat="1" ht="15">
      <c r="A24" s="150" t="s">
        <v>235</v>
      </c>
      <c r="B24" s="147" t="s">
        <v>236</v>
      </c>
      <c r="C24" s="252">
        <f t="shared" si="1"/>
        <v>381</v>
      </c>
      <c r="D24" s="159"/>
      <c r="E24" s="160"/>
      <c r="F24" s="160">
        <v>381</v>
      </c>
      <c r="G24" s="161"/>
      <c r="H24" s="160"/>
      <c r="I24" s="253">
        <f t="shared" si="0"/>
        <v>381</v>
      </c>
      <c r="J24" s="161"/>
      <c r="K24" s="161"/>
      <c r="L24" s="161"/>
      <c r="M24" s="254"/>
      <c r="N24" s="254"/>
      <c r="O24" s="255"/>
      <c r="P24" s="256"/>
      <c r="Q24" s="256"/>
      <c r="R24" s="256"/>
      <c r="S24" s="152"/>
      <c r="T24" s="148"/>
    </row>
    <row r="25" spans="1:20" s="144" customFormat="1" ht="30">
      <c r="A25" s="150" t="s">
        <v>237</v>
      </c>
      <c r="B25" s="147" t="s">
        <v>238</v>
      </c>
      <c r="C25" s="252">
        <f t="shared" si="1"/>
        <v>2695</v>
      </c>
      <c r="D25" s="159">
        <f>671+65+13</f>
        <v>749</v>
      </c>
      <c r="E25" s="160">
        <f>183+15+6</f>
        <v>204</v>
      </c>
      <c r="F25" s="160">
        <v>1577</v>
      </c>
      <c r="G25" s="161"/>
      <c r="H25" s="160"/>
      <c r="I25" s="253">
        <f t="shared" si="0"/>
        <v>2530</v>
      </c>
      <c r="J25" s="161">
        <v>165</v>
      </c>
      <c r="K25" s="161"/>
      <c r="L25" s="161"/>
      <c r="M25" s="254">
        <f>SUM(J25:L25)</f>
        <v>165</v>
      </c>
      <c r="N25" s="254"/>
      <c r="O25" s="255"/>
      <c r="P25" s="256"/>
      <c r="Q25" s="256"/>
      <c r="R25" s="256"/>
      <c r="S25" s="152">
        <v>0.5</v>
      </c>
      <c r="T25" s="148">
        <v>0.5</v>
      </c>
    </row>
    <row r="26" spans="1:20" s="144" customFormat="1" ht="15">
      <c r="A26" s="150" t="s">
        <v>239</v>
      </c>
      <c r="B26" s="147" t="s">
        <v>45</v>
      </c>
      <c r="C26" s="252">
        <f t="shared" si="1"/>
        <v>60</v>
      </c>
      <c r="D26" s="159"/>
      <c r="E26" s="160"/>
      <c r="F26" s="160">
        <v>60</v>
      </c>
      <c r="G26" s="161"/>
      <c r="H26" s="160"/>
      <c r="I26" s="253">
        <f t="shared" si="0"/>
        <v>60</v>
      </c>
      <c r="J26" s="161"/>
      <c r="K26" s="161"/>
      <c r="L26" s="161"/>
      <c r="M26" s="254"/>
      <c r="N26" s="254"/>
      <c r="O26" s="255"/>
      <c r="P26" s="256"/>
      <c r="Q26" s="256"/>
      <c r="R26" s="256"/>
      <c r="S26" s="152"/>
      <c r="T26" s="148"/>
    </row>
    <row r="27" spans="1:20" s="144" customFormat="1" ht="33.75" customHeight="1">
      <c r="A27" s="150" t="s">
        <v>240</v>
      </c>
      <c r="B27" s="147" t="s">
        <v>241</v>
      </c>
      <c r="C27" s="252">
        <f t="shared" si="1"/>
        <v>675</v>
      </c>
      <c r="D27" s="159"/>
      <c r="E27" s="160"/>
      <c r="F27" s="160"/>
      <c r="G27" s="160"/>
      <c r="H27" s="160">
        <v>675</v>
      </c>
      <c r="I27" s="253">
        <f t="shared" si="0"/>
        <v>675</v>
      </c>
      <c r="J27" s="161"/>
      <c r="K27" s="161"/>
      <c r="L27" s="161"/>
      <c r="M27" s="254"/>
      <c r="N27" s="254"/>
      <c r="O27" s="255"/>
      <c r="P27" s="256"/>
      <c r="Q27" s="256"/>
      <c r="R27" s="256"/>
      <c r="S27" s="152"/>
      <c r="T27" s="148"/>
    </row>
    <row r="28" spans="1:20" s="144" customFormat="1" ht="15">
      <c r="A28" s="150" t="s">
        <v>242</v>
      </c>
      <c r="B28" s="147" t="s">
        <v>49</v>
      </c>
      <c r="C28" s="252">
        <f t="shared" si="1"/>
        <v>556</v>
      </c>
      <c r="D28" s="159">
        <f>356+11+5</f>
        <v>372</v>
      </c>
      <c r="E28" s="160">
        <f>97+2+2</f>
        <v>101</v>
      </c>
      <c r="F28" s="160">
        <v>83</v>
      </c>
      <c r="G28" s="160"/>
      <c r="H28" s="160"/>
      <c r="I28" s="253">
        <f t="shared" si="0"/>
        <v>556</v>
      </c>
      <c r="J28" s="161"/>
      <c r="K28" s="161"/>
      <c r="L28" s="161"/>
      <c r="M28" s="254"/>
      <c r="N28" s="254"/>
      <c r="O28" s="255"/>
      <c r="P28" s="256"/>
      <c r="Q28" s="256"/>
      <c r="R28" s="256"/>
      <c r="S28" s="152">
        <v>0.2</v>
      </c>
      <c r="T28" s="148">
        <v>0.2</v>
      </c>
    </row>
    <row r="29" spans="1:20" s="144" customFormat="1" ht="15">
      <c r="A29" s="150" t="s">
        <v>442</v>
      </c>
      <c r="B29" s="147" t="s">
        <v>443</v>
      </c>
      <c r="C29" s="252">
        <f t="shared" si="1"/>
        <v>331</v>
      </c>
      <c r="D29" s="159">
        <v>266</v>
      </c>
      <c r="E29" s="160">
        <v>65</v>
      </c>
      <c r="F29" s="160"/>
      <c r="G29" s="160"/>
      <c r="H29" s="160"/>
      <c r="I29" s="253">
        <f t="shared" si="0"/>
        <v>331</v>
      </c>
      <c r="J29" s="161"/>
      <c r="K29" s="161"/>
      <c r="L29" s="161"/>
      <c r="M29" s="254"/>
      <c r="N29" s="254"/>
      <c r="O29" s="255"/>
      <c r="P29" s="256"/>
      <c r="Q29" s="256"/>
      <c r="R29" s="256"/>
      <c r="S29" s="152"/>
      <c r="T29" s="148"/>
    </row>
    <row r="30" spans="1:20" s="144" customFormat="1" ht="15">
      <c r="A30" s="150" t="s">
        <v>243</v>
      </c>
      <c r="B30" s="147" t="s">
        <v>47</v>
      </c>
      <c r="C30" s="252">
        <f t="shared" si="1"/>
        <v>200</v>
      </c>
      <c r="D30" s="159"/>
      <c r="E30" s="160"/>
      <c r="F30" s="160"/>
      <c r="G30" s="160"/>
      <c r="H30" s="160">
        <v>200</v>
      </c>
      <c r="I30" s="253">
        <f t="shared" si="0"/>
        <v>200</v>
      </c>
      <c r="J30" s="161"/>
      <c r="K30" s="161"/>
      <c r="L30" s="161"/>
      <c r="M30" s="254"/>
      <c r="N30" s="254"/>
      <c r="O30" s="255"/>
      <c r="P30" s="256"/>
      <c r="Q30" s="256"/>
      <c r="R30" s="256"/>
      <c r="S30" s="152"/>
      <c r="T30" s="148"/>
    </row>
    <row r="31" spans="1:20" s="144" customFormat="1" ht="30">
      <c r="A31" s="150" t="s">
        <v>244</v>
      </c>
      <c r="B31" s="147" t="s">
        <v>245</v>
      </c>
      <c r="C31" s="252">
        <f t="shared" si="1"/>
        <v>2740</v>
      </c>
      <c r="D31" s="159">
        <f>1788+22+33-266</f>
        <v>1577</v>
      </c>
      <c r="E31" s="160">
        <f>478+6+16-65</f>
        <v>435</v>
      </c>
      <c r="F31" s="160">
        <f>537+191</f>
        <v>728</v>
      </c>
      <c r="G31" s="160"/>
      <c r="H31" s="160"/>
      <c r="I31" s="253">
        <f t="shared" si="0"/>
        <v>2740</v>
      </c>
      <c r="J31" s="161"/>
      <c r="K31" s="161"/>
      <c r="L31" s="161"/>
      <c r="M31" s="254"/>
      <c r="N31" s="254"/>
      <c r="O31" s="255"/>
      <c r="P31" s="256"/>
      <c r="Q31" s="256"/>
      <c r="R31" s="256"/>
      <c r="S31" s="152">
        <f>0.3+0.75</f>
        <v>1.05</v>
      </c>
      <c r="T31" s="148">
        <v>1.05</v>
      </c>
    </row>
    <row r="32" spans="1:20" s="144" customFormat="1" ht="30">
      <c r="A32" s="150" t="s">
        <v>246</v>
      </c>
      <c r="B32" s="147" t="s">
        <v>247</v>
      </c>
      <c r="C32" s="252">
        <f t="shared" si="1"/>
        <v>50</v>
      </c>
      <c r="D32" s="159"/>
      <c r="E32" s="160"/>
      <c r="F32" s="160"/>
      <c r="G32" s="160"/>
      <c r="H32" s="160">
        <v>50</v>
      </c>
      <c r="I32" s="253">
        <f t="shared" si="0"/>
        <v>50</v>
      </c>
      <c r="J32" s="161"/>
      <c r="K32" s="161"/>
      <c r="L32" s="161"/>
      <c r="M32" s="254"/>
      <c r="N32" s="254"/>
      <c r="O32" s="255"/>
      <c r="P32" s="256"/>
      <c r="Q32" s="256"/>
      <c r="R32" s="256"/>
      <c r="S32" s="152"/>
      <c r="T32" s="148"/>
    </row>
    <row r="33" spans="1:20" s="144" customFormat="1" ht="15">
      <c r="A33" s="150" t="s">
        <v>346</v>
      </c>
      <c r="B33" s="147" t="s">
        <v>347</v>
      </c>
      <c r="C33" s="252">
        <f t="shared" si="1"/>
        <v>5218</v>
      </c>
      <c r="D33" s="159">
        <f>1839+13+11</f>
        <v>1863</v>
      </c>
      <c r="E33" s="160">
        <f>501+2+6</f>
        <v>509</v>
      </c>
      <c r="F33" s="160">
        <f>2823+23</f>
        <v>2846</v>
      </c>
      <c r="G33" s="160"/>
      <c r="H33" s="160"/>
      <c r="I33" s="253">
        <f t="shared" si="0"/>
        <v>5218</v>
      </c>
      <c r="J33" s="161"/>
      <c r="K33" s="161"/>
      <c r="L33" s="161"/>
      <c r="M33" s="254"/>
      <c r="N33" s="254"/>
      <c r="O33" s="255"/>
      <c r="P33" s="256"/>
      <c r="Q33" s="256"/>
      <c r="R33" s="256"/>
      <c r="S33" s="225">
        <v>1</v>
      </c>
      <c r="T33" s="226">
        <v>1</v>
      </c>
    </row>
    <row r="34" spans="1:20" s="144" customFormat="1" ht="30">
      <c r="A34" s="150" t="s">
        <v>348</v>
      </c>
      <c r="B34" s="147" t="s">
        <v>349</v>
      </c>
      <c r="C34" s="252">
        <f t="shared" si="1"/>
        <v>839</v>
      </c>
      <c r="D34" s="159">
        <f>320+2+2</f>
        <v>324</v>
      </c>
      <c r="E34" s="160">
        <f>87+1+1</f>
        <v>89</v>
      </c>
      <c r="F34" s="160">
        <f>422+4</f>
        <v>426</v>
      </c>
      <c r="G34" s="160"/>
      <c r="H34" s="160"/>
      <c r="I34" s="253">
        <f t="shared" si="0"/>
        <v>839</v>
      </c>
      <c r="J34" s="161"/>
      <c r="K34" s="161"/>
      <c r="L34" s="161"/>
      <c r="M34" s="254"/>
      <c r="N34" s="254"/>
      <c r="O34" s="255"/>
      <c r="P34" s="256"/>
      <c r="Q34" s="256"/>
      <c r="R34" s="256"/>
      <c r="S34" s="152"/>
      <c r="T34" s="148"/>
    </row>
    <row r="35" spans="1:20" s="144" customFormat="1" ht="30">
      <c r="A35" s="150">
        <v>101150</v>
      </c>
      <c r="B35" s="147" t="s">
        <v>248</v>
      </c>
      <c r="C35" s="252">
        <f t="shared" si="1"/>
        <v>116</v>
      </c>
      <c r="D35" s="159"/>
      <c r="E35" s="160"/>
      <c r="F35" s="160"/>
      <c r="G35" s="160">
        <f>45+71</f>
        <v>116</v>
      </c>
      <c r="H35" s="160"/>
      <c r="I35" s="253">
        <f t="shared" si="0"/>
        <v>116</v>
      </c>
      <c r="J35" s="161"/>
      <c r="K35" s="161"/>
      <c r="L35" s="161"/>
      <c r="M35" s="254"/>
      <c r="N35" s="254"/>
      <c r="O35" s="255"/>
      <c r="P35" s="256"/>
      <c r="Q35" s="256"/>
      <c r="R35" s="256"/>
      <c r="S35" s="152"/>
      <c r="T35" s="148"/>
    </row>
    <row r="36" spans="1:20" s="144" customFormat="1" ht="15">
      <c r="A36" s="150" t="s">
        <v>249</v>
      </c>
      <c r="B36" s="153" t="s">
        <v>46</v>
      </c>
      <c r="C36" s="252">
        <f t="shared" si="1"/>
        <v>264</v>
      </c>
      <c r="D36" s="159">
        <v>204</v>
      </c>
      <c r="E36" s="160">
        <v>50</v>
      </c>
      <c r="F36" s="160">
        <v>10</v>
      </c>
      <c r="G36" s="160"/>
      <c r="H36" s="160"/>
      <c r="I36" s="253">
        <f t="shared" si="0"/>
        <v>264</v>
      </c>
      <c r="J36" s="161"/>
      <c r="K36" s="161"/>
      <c r="L36" s="161"/>
      <c r="M36" s="254"/>
      <c r="N36" s="254"/>
      <c r="O36" s="255"/>
      <c r="P36" s="256"/>
      <c r="Q36" s="256"/>
      <c r="R36" s="256"/>
      <c r="S36" s="152"/>
      <c r="T36" s="148"/>
    </row>
    <row r="37" spans="1:20" s="144" customFormat="1" ht="30">
      <c r="A37" s="150">
        <v>104051</v>
      </c>
      <c r="B37" s="147" t="s">
        <v>412</v>
      </c>
      <c r="C37" s="252">
        <f t="shared" si="1"/>
        <v>46</v>
      </c>
      <c r="D37" s="159"/>
      <c r="E37" s="160"/>
      <c r="F37" s="160"/>
      <c r="G37" s="160">
        <v>46</v>
      </c>
      <c r="H37" s="160"/>
      <c r="I37" s="253">
        <f t="shared" si="0"/>
        <v>46</v>
      </c>
      <c r="J37" s="161"/>
      <c r="K37" s="161"/>
      <c r="L37" s="161"/>
      <c r="M37" s="254"/>
      <c r="N37" s="254"/>
      <c r="O37" s="255"/>
      <c r="P37" s="256"/>
      <c r="Q37" s="256"/>
      <c r="R37" s="256"/>
      <c r="S37" s="152"/>
      <c r="T37" s="148"/>
    </row>
    <row r="38" spans="1:20" s="144" customFormat="1" ht="15">
      <c r="A38" s="150">
        <v>105010</v>
      </c>
      <c r="B38" s="147" t="s">
        <v>250</v>
      </c>
      <c r="C38" s="252">
        <f t="shared" si="1"/>
        <v>173</v>
      </c>
      <c r="D38" s="159"/>
      <c r="E38" s="160"/>
      <c r="F38" s="160"/>
      <c r="G38" s="160">
        <f>147+26</f>
        <v>173</v>
      </c>
      <c r="H38" s="160"/>
      <c r="I38" s="253">
        <f t="shared" si="0"/>
        <v>173</v>
      </c>
      <c r="J38" s="161"/>
      <c r="K38" s="161"/>
      <c r="L38" s="161"/>
      <c r="M38" s="254"/>
      <c r="N38" s="254"/>
      <c r="O38" s="255"/>
      <c r="P38" s="256"/>
      <c r="Q38" s="256"/>
      <c r="R38" s="256"/>
      <c r="S38" s="152"/>
      <c r="T38" s="148"/>
    </row>
    <row r="39" spans="1:20" s="144" customFormat="1" ht="30">
      <c r="A39" s="150">
        <v>106020</v>
      </c>
      <c r="B39" s="147" t="s">
        <v>251</v>
      </c>
      <c r="C39" s="252">
        <f t="shared" si="1"/>
        <v>791</v>
      </c>
      <c r="D39" s="159"/>
      <c r="E39" s="160"/>
      <c r="F39" s="160"/>
      <c r="G39" s="160">
        <v>791</v>
      </c>
      <c r="H39" s="160"/>
      <c r="I39" s="253">
        <f t="shared" si="0"/>
        <v>791</v>
      </c>
      <c r="J39" s="161"/>
      <c r="K39" s="161"/>
      <c r="L39" s="161"/>
      <c r="M39" s="254"/>
      <c r="N39" s="254"/>
      <c r="O39" s="255"/>
      <c r="P39" s="256"/>
      <c r="Q39" s="256"/>
      <c r="R39" s="256"/>
      <c r="S39" s="152">
        <v>0.6</v>
      </c>
      <c r="T39" s="148">
        <v>0.6</v>
      </c>
    </row>
    <row r="40" spans="1:20" s="144" customFormat="1" ht="15">
      <c r="A40" s="150" t="s">
        <v>252</v>
      </c>
      <c r="B40" s="153" t="s">
        <v>409</v>
      </c>
      <c r="C40" s="252">
        <f t="shared" si="1"/>
        <v>4216</v>
      </c>
      <c r="D40" s="159">
        <f>1479+10+9</f>
        <v>1498</v>
      </c>
      <c r="E40" s="160">
        <f>403+2+5</f>
        <v>410</v>
      </c>
      <c r="F40" s="160">
        <f>2261+29+18</f>
        <v>2308</v>
      </c>
      <c r="G40" s="160"/>
      <c r="H40" s="160"/>
      <c r="I40" s="253">
        <f t="shared" si="0"/>
        <v>4216</v>
      </c>
      <c r="J40" s="161"/>
      <c r="K40" s="161"/>
      <c r="L40" s="161"/>
      <c r="M40" s="254"/>
      <c r="N40" s="254"/>
      <c r="O40" s="255"/>
      <c r="P40" s="256"/>
      <c r="Q40" s="256"/>
      <c r="R40" s="256"/>
      <c r="S40" s="152"/>
      <c r="T40" s="148"/>
    </row>
    <row r="41" spans="1:20" s="144" customFormat="1" ht="15">
      <c r="A41" s="150" t="s">
        <v>410</v>
      </c>
      <c r="B41" s="153" t="s">
        <v>411</v>
      </c>
      <c r="C41" s="252">
        <f t="shared" si="1"/>
        <v>1182</v>
      </c>
      <c r="D41" s="159">
        <f>360+2+2</f>
        <v>364</v>
      </c>
      <c r="E41" s="160">
        <f>98+1+1</f>
        <v>100</v>
      </c>
      <c r="F41" s="160">
        <f>713+5</f>
        <v>718</v>
      </c>
      <c r="G41" s="160"/>
      <c r="H41" s="160"/>
      <c r="I41" s="253">
        <f t="shared" si="0"/>
        <v>1182</v>
      </c>
      <c r="J41" s="161"/>
      <c r="K41" s="161"/>
      <c r="L41" s="161"/>
      <c r="M41" s="254"/>
      <c r="N41" s="254"/>
      <c r="O41" s="255"/>
      <c r="P41" s="256"/>
      <c r="Q41" s="256"/>
      <c r="R41" s="256"/>
      <c r="S41" s="152"/>
      <c r="T41" s="148"/>
    </row>
    <row r="42" spans="1:20" s="144" customFormat="1" ht="15">
      <c r="A42" s="150">
        <v>107052</v>
      </c>
      <c r="B42" s="154" t="s">
        <v>253</v>
      </c>
      <c r="C42" s="252">
        <f t="shared" si="1"/>
        <v>360</v>
      </c>
      <c r="D42" s="159"/>
      <c r="E42" s="160"/>
      <c r="F42" s="160">
        <v>360</v>
      </c>
      <c r="G42" s="160"/>
      <c r="H42" s="160"/>
      <c r="I42" s="253">
        <f t="shared" si="0"/>
        <v>360</v>
      </c>
      <c r="J42" s="161"/>
      <c r="K42" s="161"/>
      <c r="L42" s="161"/>
      <c r="M42" s="254"/>
      <c r="N42" s="254"/>
      <c r="O42" s="255"/>
      <c r="P42" s="256"/>
      <c r="Q42" s="256"/>
      <c r="R42" s="256"/>
      <c r="S42" s="152"/>
      <c r="T42" s="148"/>
    </row>
    <row r="43" spans="1:20" s="144" customFormat="1" ht="27.75" customHeight="1">
      <c r="A43" s="150">
        <v>107060</v>
      </c>
      <c r="B43" s="147" t="s">
        <v>254</v>
      </c>
      <c r="C43" s="252">
        <f t="shared" si="1"/>
        <v>1916</v>
      </c>
      <c r="D43" s="159"/>
      <c r="E43" s="160"/>
      <c r="F43" s="160">
        <v>249</v>
      </c>
      <c r="G43" s="160">
        <f>1604+160-71-26</f>
        <v>1667</v>
      </c>
      <c r="H43" s="160"/>
      <c r="I43" s="253">
        <f t="shared" si="0"/>
        <v>1916</v>
      </c>
      <c r="J43" s="161"/>
      <c r="K43" s="161"/>
      <c r="L43" s="161"/>
      <c r="M43" s="254"/>
      <c r="N43" s="254"/>
      <c r="O43" s="255"/>
      <c r="P43" s="256"/>
      <c r="Q43" s="256"/>
      <c r="R43" s="256"/>
      <c r="S43" s="149">
        <v>0.4</v>
      </c>
      <c r="T43" s="148">
        <v>0.4</v>
      </c>
    </row>
    <row r="44" spans="1:20" s="144" customFormat="1" ht="15.75" thickBot="1">
      <c r="A44" s="150">
        <v>900070</v>
      </c>
      <c r="B44" s="154" t="s">
        <v>413</v>
      </c>
      <c r="C44" s="252">
        <f t="shared" si="1"/>
        <v>8229</v>
      </c>
      <c r="D44" s="159"/>
      <c r="E44" s="160"/>
      <c r="F44" s="160"/>
      <c r="G44" s="160"/>
      <c r="H44" s="160">
        <f>10107+185-155-1748-160</f>
        <v>8229</v>
      </c>
      <c r="I44" s="253">
        <f t="shared" si="0"/>
        <v>8229</v>
      </c>
      <c r="J44" s="161"/>
      <c r="K44" s="161"/>
      <c r="L44" s="161"/>
      <c r="M44" s="254"/>
      <c r="N44" s="254"/>
      <c r="O44" s="255"/>
      <c r="P44" s="256"/>
      <c r="Q44" s="256"/>
      <c r="R44" s="256"/>
      <c r="S44" s="152"/>
      <c r="T44" s="148"/>
    </row>
    <row r="45" spans="1:20" ht="15" thickBot="1">
      <c r="A45" s="258"/>
      <c r="B45" s="259" t="s">
        <v>356</v>
      </c>
      <c r="C45" s="260">
        <f>SUM(C14:C44)</f>
        <v>82837</v>
      </c>
      <c r="D45" s="260">
        <f aca="true" t="shared" si="2" ref="D45:J45">SUM(D14:D44)</f>
        <v>14956</v>
      </c>
      <c r="E45" s="260">
        <f t="shared" si="2"/>
        <v>4094</v>
      </c>
      <c r="F45" s="260">
        <f t="shared" si="2"/>
        <v>23456</v>
      </c>
      <c r="G45" s="260">
        <f t="shared" si="2"/>
        <v>2793</v>
      </c>
      <c r="H45" s="260">
        <f t="shared" si="2"/>
        <v>9401</v>
      </c>
      <c r="I45" s="260">
        <f t="shared" si="2"/>
        <v>54700</v>
      </c>
      <c r="J45" s="260">
        <f t="shared" si="2"/>
        <v>379</v>
      </c>
      <c r="K45" s="260"/>
      <c r="L45" s="260">
        <f>SUM(L14:L43)</f>
        <v>26815</v>
      </c>
      <c r="M45" s="260">
        <f>SUM(M14:M43)</f>
        <v>27194</v>
      </c>
      <c r="N45" s="260"/>
      <c r="O45" s="260"/>
      <c r="P45" s="260"/>
      <c r="Q45" s="260">
        <f>SUM(Q14:Q43)</f>
        <v>943</v>
      </c>
      <c r="R45" s="260">
        <f>SUM(R14:R43)</f>
        <v>943</v>
      </c>
      <c r="S45" s="155">
        <f>SUM(S14:S43)</f>
        <v>4.25</v>
      </c>
      <c r="T45" s="155">
        <f>SUM(T14:T43)</f>
        <v>4.25</v>
      </c>
    </row>
  </sheetData>
  <sheetProtection/>
  <mergeCells count="32">
    <mergeCell ref="A2:P2"/>
    <mergeCell ref="A3:T3"/>
    <mergeCell ref="S12:T13"/>
    <mergeCell ref="N10:R10"/>
    <mergeCell ref="K1:T1"/>
    <mergeCell ref="S8:T8"/>
    <mergeCell ref="A6:T6"/>
    <mergeCell ref="K11:K13"/>
    <mergeCell ref="L11:L13"/>
    <mergeCell ref="O11:O13"/>
    <mergeCell ref="P11:P13"/>
    <mergeCell ref="G11:G13"/>
    <mergeCell ref="D10:I10"/>
    <mergeCell ref="Q11:Q13"/>
    <mergeCell ref="A5:T5"/>
    <mergeCell ref="R11:R13"/>
    <mergeCell ref="N11:N13"/>
    <mergeCell ref="E11:E13"/>
    <mergeCell ref="A7:T7"/>
    <mergeCell ref="S9:T9"/>
    <mergeCell ref="I11:I13"/>
    <mergeCell ref="A9:A13"/>
    <mergeCell ref="S10:T10"/>
    <mergeCell ref="D11:D13"/>
    <mergeCell ref="F11:F13"/>
    <mergeCell ref="B9:B13"/>
    <mergeCell ref="C9:C13"/>
    <mergeCell ref="J11:J13"/>
    <mergeCell ref="M11:M13"/>
    <mergeCell ref="J10:M10"/>
    <mergeCell ref="H11:H13"/>
    <mergeCell ref="D9:R9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"/>
  <sheetViews>
    <sheetView zoomScalePageLayoutView="0" workbookViewId="0" topLeftCell="A1">
      <selection activeCell="B7" sqref="B7:F7"/>
    </sheetView>
  </sheetViews>
  <sheetFormatPr defaultColWidth="9.00390625" defaultRowHeight="12.75"/>
  <cols>
    <col min="1" max="1" width="9.125" style="239" customWidth="1"/>
    <col min="2" max="2" width="63.125" style="239" customWidth="1"/>
    <col min="3" max="6" width="26.25390625" style="239" customWidth="1"/>
    <col min="7" max="16384" width="9.125" style="239" customWidth="1"/>
  </cols>
  <sheetData>
    <row r="2" spans="1:6" s="227" customFormat="1" ht="15.75">
      <c r="A2" s="165" t="s">
        <v>453</v>
      </c>
      <c r="C2" s="228"/>
      <c r="D2" s="229"/>
      <c r="E2" s="229"/>
      <c r="F2" s="229"/>
    </row>
    <row r="3" spans="2:6" s="93" customFormat="1" ht="15" customHeight="1">
      <c r="B3" s="355"/>
      <c r="C3" s="355"/>
      <c r="D3" s="355"/>
      <c r="E3" s="355"/>
      <c r="F3" s="355"/>
    </row>
    <row r="4" spans="3:6" s="230" customFormat="1" ht="15" customHeight="1">
      <c r="C4" s="231"/>
      <c r="D4" s="232"/>
      <c r="E4" s="232"/>
      <c r="F4" s="232"/>
    </row>
    <row r="5" spans="2:6" s="162" customFormat="1" ht="15" customHeight="1">
      <c r="B5" s="390" t="s">
        <v>53</v>
      </c>
      <c r="C5" s="390"/>
      <c r="D5" s="390"/>
      <c r="E5" s="390"/>
      <c r="F5" s="390"/>
    </row>
    <row r="6" spans="2:6" s="162" customFormat="1" ht="15.75">
      <c r="B6" s="391" t="s">
        <v>357</v>
      </c>
      <c r="C6" s="391"/>
      <c r="D6" s="391"/>
      <c r="E6" s="391"/>
      <c r="F6" s="391"/>
    </row>
    <row r="7" spans="2:6" s="162" customFormat="1" ht="15" customHeight="1">
      <c r="B7" s="390" t="s">
        <v>172</v>
      </c>
      <c r="C7" s="390"/>
      <c r="D7" s="390"/>
      <c r="E7" s="390"/>
      <c r="F7" s="390"/>
    </row>
    <row r="8" spans="2:6" s="227" customFormat="1" ht="12" customHeight="1" thickBot="1">
      <c r="B8" s="228"/>
      <c r="C8" s="233"/>
      <c r="D8" s="234"/>
      <c r="E8" s="234"/>
      <c r="F8" s="235"/>
    </row>
    <row r="9" spans="1:6" s="227" customFormat="1" ht="16.5" customHeight="1" thickBot="1">
      <c r="A9" s="370" t="s">
        <v>204</v>
      </c>
      <c r="B9" s="373" t="s">
        <v>205</v>
      </c>
      <c r="C9" s="376" t="s">
        <v>358</v>
      </c>
      <c r="D9" s="379" t="s">
        <v>339</v>
      </c>
      <c r="E9" s="379"/>
      <c r="F9" s="380"/>
    </row>
    <row r="10" spans="1:6" s="227" customFormat="1" ht="33" customHeight="1" thickBot="1">
      <c r="A10" s="371"/>
      <c r="B10" s="374"/>
      <c r="C10" s="377"/>
      <c r="D10" s="236" t="s">
        <v>340</v>
      </c>
      <c r="E10" s="237" t="s">
        <v>341</v>
      </c>
      <c r="F10" s="238" t="s">
        <v>342</v>
      </c>
    </row>
    <row r="11" spans="1:6" s="227" customFormat="1" ht="22.5" customHeight="1">
      <c r="A11" s="371"/>
      <c r="B11" s="374"/>
      <c r="C11" s="377"/>
      <c r="D11" s="381" t="s">
        <v>343</v>
      </c>
      <c r="E11" s="382"/>
      <c r="F11" s="383"/>
    </row>
    <row r="12" spans="1:6" ht="12.75">
      <c r="A12" s="371"/>
      <c r="B12" s="374"/>
      <c r="C12" s="377"/>
      <c r="D12" s="384"/>
      <c r="E12" s="385"/>
      <c r="F12" s="386"/>
    </row>
    <row r="13" spans="1:6" ht="3" customHeight="1" thickBot="1">
      <c r="A13" s="372"/>
      <c r="B13" s="375"/>
      <c r="C13" s="378"/>
      <c r="D13" s="387"/>
      <c r="E13" s="388"/>
      <c r="F13" s="389"/>
    </row>
    <row r="14" spans="1:6" ht="30">
      <c r="A14" s="146" t="s">
        <v>222</v>
      </c>
      <c r="B14" s="147" t="s">
        <v>223</v>
      </c>
      <c r="C14" s="242">
        <f>SUM(D14:F14)</f>
        <v>40414</v>
      </c>
      <c r="D14" s="242">
        <f>38022-27044+32+1748+191+135+148</f>
        <v>13232</v>
      </c>
      <c r="E14" s="242">
        <f>30792+37-3785+19+119</f>
        <v>27182</v>
      </c>
      <c r="F14" s="242"/>
    </row>
    <row r="15" spans="1:6" ht="15">
      <c r="A15" s="150" t="s">
        <v>224</v>
      </c>
      <c r="B15" s="147" t="s">
        <v>48</v>
      </c>
      <c r="C15" s="244">
        <f aca="true" t="shared" si="0" ref="C15:C43">SUM(D15:F15)</f>
        <v>64</v>
      </c>
      <c r="D15" s="244">
        <v>64</v>
      </c>
      <c r="E15" s="244"/>
      <c r="F15" s="244"/>
    </row>
    <row r="16" spans="1:6" ht="15">
      <c r="A16" s="150" t="s">
        <v>225</v>
      </c>
      <c r="B16" s="147" t="s">
        <v>226</v>
      </c>
      <c r="C16" s="244">
        <f t="shared" si="0"/>
        <v>1523</v>
      </c>
      <c r="D16" s="244">
        <f>1523-8</f>
        <v>1515</v>
      </c>
      <c r="E16" s="244">
        <v>8</v>
      </c>
      <c r="F16" s="244"/>
    </row>
    <row r="17" spans="1:6" ht="15">
      <c r="A17" s="150"/>
      <c r="B17" s="147" t="s">
        <v>345</v>
      </c>
      <c r="C17" s="244">
        <f t="shared" si="0"/>
        <v>943</v>
      </c>
      <c r="D17" s="244">
        <v>943</v>
      </c>
      <c r="E17" s="244"/>
      <c r="F17" s="244"/>
    </row>
    <row r="18" spans="1:6" ht="15">
      <c r="A18" s="150"/>
      <c r="B18" s="147" t="s">
        <v>431</v>
      </c>
      <c r="C18" s="244">
        <f t="shared" si="0"/>
        <v>657</v>
      </c>
      <c r="D18" s="244"/>
      <c r="E18" s="244">
        <f>24+633</f>
        <v>657</v>
      </c>
      <c r="F18" s="244"/>
    </row>
    <row r="19" spans="1:6" ht="15">
      <c r="A19" s="150" t="s">
        <v>354</v>
      </c>
      <c r="B19" s="257" t="s">
        <v>355</v>
      </c>
      <c r="C19" s="244">
        <f t="shared" si="0"/>
        <v>312</v>
      </c>
      <c r="D19" s="244">
        <v>312</v>
      </c>
      <c r="E19" s="244"/>
      <c r="F19" s="244"/>
    </row>
    <row r="20" spans="1:6" ht="30">
      <c r="A20" s="150" t="s">
        <v>227</v>
      </c>
      <c r="B20" s="147" t="s">
        <v>228</v>
      </c>
      <c r="C20" s="244">
        <f t="shared" si="0"/>
        <v>237</v>
      </c>
      <c r="D20" s="244">
        <v>237</v>
      </c>
      <c r="E20" s="244"/>
      <c r="F20" s="244"/>
    </row>
    <row r="21" spans="1:6" ht="15">
      <c r="A21" s="150" t="s">
        <v>229</v>
      </c>
      <c r="B21" s="147" t="s">
        <v>230</v>
      </c>
      <c r="C21" s="244">
        <f t="shared" si="0"/>
        <v>3993</v>
      </c>
      <c r="D21" s="244">
        <v>3993</v>
      </c>
      <c r="E21" s="244"/>
      <c r="F21" s="244"/>
    </row>
    <row r="22" spans="1:6" ht="15">
      <c r="A22" s="150" t="s">
        <v>231</v>
      </c>
      <c r="B22" s="147" t="s">
        <v>232</v>
      </c>
      <c r="C22" s="244">
        <f t="shared" si="0"/>
        <v>600</v>
      </c>
      <c r="D22" s="244"/>
      <c r="E22" s="244">
        <v>600</v>
      </c>
      <c r="F22" s="244"/>
    </row>
    <row r="23" spans="1:6" ht="15">
      <c r="A23" s="150" t="s">
        <v>233</v>
      </c>
      <c r="B23" s="147" t="s">
        <v>234</v>
      </c>
      <c r="C23" s="244">
        <f t="shared" si="0"/>
        <v>3056</v>
      </c>
      <c r="D23" s="244">
        <v>3056</v>
      </c>
      <c r="E23" s="244"/>
      <c r="F23" s="244"/>
    </row>
    <row r="24" spans="1:6" ht="15">
      <c r="A24" s="150" t="s">
        <v>235</v>
      </c>
      <c r="B24" s="147" t="s">
        <v>236</v>
      </c>
      <c r="C24" s="244">
        <f t="shared" si="0"/>
        <v>381</v>
      </c>
      <c r="D24" s="244">
        <v>381</v>
      </c>
      <c r="E24" s="244"/>
      <c r="F24" s="244"/>
    </row>
    <row r="25" spans="1:6" ht="15">
      <c r="A25" s="150" t="s">
        <v>237</v>
      </c>
      <c r="B25" s="147" t="s">
        <v>238</v>
      </c>
      <c r="C25" s="244">
        <f t="shared" si="0"/>
        <v>2695</v>
      </c>
      <c r="D25" s="244">
        <f>2431-37+165+80</f>
        <v>2639</v>
      </c>
      <c r="E25" s="244">
        <f>37+19</f>
        <v>56</v>
      </c>
      <c r="F25" s="244"/>
    </row>
    <row r="26" spans="1:6" ht="15">
      <c r="A26" s="150" t="s">
        <v>239</v>
      </c>
      <c r="B26" s="147" t="s">
        <v>45</v>
      </c>
      <c r="C26" s="244">
        <f t="shared" si="0"/>
        <v>60</v>
      </c>
      <c r="D26" s="244">
        <v>60</v>
      </c>
      <c r="E26" s="244"/>
      <c r="F26" s="244"/>
    </row>
    <row r="27" spans="1:6" ht="15">
      <c r="A27" s="150" t="s">
        <v>240</v>
      </c>
      <c r="B27" s="147" t="s">
        <v>241</v>
      </c>
      <c r="C27" s="244">
        <f t="shared" si="0"/>
        <v>675</v>
      </c>
      <c r="D27" s="244">
        <v>675</v>
      </c>
      <c r="E27" s="244"/>
      <c r="F27" s="244"/>
    </row>
    <row r="28" spans="1:6" ht="15">
      <c r="A28" s="150" t="s">
        <v>242</v>
      </c>
      <c r="B28" s="147" t="s">
        <v>49</v>
      </c>
      <c r="C28" s="244">
        <f t="shared" si="0"/>
        <v>556</v>
      </c>
      <c r="D28" s="244">
        <f>536-15+13</f>
        <v>534</v>
      </c>
      <c r="E28" s="244">
        <f>15+7</f>
        <v>22</v>
      </c>
      <c r="F28" s="244"/>
    </row>
    <row r="29" spans="1:6" ht="15">
      <c r="A29" s="150" t="s">
        <v>243</v>
      </c>
      <c r="B29" s="147" t="s">
        <v>47</v>
      </c>
      <c r="C29" s="244">
        <f t="shared" si="0"/>
        <v>200</v>
      </c>
      <c r="D29" s="244"/>
      <c r="E29" s="244">
        <v>200</v>
      </c>
      <c r="F29" s="244"/>
    </row>
    <row r="30" spans="1:6" ht="15">
      <c r="A30" s="150" t="s">
        <v>244</v>
      </c>
      <c r="B30" s="147" t="s">
        <v>245</v>
      </c>
      <c r="C30" s="244">
        <f t="shared" si="0"/>
        <v>3071</v>
      </c>
      <c r="D30" s="244">
        <f>2803-75+28+191</f>
        <v>2947</v>
      </c>
      <c r="E30" s="244">
        <f>75+49</f>
        <v>124</v>
      </c>
      <c r="F30" s="244"/>
    </row>
    <row r="31" spans="1:6" ht="15">
      <c r="A31" s="150" t="s">
        <v>246</v>
      </c>
      <c r="B31" s="147" t="s">
        <v>247</v>
      </c>
      <c r="C31" s="244">
        <f t="shared" si="0"/>
        <v>50</v>
      </c>
      <c r="D31" s="244"/>
      <c r="E31" s="244">
        <v>50</v>
      </c>
      <c r="F31" s="244"/>
    </row>
    <row r="32" spans="1:6" ht="15">
      <c r="A32" s="150" t="s">
        <v>346</v>
      </c>
      <c r="B32" s="147" t="s">
        <v>347</v>
      </c>
      <c r="C32" s="244">
        <f t="shared" si="0"/>
        <v>5218</v>
      </c>
      <c r="D32" s="244">
        <f>5163-68+15+23</f>
        <v>5133</v>
      </c>
      <c r="E32" s="244">
        <f>68+17</f>
        <v>85</v>
      </c>
      <c r="F32" s="244"/>
    </row>
    <row r="33" spans="1:6" ht="15">
      <c r="A33" s="150" t="s">
        <v>348</v>
      </c>
      <c r="B33" s="147" t="s">
        <v>349</v>
      </c>
      <c r="C33" s="244">
        <f t="shared" si="0"/>
        <v>839</v>
      </c>
      <c r="D33" s="244"/>
      <c r="E33" s="244">
        <f>832+3+4</f>
        <v>839</v>
      </c>
      <c r="F33" s="244"/>
    </row>
    <row r="34" spans="1:6" ht="15">
      <c r="A34" s="150">
        <v>101150</v>
      </c>
      <c r="B34" s="147" t="s">
        <v>248</v>
      </c>
      <c r="C34" s="244">
        <f t="shared" si="0"/>
        <v>116</v>
      </c>
      <c r="D34" s="244">
        <f>45+71</f>
        <v>116</v>
      </c>
      <c r="E34" s="244"/>
      <c r="F34" s="244"/>
    </row>
    <row r="35" spans="1:6" ht="15">
      <c r="A35" s="150" t="s">
        <v>249</v>
      </c>
      <c r="B35" s="153" t="s">
        <v>46</v>
      </c>
      <c r="C35" s="244">
        <f t="shared" si="0"/>
        <v>264</v>
      </c>
      <c r="D35" s="244">
        <v>264</v>
      </c>
      <c r="E35" s="244"/>
      <c r="F35" s="244"/>
    </row>
    <row r="36" spans="1:6" ht="15">
      <c r="A36" s="150">
        <v>104051</v>
      </c>
      <c r="B36" s="154" t="s">
        <v>412</v>
      </c>
      <c r="C36" s="244">
        <f t="shared" si="0"/>
        <v>46</v>
      </c>
      <c r="D36" s="244"/>
      <c r="E36" s="244"/>
      <c r="F36" s="244">
        <v>46</v>
      </c>
    </row>
    <row r="37" spans="1:6" ht="15">
      <c r="A37" s="150">
        <v>105010</v>
      </c>
      <c r="B37" s="147" t="s">
        <v>250</v>
      </c>
      <c r="C37" s="244">
        <f t="shared" si="0"/>
        <v>173</v>
      </c>
      <c r="D37" s="244"/>
      <c r="E37" s="244"/>
      <c r="F37" s="244">
        <f>147+26</f>
        <v>173</v>
      </c>
    </row>
    <row r="38" spans="1:6" ht="15">
      <c r="A38" s="150">
        <v>106020</v>
      </c>
      <c r="B38" s="147" t="s">
        <v>251</v>
      </c>
      <c r="C38" s="244">
        <f t="shared" si="0"/>
        <v>791</v>
      </c>
      <c r="D38" s="244">
        <v>600</v>
      </c>
      <c r="E38" s="244"/>
      <c r="F38" s="244">
        <v>191</v>
      </c>
    </row>
    <row r="39" spans="1:6" ht="15">
      <c r="A39" s="150" t="s">
        <v>252</v>
      </c>
      <c r="B39" s="153" t="s">
        <v>409</v>
      </c>
      <c r="C39" s="244">
        <f t="shared" si="0"/>
        <v>4216</v>
      </c>
      <c r="D39" s="244">
        <f>4143-54+12+18+29</f>
        <v>4148</v>
      </c>
      <c r="E39" s="244">
        <f>54+14</f>
        <v>68</v>
      </c>
      <c r="F39" s="244"/>
    </row>
    <row r="40" spans="1:6" ht="15">
      <c r="A40" s="150" t="s">
        <v>410</v>
      </c>
      <c r="B40" s="153" t="s">
        <v>411</v>
      </c>
      <c r="C40" s="244">
        <f t="shared" si="0"/>
        <v>1182</v>
      </c>
      <c r="D40" s="244"/>
      <c r="E40" s="244">
        <f>1174+3+5</f>
        <v>1182</v>
      </c>
      <c r="F40" s="244"/>
    </row>
    <row r="41" spans="1:6" ht="15">
      <c r="A41" s="150">
        <v>107052</v>
      </c>
      <c r="B41" s="153" t="s">
        <v>253</v>
      </c>
      <c r="C41" s="244">
        <f t="shared" si="0"/>
        <v>360</v>
      </c>
      <c r="D41" s="244">
        <v>360</v>
      </c>
      <c r="E41" s="244"/>
      <c r="F41" s="244"/>
    </row>
    <row r="42" spans="1:6" ht="15">
      <c r="A42" s="150">
        <v>107060</v>
      </c>
      <c r="B42" s="153" t="s">
        <v>254</v>
      </c>
      <c r="C42" s="244">
        <f t="shared" si="0"/>
        <v>1916</v>
      </c>
      <c r="D42" s="244">
        <v>249</v>
      </c>
      <c r="E42" s="244">
        <f>1604+160-71-26</f>
        <v>1667</v>
      </c>
      <c r="F42" s="244"/>
    </row>
    <row r="43" spans="1:6" ht="15.75" thickBot="1">
      <c r="A43" s="150">
        <v>900070</v>
      </c>
      <c r="B43" s="153" t="s">
        <v>413</v>
      </c>
      <c r="C43" s="244">
        <f t="shared" si="0"/>
        <v>8229</v>
      </c>
      <c r="D43" s="244">
        <f>10107+185-155-1748-160</f>
        <v>8229</v>
      </c>
      <c r="E43" s="244"/>
      <c r="F43" s="244"/>
    </row>
    <row r="44" spans="1:6" ht="33" customHeight="1" thickBot="1">
      <c r="A44" s="246"/>
      <c r="B44" s="247" t="s">
        <v>2</v>
      </c>
      <c r="C44" s="248">
        <f>SUM(C14:C43)</f>
        <v>82837</v>
      </c>
      <c r="D44" s="248">
        <f>SUM(D14:D43)</f>
        <v>49687</v>
      </c>
      <c r="E44" s="248">
        <f>SUM(E14:E43)</f>
        <v>32740</v>
      </c>
      <c r="F44" s="248">
        <f>SUM(F14:F43)</f>
        <v>410</v>
      </c>
    </row>
  </sheetData>
  <sheetProtection/>
  <mergeCells count="9">
    <mergeCell ref="B3:F3"/>
    <mergeCell ref="B5:F5"/>
    <mergeCell ref="B6:F6"/>
    <mergeCell ref="B7:F7"/>
    <mergeCell ref="A9:A13"/>
    <mergeCell ref="B9:B13"/>
    <mergeCell ref="C9:C13"/>
    <mergeCell ref="D9:F9"/>
    <mergeCell ref="D11:F13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43"/>
  <sheetViews>
    <sheetView zoomScalePageLayoutView="0" workbookViewId="0" topLeftCell="A1">
      <selection activeCell="F9" sqref="F9:F11"/>
    </sheetView>
  </sheetViews>
  <sheetFormatPr defaultColWidth="9.00390625" defaultRowHeight="12.75"/>
  <cols>
    <col min="1" max="2" width="9.125" style="12" customWidth="1"/>
    <col min="3" max="3" width="23.125" style="12" customWidth="1"/>
    <col min="4" max="4" width="17.375" style="12" customWidth="1"/>
    <col min="5" max="5" width="14.375" style="12" customWidth="1"/>
    <col min="6" max="6" width="17.125" style="12" customWidth="1"/>
    <col min="7" max="16384" width="9.125" style="12" customWidth="1"/>
  </cols>
  <sheetData>
    <row r="1" spans="1:10" ht="15.75">
      <c r="A1" s="165" t="s">
        <v>454</v>
      </c>
      <c r="C1" s="100"/>
      <c r="D1" s="100"/>
      <c r="E1" s="100"/>
      <c r="F1" s="100"/>
      <c r="G1" s="100"/>
      <c r="H1" s="100"/>
      <c r="I1" s="100"/>
      <c r="J1" s="100"/>
    </row>
    <row r="2" spans="1:6" ht="15">
      <c r="A2" s="435"/>
      <c r="B2" s="435"/>
      <c r="C2" s="435"/>
      <c r="D2" s="435"/>
      <c r="E2" s="435"/>
      <c r="F2" s="435"/>
    </row>
    <row r="3" spans="1:6" ht="15">
      <c r="A3" s="435"/>
      <c r="B3" s="435"/>
      <c r="C3" s="435"/>
      <c r="D3" s="435"/>
      <c r="E3" s="435"/>
      <c r="F3" s="435"/>
    </row>
    <row r="4" ht="12.75" customHeight="1"/>
    <row r="5" spans="1:6" s="22" customFormat="1" ht="15.75">
      <c r="A5" s="436" t="s">
        <v>4</v>
      </c>
      <c r="B5" s="436"/>
      <c r="C5" s="436"/>
      <c r="D5" s="436"/>
      <c r="E5" s="436"/>
      <c r="F5" s="436"/>
    </row>
    <row r="6" spans="1:6" s="22" customFormat="1" ht="15.75">
      <c r="A6" s="436" t="s">
        <v>334</v>
      </c>
      <c r="B6" s="436"/>
      <c r="C6" s="436"/>
      <c r="D6" s="436"/>
      <c r="E6" s="436"/>
      <c r="F6" s="436"/>
    </row>
    <row r="7" spans="1:6" ht="12.75" customHeight="1">
      <c r="A7" s="437"/>
      <c r="B7" s="437"/>
      <c r="C7" s="437"/>
      <c r="D7" s="437"/>
      <c r="E7" s="437"/>
      <c r="F7" s="437"/>
    </row>
    <row r="8" ht="15">
      <c r="F8" s="156" t="s">
        <v>8</v>
      </c>
    </row>
    <row r="9" spans="1:6" ht="15">
      <c r="A9" s="438" t="s">
        <v>0</v>
      </c>
      <c r="B9" s="439"/>
      <c r="C9" s="439"/>
      <c r="D9" s="439"/>
      <c r="E9" s="440"/>
      <c r="F9" s="432" t="s">
        <v>12</v>
      </c>
    </row>
    <row r="10" spans="1:6" ht="15">
      <c r="A10" s="441"/>
      <c r="B10" s="442"/>
      <c r="C10" s="442"/>
      <c r="D10" s="442"/>
      <c r="E10" s="443"/>
      <c r="F10" s="433"/>
    </row>
    <row r="11" spans="1:6" ht="15">
      <c r="A11" s="444"/>
      <c r="B11" s="445"/>
      <c r="C11" s="445"/>
      <c r="D11" s="445"/>
      <c r="E11" s="446"/>
      <c r="F11" s="434"/>
    </row>
    <row r="12" spans="1:6" ht="15">
      <c r="A12" s="14" t="s">
        <v>255</v>
      </c>
      <c r="E12" s="24"/>
      <c r="F12" s="25"/>
    </row>
    <row r="13" spans="1:2" s="14" customFormat="1" ht="11.25" customHeight="1">
      <c r="A13" s="156"/>
      <c r="B13" s="12"/>
    </row>
    <row r="14" spans="1:5" ht="29.25" customHeight="1">
      <c r="A14" s="156"/>
      <c r="B14" s="369" t="s">
        <v>256</v>
      </c>
      <c r="C14" s="369"/>
      <c r="D14" s="369"/>
      <c r="E14" s="369"/>
    </row>
    <row r="15" spans="1:6" ht="15.75">
      <c r="A15" s="157" t="s">
        <v>56</v>
      </c>
      <c r="B15" s="15" t="s">
        <v>28</v>
      </c>
      <c r="D15" s="13"/>
      <c r="F15" s="63"/>
    </row>
    <row r="16" spans="1:6" ht="15.75">
      <c r="A16" s="158" t="s">
        <v>32</v>
      </c>
      <c r="B16" s="16" t="s">
        <v>83</v>
      </c>
      <c r="F16" s="63">
        <v>20</v>
      </c>
    </row>
    <row r="17" spans="1:6" ht="15">
      <c r="A17" s="13" t="s">
        <v>57</v>
      </c>
      <c r="B17" s="12" t="s">
        <v>34</v>
      </c>
      <c r="F17" s="63">
        <v>92</v>
      </c>
    </row>
    <row r="18" spans="1:6" ht="15">
      <c r="A18" s="13" t="s">
        <v>116</v>
      </c>
      <c r="B18" s="12" t="s">
        <v>433</v>
      </c>
      <c r="F18" s="63">
        <v>15</v>
      </c>
    </row>
    <row r="19" spans="1:6" ht="15">
      <c r="A19" s="13" t="s">
        <v>118</v>
      </c>
      <c r="B19" s="12" t="s">
        <v>434</v>
      </c>
      <c r="F19" s="63">
        <v>120</v>
      </c>
    </row>
    <row r="20" spans="1:2" s="14" customFormat="1" ht="11.25" customHeight="1">
      <c r="A20" s="156"/>
      <c r="B20" s="12"/>
    </row>
    <row r="21" spans="1:6" ht="33.75" customHeight="1">
      <c r="A21" s="14"/>
      <c r="B21" s="369" t="s">
        <v>257</v>
      </c>
      <c r="C21" s="369"/>
      <c r="D21" s="369"/>
      <c r="E21" s="369"/>
      <c r="F21" s="64">
        <f>SUM(F15:F20)</f>
        <v>247</v>
      </c>
    </row>
    <row r="22" spans="1:2" s="14" customFormat="1" ht="11.25" customHeight="1">
      <c r="A22" s="156"/>
      <c r="B22" s="12"/>
    </row>
    <row r="23" spans="1:6" ht="33" customHeight="1">
      <c r="A23" s="14"/>
      <c r="B23" s="369" t="s">
        <v>258</v>
      </c>
      <c r="C23" s="369"/>
      <c r="D23" s="369"/>
      <c r="E23" s="369"/>
      <c r="F23" s="63"/>
    </row>
    <row r="24" spans="1:2" s="14" customFormat="1" ht="11.25" customHeight="1">
      <c r="A24" s="156"/>
      <c r="B24" s="12"/>
    </row>
    <row r="25" spans="1:6" ht="15.75">
      <c r="A25" s="13" t="s">
        <v>56</v>
      </c>
      <c r="B25" s="15" t="s">
        <v>29</v>
      </c>
      <c r="C25" s="15"/>
      <c r="F25" s="63">
        <v>50</v>
      </c>
    </row>
    <row r="26" spans="1:2" s="14" customFormat="1" ht="11.25" customHeight="1">
      <c r="A26" s="156"/>
      <c r="B26" s="12"/>
    </row>
    <row r="27" spans="1:255" ht="15.75">
      <c r="A27" s="13" t="s">
        <v>32</v>
      </c>
      <c r="B27" s="18" t="s">
        <v>30</v>
      </c>
      <c r="C27" s="18"/>
      <c r="D27" s="18"/>
      <c r="E27" s="18"/>
      <c r="F27" s="63">
        <v>40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</row>
    <row r="28" spans="1:255" ht="15.75">
      <c r="A28" s="13" t="s">
        <v>57</v>
      </c>
      <c r="B28" s="18" t="s">
        <v>31</v>
      </c>
      <c r="C28" s="18"/>
      <c r="D28" s="18"/>
      <c r="E28" s="18"/>
      <c r="F28" s="63">
        <v>80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</row>
    <row r="29" spans="1:255" ht="15.75">
      <c r="A29" s="13" t="s">
        <v>116</v>
      </c>
      <c r="B29" s="18" t="s">
        <v>59</v>
      </c>
      <c r="C29" s="18"/>
      <c r="D29" s="18"/>
      <c r="E29" s="18"/>
      <c r="F29" s="63">
        <f>80</f>
        <v>80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</row>
    <row r="30" spans="1:255" ht="15.75">
      <c r="A30" s="13" t="s">
        <v>118</v>
      </c>
      <c r="B30" s="18" t="s">
        <v>60</v>
      </c>
      <c r="C30" s="18"/>
      <c r="D30" s="18"/>
      <c r="E30" s="18"/>
      <c r="F30" s="63">
        <v>75</v>
      </c>
      <c r="G30" s="81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</row>
    <row r="31" spans="1:6" ht="13.5" customHeight="1">
      <c r="A31" s="13" t="s">
        <v>124</v>
      </c>
      <c r="B31" s="18" t="s">
        <v>84</v>
      </c>
      <c r="F31" s="63">
        <v>600</v>
      </c>
    </row>
    <row r="32" spans="1:2" s="14" customFormat="1" ht="11.25" customHeight="1">
      <c r="A32" s="156"/>
      <c r="B32" s="12"/>
    </row>
    <row r="33" spans="1:8" ht="32.25" customHeight="1">
      <c r="A33" s="14"/>
      <c r="B33" s="369" t="s">
        <v>259</v>
      </c>
      <c r="C33" s="369"/>
      <c r="D33" s="369"/>
      <c r="E33" s="369"/>
      <c r="F33" s="64">
        <f>SUM(F25:F32)</f>
        <v>925</v>
      </c>
      <c r="G33" s="17"/>
      <c r="H33" s="17"/>
    </row>
    <row r="34" spans="1:2" s="14" customFormat="1" ht="11.25" customHeight="1">
      <c r="A34" s="156"/>
      <c r="B34" s="12"/>
    </row>
    <row r="35" spans="1:7" s="19" customFormat="1" ht="15.75">
      <c r="A35" s="14" t="s">
        <v>260</v>
      </c>
      <c r="F35" s="64">
        <f>F33+F21</f>
        <v>1172</v>
      </c>
      <c r="G35" s="20"/>
    </row>
    <row r="36" spans="1:2" s="14" customFormat="1" ht="11.25" customHeight="1">
      <c r="A36" s="156"/>
      <c r="B36" s="12"/>
    </row>
    <row r="37" spans="2:7" s="19" customFormat="1" ht="54.75" customHeight="1">
      <c r="B37" s="365" t="s">
        <v>328</v>
      </c>
      <c r="C37" s="365"/>
      <c r="D37" s="365"/>
      <c r="E37" s="365"/>
      <c r="F37" s="64"/>
      <c r="G37" s="20"/>
    </row>
    <row r="38" spans="1:2" s="14" customFormat="1" ht="11.25" customHeight="1">
      <c r="A38" s="156"/>
      <c r="B38" s="12"/>
    </row>
    <row r="39" spans="1:6" ht="31.5" customHeight="1">
      <c r="A39" s="13" t="s">
        <v>56</v>
      </c>
      <c r="B39" s="447" t="s">
        <v>329</v>
      </c>
      <c r="C39" s="447"/>
      <c r="D39" s="447"/>
      <c r="E39" s="447"/>
      <c r="F39" s="63">
        <v>26215</v>
      </c>
    </row>
    <row r="40" spans="1:2" s="14" customFormat="1" ht="11.25" customHeight="1">
      <c r="A40" s="156"/>
      <c r="B40" s="12"/>
    </row>
    <row r="41" spans="1:7" s="19" customFormat="1" ht="50.25" customHeight="1">
      <c r="A41" s="365" t="s">
        <v>330</v>
      </c>
      <c r="B41" s="365"/>
      <c r="C41" s="365"/>
      <c r="D41" s="365"/>
      <c r="E41" s="365"/>
      <c r="F41" s="64">
        <f>F39</f>
        <v>26215</v>
      </c>
      <c r="G41" s="20"/>
    </row>
    <row r="42" spans="1:2" s="14" customFormat="1" ht="11.25" customHeight="1">
      <c r="A42" s="156"/>
      <c r="B42" s="12"/>
    </row>
    <row r="43" spans="1:6" s="21" customFormat="1" ht="18.75">
      <c r="A43" s="21" t="s">
        <v>7</v>
      </c>
      <c r="F43" s="59">
        <f>F35+F41</f>
        <v>27387</v>
      </c>
    </row>
  </sheetData>
  <sheetProtection/>
  <mergeCells count="14">
    <mergeCell ref="A41:E41"/>
    <mergeCell ref="B23:E23"/>
    <mergeCell ref="B33:E33"/>
    <mergeCell ref="A9:E11"/>
    <mergeCell ref="B14:E14"/>
    <mergeCell ref="B21:E21"/>
    <mergeCell ref="B39:E39"/>
    <mergeCell ref="B37:E37"/>
    <mergeCell ref="F9:F11"/>
    <mergeCell ref="A2:F2"/>
    <mergeCell ref="A3:F3"/>
    <mergeCell ref="A5:F5"/>
    <mergeCell ref="A7:F7"/>
    <mergeCell ref="A6:F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67.875" style="44" customWidth="1"/>
    <col min="2" max="2" width="12.125" style="44" customWidth="1"/>
    <col min="3" max="3" width="16.00390625" style="58" customWidth="1"/>
    <col min="4" max="16384" width="9.125" style="44" customWidth="1"/>
  </cols>
  <sheetData>
    <row r="1" spans="1:4" ht="15.75">
      <c r="A1" s="165" t="s">
        <v>455</v>
      </c>
      <c r="B1" s="165"/>
      <c r="C1" s="165"/>
      <c r="D1" s="100"/>
    </row>
    <row r="2" spans="1:4" ht="15">
      <c r="A2" s="101"/>
      <c r="B2" s="101"/>
      <c r="C2" s="101"/>
      <c r="D2" s="100"/>
    </row>
    <row r="3" spans="1:3" ht="15.75" customHeight="1">
      <c r="A3" s="448"/>
      <c r="B3" s="448"/>
      <c r="C3" s="448"/>
    </row>
    <row r="4" spans="1:3" ht="15.75">
      <c r="A4" s="45"/>
      <c r="B4" s="45"/>
      <c r="C4" s="56"/>
    </row>
    <row r="5" spans="1:3" s="15" customFormat="1" ht="15.75" customHeight="1">
      <c r="A5" s="449" t="s">
        <v>51</v>
      </c>
      <c r="B5" s="449"/>
      <c r="C5" s="449"/>
    </row>
    <row r="6" spans="1:6" s="22" customFormat="1" ht="15.75">
      <c r="A6" s="436" t="s">
        <v>52</v>
      </c>
      <c r="B6" s="436"/>
      <c r="C6" s="436"/>
      <c r="D6" s="66"/>
      <c r="E6" s="66"/>
      <c r="F6" s="66"/>
    </row>
    <row r="7" spans="1:6" s="12" customFormat="1" ht="15">
      <c r="A7" s="435" t="s">
        <v>262</v>
      </c>
      <c r="B7" s="435"/>
      <c r="C7" s="435"/>
      <c r="D7" s="65"/>
      <c r="E7" s="65"/>
      <c r="F7" s="65"/>
    </row>
    <row r="8" spans="2:3" ht="15.75" customHeight="1" thickBot="1">
      <c r="B8" s="46"/>
      <c r="C8" s="57" t="s">
        <v>5</v>
      </c>
    </row>
    <row r="9" spans="1:3" ht="15" customHeight="1">
      <c r="A9" s="47"/>
      <c r="B9" s="48" t="s">
        <v>22</v>
      </c>
      <c r="C9" s="60" t="s">
        <v>42</v>
      </c>
    </row>
    <row r="10" spans="1:3" ht="15.75" customHeight="1">
      <c r="A10" s="49" t="s">
        <v>0</v>
      </c>
      <c r="B10" s="50"/>
      <c r="C10" s="61" t="s">
        <v>43</v>
      </c>
    </row>
    <row r="11" spans="1:3" ht="32.25" thickBot="1">
      <c r="A11" s="51"/>
      <c r="B11" s="52" t="s">
        <v>11</v>
      </c>
      <c r="C11" s="62" t="s">
        <v>44</v>
      </c>
    </row>
    <row r="12" ht="11.25" customHeight="1">
      <c r="C12" s="44"/>
    </row>
    <row r="13" ht="15.75">
      <c r="A13" s="53" t="s">
        <v>35</v>
      </c>
    </row>
    <row r="14" ht="15.75">
      <c r="A14" s="53" t="s">
        <v>10</v>
      </c>
    </row>
    <row r="15" ht="11.25" customHeight="1"/>
    <row r="16" spans="1:3" ht="15">
      <c r="A16" s="44" t="s">
        <v>63</v>
      </c>
      <c r="B16" s="70">
        <f>51+26</f>
        <v>77</v>
      </c>
      <c r="C16" s="70">
        <v>69</v>
      </c>
    </row>
    <row r="17" spans="1:3" ht="15">
      <c r="A17" s="44" t="s">
        <v>85</v>
      </c>
      <c r="B17" s="70">
        <v>96</v>
      </c>
      <c r="C17" s="70">
        <f>B17*0.8</f>
        <v>76.80000000000001</v>
      </c>
    </row>
    <row r="18" spans="1:3" ht="15">
      <c r="A18" s="44" t="s">
        <v>91</v>
      </c>
      <c r="B18" s="63">
        <v>191</v>
      </c>
      <c r="C18" s="70">
        <f>48+133</f>
        <v>181</v>
      </c>
    </row>
    <row r="19" spans="2:3" ht="11.25" customHeight="1">
      <c r="B19" s="63"/>
      <c r="C19" s="63"/>
    </row>
    <row r="20" spans="1:2" ht="15.75">
      <c r="A20" s="53" t="s">
        <v>35</v>
      </c>
      <c r="B20" s="63"/>
    </row>
    <row r="21" spans="1:3" ht="15">
      <c r="A21" s="53" t="s">
        <v>36</v>
      </c>
      <c r="B21" s="64">
        <f>SUM(B16:B20)</f>
        <v>364</v>
      </c>
      <c r="C21" s="64">
        <f>SUM(C16:C20)</f>
        <v>326.8</v>
      </c>
    </row>
    <row r="22" ht="11.25" customHeight="1">
      <c r="B22" s="63"/>
    </row>
    <row r="23" spans="1:3" ht="15.75">
      <c r="A23" s="53" t="s">
        <v>37</v>
      </c>
      <c r="B23" s="63"/>
      <c r="C23" s="58">
        <f>B22*0.9</f>
        <v>0</v>
      </c>
    </row>
    <row r="24" spans="1:2" ht="15.75">
      <c r="A24" s="53" t="s">
        <v>10</v>
      </c>
      <c r="B24" s="63"/>
    </row>
    <row r="25" ht="11.25" customHeight="1">
      <c r="B25" s="63"/>
    </row>
    <row r="26" spans="1:2" ht="15.75">
      <c r="A26" s="44" t="s">
        <v>263</v>
      </c>
      <c r="B26" s="63">
        <f>15+40</f>
        <v>55</v>
      </c>
    </row>
    <row r="27" spans="1:3" s="23" customFormat="1" ht="15.75">
      <c r="A27" s="23" t="s">
        <v>414</v>
      </c>
      <c r="B27" s="71">
        <f>71</f>
        <v>71</v>
      </c>
      <c r="C27" s="58"/>
    </row>
    <row r="28" spans="1:2" ht="15.75">
      <c r="A28" s="44" t="s">
        <v>86</v>
      </c>
      <c r="B28" s="63">
        <f>342</f>
        <v>342</v>
      </c>
    </row>
    <row r="29" spans="1:2" ht="15.75">
      <c r="A29" s="44" t="s">
        <v>415</v>
      </c>
      <c r="B29" s="63">
        <f>45+47</f>
        <v>92</v>
      </c>
    </row>
    <row r="30" spans="1:2" ht="30">
      <c r="A30" s="219" t="s">
        <v>416</v>
      </c>
      <c r="B30" s="63">
        <v>600</v>
      </c>
    </row>
    <row r="31" spans="1:2" ht="15.75">
      <c r="A31" s="219" t="s">
        <v>417</v>
      </c>
      <c r="B31" s="63">
        <f>700-137</f>
        <v>563</v>
      </c>
    </row>
    <row r="32" spans="1:2" ht="15.75">
      <c r="A32" s="219" t="s">
        <v>418</v>
      </c>
      <c r="B32" s="63">
        <v>450</v>
      </c>
    </row>
    <row r="33" spans="1:2" ht="30">
      <c r="A33" s="219" t="s">
        <v>419</v>
      </c>
      <c r="B33" s="63">
        <v>46</v>
      </c>
    </row>
    <row r="34" spans="1:2" ht="15.75">
      <c r="A34" s="44" t="s">
        <v>92</v>
      </c>
      <c r="B34" s="63">
        <f>50+160</f>
        <v>210</v>
      </c>
    </row>
    <row r="35" ht="11.25" customHeight="1">
      <c r="B35" s="63"/>
    </row>
    <row r="36" spans="1:2" ht="15.75">
      <c r="A36" s="53" t="s">
        <v>37</v>
      </c>
      <c r="B36" s="63"/>
    </row>
    <row r="37" spans="1:3" ht="15">
      <c r="A37" s="53" t="s">
        <v>38</v>
      </c>
      <c r="B37" s="64">
        <f>SUM(B26:B36)</f>
        <v>2429</v>
      </c>
      <c r="C37" s="64">
        <f>SUM(C26:C36)</f>
        <v>0</v>
      </c>
    </row>
    <row r="38" ht="11.25" customHeight="1">
      <c r="B38" s="63"/>
    </row>
    <row r="39" spans="1:3" ht="15">
      <c r="A39" s="53" t="s">
        <v>39</v>
      </c>
      <c r="B39" s="64">
        <f>B37+B21</f>
        <v>2793</v>
      </c>
      <c r="C39" s="64">
        <f>C37+C21</f>
        <v>326.8</v>
      </c>
    </row>
    <row r="40" ht="11.25" customHeight="1">
      <c r="B40" s="63"/>
    </row>
    <row r="41" spans="1:3" s="53" customFormat="1" ht="15.75">
      <c r="A41" s="53" t="s">
        <v>326</v>
      </c>
      <c r="B41" s="64"/>
      <c r="C41" s="59"/>
    </row>
    <row r="42" ht="11.25" customHeight="1">
      <c r="B42" s="63"/>
    </row>
    <row r="43" spans="1:2" ht="30" customHeight="1">
      <c r="A43" s="219" t="s">
        <v>448</v>
      </c>
      <c r="B43" s="63">
        <v>600</v>
      </c>
    </row>
    <row r="44" ht="11.25" customHeight="1">
      <c r="B44" s="63"/>
    </row>
    <row r="45" spans="1:2" ht="15.75">
      <c r="A45" s="53" t="s">
        <v>327</v>
      </c>
      <c r="B45" s="64">
        <v>600</v>
      </c>
    </row>
    <row r="46" ht="11.25" customHeight="1">
      <c r="B46" s="63"/>
    </row>
    <row r="47" spans="1:3" s="55" customFormat="1" ht="16.5">
      <c r="A47" s="54" t="s">
        <v>40</v>
      </c>
      <c r="B47" s="72"/>
      <c r="C47" s="58"/>
    </row>
    <row r="48" spans="1:3" s="55" customFormat="1" ht="16.5">
      <c r="A48" s="54" t="s">
        <v>41</v>
      </c>
      <c r="B48" s="73">
        <f>B21+B37+B45</f>
        <v>3393</v>
      </c>
      <c r="C48" s="73">
        <f>C39</f>
        <v>326.8</v>
      </c>
    </row>
    <row r="52" ht="15">
      <c r="C52" s="44"/>
    </row>
    <row r="53" ht="15.75">
      <c r="C53" s="15"/>
    </row>
    <row r="54" ht="15.75">
      <c r="C54" s="15"/>
    </row>
    <row r="55" ht="15.75">
      <c r="C55" s="59"/>
    </row>
  </sheetData>
  <sheetProtection/>
  <mergeCells count="4">
    <mergeCell ref="A7:C7"/>
    <mergeCell ref="A6:C6"/>
    <mergeCell ref="A3:C3"/>
    <mergeCell ref="A5:C5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75.75390625" style="16" customWidth="1"/>
    <col min="2" max="2" width="20.00390625" style="16" customWidth="1"/>
    <col min="3" max="16384" width="9.125" style="16" customWidth="1"/>
  </cols>
  <sheetData>
    <row r="1" spans="1:3" s="261" customFormat="1" ht="15">
      <c r="A1" s="251" t="s">
        <v>456</v>
      </c>
      <c r="B1" s="251"/>
      <c r="C1" s="251"/>
    </row>
    <row r="3" spans="1:2" ht="15.75">
      <c r="A3" s="431"/>
      <c r="B3" s="431"/>
    </row>
    <row r="4" spans="1:3" s="44" customFormat="1" ht="15.75" customHeight="1">
      <c r="A4" s="448"/>
      <c r="B4" s="448"/>
      <c r="C4" s="262"/>
    </row>
    <row r="5" spans="1:2" ht="15.75">
      <c r="A5" s="263"/>
      <c r="B5" s="263"/>
    </row>
    <row r="6" spans="1:2" s="265" customFormat="1" ht="18.75">
      <c r="A6" s="264" t="s">
        <v>359</v>
      </c>
      <c r="B6" s="264"/>
    </row>
    <row r="7" spans="1:2" s="265" customFormat="1" ht="18.75">
      <c r="A7" s="450" t="s">
        <v>360</v>
      </c>
      <c r="B7" s="450"/>
    </row>
    <row r="8" spans="1:2" s="265" customFormat="1" ht="18.75">
      <c r="A8" s="450" t="s">
        <v>172</v>
      </c>
      <c r="B8" s="450"/>
    </row>
    <row r="9" ht="16.5" thickBot="1"/>
    <row r="10" spans="1:2" ht="15.75">
      <c r="A10" s="266"/>
      <c r="B10" s="267" t="s">
        <v>11</v>
      </c>
    </row>
    <row r="11" spans="1:2" ht="15.75">
      <c r="A11" s="268" t="s">
        <v>361</v>
      </c>
      <c r="B11" s="268"/>
    </row>
    <row r="12" spans="1:2" ht="16.5" thickBot="1">
      <c r="A12" s="269"/>
      <c r="B12" s="270" t="s">
        <v>362</v>
      </c>
    </row>
    <row r="13" spans="1:2" ht="15.75">
      <c r="A13" s="271"/>
      <c r="B13" s="272"/>
    </row>
    <row r="14" spans="1:2" ht="29.25">
      <c r="A14" s="330" t="s">
        <v>437</v>
      </c>
      <c r="B14" s="272"/>
    </row>
    <row r="15" spans="1:2" ht="15.75">
      <c r="A15" s="271"/>
      <c r="B15" s="272"/>
    </row>
    <row r="16" spans="1:2" ht="15.75">
      <c r="A16" s="275" t="s">
        <v>438</v>
      </c>
      <c r="B16" s="276">
        <v>116</v>
      </c>
    </row>
    <row r="17" spans="1:2" ht="18">
      <c r="A17" s="278" t="s">
        <v>363</v>
      </c>
      <c r="B17" s="279">
        <v>32</v>
      </c>
    </row>
    <row r="18" spans="1:2" ht="15.75">
      <c r="A18" s="271" t="s">
        <v>2</v>
      </c>
      <c r="B18" s="280">
        <f>SUM(B16:B17)</f>
        <v>148</v>
      </c>
    </row>
    <row r="19" spans="1:2" ht="15.75">
      <c r="A19" s="271"/>
      <c r="B19" s="272"/>
    </row>
    <row r="20" spans="1:2" ht="18.75" customHeight="1">
      <c r="A20" s="330" t="s">
        <v>421</v>
      </c>
      <c r="B20" s="272"/>
    </row>
    <row r="21" spans="1:2" ht="15.75">
      <c r="A21" s="271"/>
      <c r="B21" s="272"/>
    </row>
    <row r="22" spans="1:2" ht="15.75">
      <c r="A22" s="278" t="s">
        <v>422</v>
      </c>
      <c r="B22" s="280">
        <v>8</v>
      </c>
    </row>
    <row r="23" spans="1:2" ht="15.75">
      <c r="A23" s="271"/>
      <c r="B23" s="272"/>
    </row>
    <row r="24" spans="1:2" ht="15.75">
      <c r="A24" s="281" t="s">
        <v>365</v>
      </c>
      <c r="B24" s="273"/>
    </row>
    <row r="25" spans="1:2" ht="13.5" customHeight="1">
      <c r="A25" s="271"/>
      <c r="B25" s="274"/>
    </row>
    <row r="26" spans="1:6" ht="15.75">
      <c r="A26" s="275" t="s">
        <v>366</v>
      </c>
      <c r="B26" s="276">
        <v>46</v>
      </c>
      <c r="C26" s="277"/>
      <c r="D26" s="277"/>
      <c r="E26" s="277"/>
      <c r="F26" s="277"/>
    </row>
    <row r="27" spans="1:2" ht="18">
      <c r="A27" s="278" t="s">
        <v>363</v>
      </c>
      <c r="B27" s="279">
        <v>12</v>
      </c>
    </row>
    <row r="28" spans="1:2" ht="15.75">
      <c r="A28" s="271" t="s">
        <v>2</v>
      </c>
      <c r="B28" s="280">
        <f>SUM(B25:B27)</f>
        <v>58</v>
      </c>
    </row>
    <row r="30" ht="15.75">
      <c r="A30" s="331" t="s">
        <v>423</v>
      </c>
    </row>
    <row r="32" spans="1:4" ht="15.75">
      <c r="A32" s="335" t="s">
        <v>425</v>
      </c>
      <c r="B32" s="276">
        <v>130</v>
      </c>
      <c r="C32" s="335"/>
      <c r="D32" s="335"/>
    </row>
    <row r="33" spans="1:2" ht="18">
      <c r="A33" s="278" t="s">
        <v>363</v>
      </c>
      <c r="B33" s="279">
        <v>35</v>
      </c>
    </row>
    <row r="34" spans="1:2" ht="13.5" customHeight="1">
      <c r="A34" s="271" t="s">
        <v>2</v>
      </c>
      <c r="B34" s="280">
        <f>SUM(B32:B33)</f>
        <v>165</v>
      </c>
    </row>
    <row r="35" spans="1:2" ht="13.5" customHeight="1">
      <c r="A35" s="271"/>
      <c r="B35" s="280"/>
    </row>
    <row r="36" spans="1:2" ht="13.5" customHeight="1">
      <c r="A36" s="271"/>
      <c r="B36" s="272"/>
    </row>
    <row r="37" spans="1:2" ht="15.75">
      <c r="A37" s="271"/>
      <c r="B37" s="273"/>
    </row>
    <row r="38" spans="1:2" ht="15.75">
      <c r="A38" s="271" t="s">
        <v>364</v>
      </c>
      <c r="B38" s="280">
        <f>B22+B28+B34+B18</f>
        <v>379</v>
      </c>
    </row>
  </sheetData>
  <sheetProtection/>
  <mergeCells count="4">
    <mergeCell ref="A3:B3"/>
    <mergeCell ref="A4:B4"/>
    <mergeCell ref="A7:B7"/>
    <mergeCell ref="A8:B8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Marsitsj</cp:lastModifiedBy>
  <cp:lastPrinted>2015-05-20T13:18:40Z</cp:lastPrinted>
  <dcterms:created xsi:type="dcterms:W3CDTF">2002-11-26T17:22:50Z</dcterms:created>
  <dcterms:modified xsi:type="dcterms:W3CDTF">2015-05-27T12:51:42Z</dcterms:modified>
  <cp:category/>
  <cp:version/>
  <cp:contentType/>
  <cp:contentStatus/>
</cp:coreProperties>
</file>