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kondakorne\Documents\ktg vet rend mod  intézm\2018\április\"/>
    </mc:Choice>
  </mc:AlternateContent>
  <bookViews>
    <workbookView xWindow="0" yWindow="0" windowWidth="25200" windowHeight="12135" tabRatio="597"/>
  </bookViews>
  <sheets>
    <sheet name="Össz.önkor.mérleg." sheetId="47" r:id="rId1"/>
    <sheet name="működ. mérleg " sheetId="48" r:id="rId2"/>
    <sheet name="felhalm. mérleg" sheetId="49" r:id="rId3"/>
    <sheet name="2018 évi állami tám" sheetId="67" state="hidden" r:id="rId4"/>
    <sheet name="2016 állami tám " sheetId="58" state="hidden" r:id="rId5"/>
    <sheet name="közhatalmi bevételek" sheetId="14" r:id="rId6"/>
    <sheet name="tám, végl. pe.átv  " sheetId="5" r:id="rId7"/>
    <sheet name="állami támog" sheetId="70" state="hidden" r:id="rId8"/>
    <sheet name="felh. bev.  " sheetId="6" r:id="rId9"/>
    <sheet name="mc.pe.átad" sheetId="7" r:id="rId10"/>
    <sheet name="felhalm. kiad.  " sheetId="8" r:id="rId11"/>
    <sheet name="tartalék" sheetId="10" r:id="rId12"/>
    <sheet name="pü.mérleg Önkorm." sheetId="46" r:id="rId13"/>
    <sheet name="pü.mérleg Hivatal" sheetId="45" r:id="rId14"/>
    <sheet name="mük. bev.Önkor és Hivatal " sheetId="13" state="hidden" r:id="rId15"/>
    <sheet name="műk. kiad. szakf Önkorm. " sheetId="15" r:id="rId16"/>
    <sheet name="ellátottak önk." sheetId="63" r:id="rId17"/>
    <sheet name="ellátottak hivatal" sheetId="18" state="hidden" r:id="rId18"/>
    <sheet name="püm. GAMESZ. " sheetId="44" r:id="rId19"/>
    <sheet name="püm.Brunszvik" sheetId="51" state="hidden" r:id="rId20"/>
    <sheet name="püm Festetics" sheetId="64" r:id="rId21"/>
    <sheet name="püm-TASZII." sheetId="42" r:id="rId22"/>
    <sheet name="Munka2" sheetId="72" state="hidden" r:id="rId23"/>
    <sheet name="likvid" sheetId="24" state="hidden" r:id="rId24"/>
    <sheet name="Munka1" sheetId="73" state="hidden" r:id="rId25"/>
    <sheet name="létszám" sheetId="68" state="hidden" r:id="rId26"/>
    <sheet name="Kötváll Ph." sheetId="65" state="hidden" r:id="rId27"/>
    <sheet name="Kötváll Önk" sheetId="66" state="hidden" r:id="rId28"/>
    <sheet name="kötváll. " sheetId="56" state="hidden" r:id="rId29"/>
    <sheet name="közvetett t." sheetId="54" state="hidden" r:id="rId30"/>
    <sheet name="hitelállomány " sheetId="55" state="hidden" r:id="rId31"/>
  </sheets>
  <definedNames>
    <definedName name="Excel_BuiltIn_Print_Titles" localSheetId="16">'ellátottak önk.'!$B$8:$IM$9</definedName>
    <definedName name="Excel_BuiltIn_Print_Titles" localSheetId="25">#REF!</definedName>
    <definedName name="Excel_BuiltIn_Print_Titles">#REF!</definedName>
    <definedName name="_xlnm.Print_Titles" localSheetId="16">'ellátottak önk.'!$8:$9</definedName>
    <definedName name="_xlnm.Print_Titles" localSheetId="8">'felh. bev.  '!$7:$9</definedName>
    <definedName name="_xlnm.Print_Titles" localSheetId="10">'felhalm. kiad.  '!$5:$9</definedName>
    <definedName name="_xlnm.Print_Titles" localSheetId="28">'kötváll. '!$7:$8</definedName>
    <definedName name="_xlnm.Print_Titles" localSheetId="25">létszám!$5:$8</definedName>
    <definedName name="_xlnm.Print_Titles" localSheetId="9">mc.pe.átad!$8:$9</definedName>
    <definedName name="_xlnm.Print_Titles" localSheetId="15">'műk. kiad. szakf Önkorm. '!$5:$9</definedName>
    <definedName name="_xlnm.Print_Titles" localSheetId="6">'tám, végl. pe.átv  '!$7:$7</definedName>
  </definedNames>
  <calcPr calcId="152511"/>
</workbook>
</file>

<file path=xl/calcChain.xml><?xml version="1.0" encoding="utf-8"?>
<calcChain xmlns="http://schemas.openxmlformats.org/spreadsheetml/2006/main">
  <c r="D13" i="47" l="1"/>
  <c r="E13" i="47"/>
  <c r="C13" i="47"/>
  <c r="C36" i="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D63" i="15"/>
  <c r="R60" i="15"/>
  <c r="R61" i="15"/>
  <c r="R62" i="15"/>
  <c r="B59" i="15"/>
  <c r="B60" i="15" s="1"/>
  <c r="B61" i="15" s="1"/>
  <c r="B62" i="15" s="1"/>
  <c r="G20" i="63" l="1"/>
  <c r="D33" i="10"/>
  <c r="E33" i="10"/>
  <c r="E32" i="10"/>
  <c r="C33" i="10"/>
  <c r="C19" i="10"/>
  <c r="E18" i="10"/>
  <c r="E131" i="8"/>
  <c r="F131" i="8"/>
  <c r="G131" i="8"/>
  <c r="D131" i="8"/>
  <c r="H112" i="8"/>
  <c r="F112" i="8"/>
  <c r="H84" i="8"/>
  <c r="F84" i="8"/>
  <c r="E57" i="8"/>
  <c r="F55" i="8"/>
  <c r="H55" i="8" s="1"/>
  <c r="D57" i="8"/>
  <c r="E45" i="8"/>
  <c r="H43" i="8"/>
  <c r="F43" i="8"/>
  <c r="D45" i="8"/>
  <c r="F37" i="8"/>
  <c r="H37" i="8" s="1"/>
  <c r="E55" i="7" l="1"/>
  <c r="F53" i="7"/>
  <c r="F52" i="7"/>
  <c r="F51" i="7"/>
  <c r="F36" i="7"/>
  <c r="F22" i="7"/>
  <c r="E22" i="7"/>
  <c r="F21" i="7"/>
  <c r="E37" i="6"/>
  <c r="F37" i="6"/>
  <c r="D37" i="6"/>
  <c r="E31" i="6"/>
  <c r="F31" i="6"/>
  <c r="D31" i="6"/>
  <c r="E25" i="6"/>
  <c r="F25" i="6"/>
  <c r="D25" i="6"/>
  <c r="G37" i="6"/>
  <c r="H37" i="6"/>
  <c r="I37" i="6"/>
  <c r="D72" i="5"/>
  <c r="E72" i="5"/>
  <c r="C72" i="5"/>
  <c r="D69" i="5"/>
  <c r="E69" i="5"/>
  <c r="C69" i="5"/>
  <c r="D66" i="5"/>
  <c r="E65" i="5"/>
  <c r="E54" i="5"/>
  <c r="E49" i="5"/>
  <c r="E51" i="5"/>
  <c r="D51" i="5"/>
  <c r="D50" i="5"/>
  <c r="E50" i="5"/>
  <c r="C50" i="5"/>
  <c r="C51" i="5"/>
  <c r="D11" i="5"/>
  <c r="E11" i="5"/>
  <c r="C11" i="5"/>
  <c r="C44" i="5"/>
  <c r="D44" i="5"/>
  <c r="E42" i="5"/>
  <c r="E40" i="5"/>
  <c r="E41" i="5"/>
  <c r="E39" i="5"/>
  <c r="E44" i="5" s="1"/>
  <c r="D21" i="5"/>
  <c r="C21" i="5"/>
  <c r="E28" i="5"/>
  <c r="H75" i="66" l="1"/>
  <c r="G75" i="66"/>
  <c r="F75" i="66"/>
  <c r="E75" i="66"/>
  <c r="A57" i="66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45" i="66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22" i="66"/>
  <c r="H15" i="55" l="1"/>
  <c r="D15" i="55"/>
  <c r="C15" i="55"/>
  <c r="U92" i="68" l="1"/>
  <c r="P92" i="68"/>
  <c r="M92" i="68"/>
  <c r="R92" i="68"/>
  <c r="W92" i="68" s="1"/>
  <c r="P93" i="68" l="1"/>
  <c r="L93" i="68"/>
  <c r="W93" i="68"/>
  <c r="C42" i="47" l="1"/>
  <c r="F50" i="7"/>
  <c r="R40" i="15"/>
  <c r="R63" i="15" s="1"/>
  <c r="B40" i="15"/>
  <c r="B41" i="15"/>
  <c r="B42" i="15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R39" i="15"/>
  <c r="G41" i="8"/>
  <c r="F41" i="8"/>
  <c r="G24" i="8"/>
  <c r="F24" i="8"/>
  <c r="E17" i="10"/>
  <c r="R46" i="15" l="1"/>
  <c r="H13" i="64" l="1"/>
  <c r="H12" i="64"/>
  <c r="D20" i="64"/>
  <c r="C20" i="64"/>
  <c r="H45" i="46" l="1"/>
  <c r="G45" i="46"/>
  <c r="K95" i="67" l="1"/>
  <c r="L90" i="67"/>
  <c r="I86" i="67"/>
  <c r="K89" i="67" s="1"/>
  <c r="I81" i="67"/>
  <c r="I80" i="67"/>
  <c r="I77" i="67"/>
  <c r="I75" i="67"/>
  <c r="E75" i="67"/>
  <c r="I72" i="67"/>
  <c r="E72" i="67"/>
  <c r="I69" i="67"/>
  <c r="E69" i="67"/>
  <c r="I68" i="67"/>
  <c r="I67" i="67"/>
  <c r="E66" i="67"/>
  <c r="I65" i="67"/>
  <c r="E65" i="67"/>
  <c r="I64" i="67"/>
  <c r="K78" i="67" s="1"/>
  <c r="E61" i="67"/>
  <c r="I53" i="67"/>
  <c r="I52" i="67"/>
  <c r="I49" i="67"/>
  <c r="E49" i="67"/>
  <c r="I47" i="67"/>
  <c r="E47" i="67"/>
  <c r="Q45" i="67"/>
  <c r="P45" i="67"/>
  <c r="I45" i="67"/>
  <c r="I44" i="67"/>
  <c r="E44" i="67"/>
  <c r="I43" i="67"/>
  <c r="I42" i="67"/>
  <c r="E42" i="67"/>
  <c r="I41" i="67"/>
  <c r="E41" i="67"/>
  <c r="I40" i="67"/>
  <c r="K53" i="67" s="1"/>
  <c r="E40" i="67"/>
  <c r="E34" i="67"/>
  <c r="I32" i="67"/>
  <c r="I34" i="67" s="1"/>
  <c r="E32" i="67"/>
  <c r="I31" i="67"/>
  <c r="I28" i="67"/>
  <c r="E28" i="67"/>
  <c r="I26" i="67"/>
  <c r="E26" i="67"/>
  <c r="I25" i="67"/>
  <c r="I22" i="67"/>
  <c r="I19" i="67"/>
  <c r="I16" i="67"/>
  <c r="I12" i="67"/>
  <c r="E12" i="67"/>
  <c r="E97" i="67" s="1"/>
  <c r="K35" i="67" l="1"/>
  <c r="K97" i="67"/>
  <c r="L45" i="67"/>
  <c r="F97" i="67"/>
  <c r="G99" i="8"/>
  <c r="E99" i="8"/>
  <c r="D99" i="8"/>
  <c r="H38" i="15"/>
  <c r="G42" i="8"/>
  <c r="F42" i="8"/>
  <c r="D42" i="8"/>
  <c r="G59" i="15"/>
  <c r="E59" i="15"/>
  <c r="F49" i="7" l="1"/>
  <c r="F48" i="7" l="1"/>
  <c r="E42" i="24" l="1"/>
  <c r="F42" i="24"/>
  <c r="G42" i="24"/>
  <c r="H42" i="24"/>
  <c r="I42" i="24"/>
  <c r="J42" i="24"/>
  <c r="K42" i="24"/>
  <c r="L42" i="24"/>
  <c r="M42" i="24"/>
  <c r="N42" i="24"/>
  <c r="D42" i="24"/>
  <c r="S30" i="68" l="1"/>
  <c r="P99" i="68"/>
  <c r="R99" i="68" s="1"/>
  <c r="U10" i="68"/>
  <c r="P39" i="68"/>
  <c r="L40" i="68"/>
  <c r="U39" i="68"/>
  <c r="M30" i="68"/>
  <c r="M23" i="68"/>
  <c r="M22" i="68"/>
  <c r="M21" i="68"/>
  <c r="M20" i="68"/>
  <c r="M19" i="68"/>
  <c r="M18" i="68"/>
  <c r="M17" i="68"/>
  <c r="M16" i="68"/>
  <c r="E12" i="68"/>
  <c r="M24" i="68" l="1"/>
  <c r="H69" i="8"/>
  <c r="F69" i="8"/>
  <c r="C70" i="5"/>
  <c r="E42" i="46"/>
  <c r="D22" i="7" l="1"/>
  <c r="F20" i="7"/>
  <c r="F83" i="8" l="1"/>
  <c r="H83" i="8" s="1"/>
  <c r="F54" i="8" l="1"/>
  <c r="H54" i="8" s="1"/>
  <c r="H57" i="8" s="1"/>
  <c r="F22" i="8" l="1"/>
  <c r="D24" i="47" l="1"/>
  <c r="C24" i="47"/>
  <c r="C33" i="42"/>
  <c r="K95" i="70" l="1"/>
  <c r="L90" i="70"/>
  <c r="I86" i="70"/>
  <c r="K89" i="70" s="1"/>
  <c r="I81" i="70"/>
  <c r="I80" i="70"/>
  <c r="I77" i="70"/>
  <c r="I75" i="70"/>
  <c r="E75" i="70"/>
  <c r="I72" i="70"/>
  <c r="E72" i="70"/>
  <c r="I69" i="70"/>
  <c r="E69" i="70"/>
  <c r="I68" i="70"/>
  <c r="I67" i="70"/>
  <c r="E66" i="70"/>
  <c r="I65" i="70"/>
  <c r="E65" i="70"/>
  <c r="I64" i="70"/>
  <c r="K78" i="70" s="1"/>
  <c r="E61" i="70"/>
  <c r="I53" i="70"/>
  <c r="I52" i="70"/>
  <c r="I49" i="70"/>
  <c r="E49" i="70"/>
  <c r="I47" i="70"/>
  <c r="E47" i="70"/>
  <c r="Q45" i="70"/>
  <c r="P45" i="70"/>
  <c r="I45" i="70"/>
  <c r="I44" i="70"/>
  <c r="E44" i="70"/>
  <c r="I43" i="70"/>
  <c r="I42" i="70"/>
  <c r="E42" i="70"/>
  <c r="I41" i="70"/>
  <c r="E41" i="70"/>
  <c r="I40" i="70"/>
  <c r="K53" i="70" s="1"/>
  <c r="E40" i="70"/>
  <c r="E34" i="70"/>
  <c r="I32" i="70"/>
  <c r="I34" i="70" s="1"/>
  <c r="E32" i="70"/>
  <c r="I31" i="70"/>
  <c r="I28" i="70"/>
  <c r="E28" i="70"/>
  <c r="I26" i="70"/>
  <c r="E26" i="70"/>
  <c r="I25" i="70"/>
  <c r="I22" i="70"/>
  <c r="I19" i="70"/>
  <c r="I16" i="70"/>
  <c r="I12" i="70"/>
  <c r="E12" i="70"/>
  <c r="E97" i="70" s="1"/>
  <c r="K35" i="70" l="1"/>
  <c r="K97" i="70"/>
  <c r="L45" i="70"/>
  <c r="F97" i="70"/>
  <c r="E48" i="15" l="1"/>
  <c r="G48" i="15" s="1"/>
  <c r="I33" i="15"/>
  <c r="E101" i="8"/>
  <c r="I13" i="44"/>
  <c r="F117" i="8" l="1"/>
  <c r="G33" i="15" l="1"/>
  <c r="E33" i="15"/>
  <c r="I13" i="64" l="1"/>
  <c r="F119" i="8"/>
  <c r="G127" i="8"/>
  <c r="F125" i="8"/>
  <c r="F127" i="8" s="1"/>
  <c r="E127" i="8"/>
  <c r="D127" i="8"/>
  <c r="D106" i="68" l="1"/>
  <c r="V104" i="68"/>
  <c r="Q104" i="68"/>
  <c r="K104" i="68"/>
  <c r="K106" i="68" s="1"/>
  <c r="J104" i="68"/>
  <c r="J106" i="68" s="1"/>
  <c r="I104" i="68"/>
  <c r="H104" i="68"/>
  <c r="H106" i="68" s="1"/>
  <c r="E104" i="68"/>
  <c r="C104" i="68"/>
  <c r="C106" i="68" s="1"/>
  <c r="T101" i="68"/>
  <c r="S101" i="68"/>
  <c r="O101" i="68"/>
  <c r="L101" i="68"/>
  <c r="M101" i="68" s="1"/>
  <c r="W100" i="68"/>
  <c r="U100" i="68"/>
  <c r="M100" i="68"/>
  <c r="W99" i="68"/>
  <c r="U99" i="68"/>
  <c r="M99" i="68"/>
  <c r="P98" i="68"/>
  <c r="U98" i="68" s="1"/>
  <c r="M98" i="68"/>
  <c r="R98" i="68" s="1"/>
  <c r="W98" i="68" s="1"/>
  <c r="T93" i="68"/>
  <c r="S93" i="68"/>
  <c r="O93" i="68"/>
  <c r="N93" i="68"/>
  <c r="M93" i="68"/>
  <c r="R93" i="68" s="1"/>
  <c r="U91" i="68"/>
  <c r="M91" i="68"/>
  <c r="R91" i="68" s="1"/>
  <c r="W91" i="68" s="1"/>
  <c r="U90" i="68"/>
  <c r="M90" i="68"/>
  <c r="R90" i="68" s="1"/>
  <c r="W90" i="68" s="1"/>
  <c r="U89" i="68"/>
  <c r="M89" i="68"/>
  <c r="R89" i="68" s="1"/>
  <c r="W89" i="68" s="1"/>
  <c r="U87" i="68"/>
  <c r="M87" i="68"/>
  <c r="R87" i="68" s="1"/>
  <c r="W87" i="68" s="1"/>
  <c r="U86" i="68"/>
  <c r="M86" i="68"/>
  <c r="R86" i="68" s="1"/>
  <c r="W86" i="68" s="1"/>
  <c r="U85" i="68"/>
  <c r="M85" i="68"/>
  <c r="R85" i="68" s="1"/>
  <c r="W85" i="68" s="1"/>
  <c r="U84" i="68"/>
  <c r="M84" i="68"/>
  <c r="R84" i="68" s="1"/>
  <c r="W84" i="68" s="1"/>
  <c r="U83" i="68"/>
  <c r="M83" i="68"/>
  <c r="R83" i="68" s="1"/>
  <c r="W83" i="68" s="1"/>
  <c r="U82" i="68"/>
  <c r="M82" i="68"/>
  <c r="R82" i="68" s="1"/>
  <c r="W82" i="68" s="1"/>
  <c r="U81" i="68"/>
  <c r="M81" i="68"/>
  <c r="R81" i="68" s="1"/>
  <c r="W81" i="68" s="1"/>
  <c r="U80" i="68"/>
  <c r="M80" i="68"/>
  <c r="R80" i="68" s="1"/>
  <c r="W80" i="68" s="1"/>
  <c r="U78" i="68"/>
  <c r="M78" i="68"/>
  <c r="R78" i="68" s="1"/>
  <c r="W78" i="68" s="1"/>
  <c r="U77" i="68"/>
  <c r="M77" i="68"/>
  <c r="R77" i="68" s="1"/>
  <c r="W77" i="68" s="1"/>
  <c r="U76" i="68"/>
  <c r="M76" i="68"/>
  <c r="R76" i="68" s="1"/>
  <c r="W76" i="68" s="1"/>
  <c r="U75" i="68"/>
  <c r="M75" i="68"/>
  <c r="R75" i="68" s="1"/>
  <c r="W75" i="68" s="1"/>
  <c r="U74" i="68"/>
  <c r="M74" i="68"/>
  <c r="R74" i="68" s="1"/>
  <c r="W74" i="68" s="1"/>
  <c r="U73" i="68"/>
  <c r="M73" i="68"/>
  <c r="R73" i="68" s="1"/>
  <c r="W73" i="68" s="1"/>
  <c r="U72" i="68"/>
  <c r="M72" i="68"/>
  <c r="R72" i="68" s="1"/>
  <c r="W72" i="68" s="1"/>
  <c r="U71" i="68"/>
  <c r="M71" i="68"/>
  <c r="R71" i="68" s="1"/>
  <c r="W71" i="68" s="1"/>
  <c r="U70" i="68"/>
  <c r="M70" i="68"/>
  <c r="R70" i="68" s="1"/>
  <c r="W70" i="68" s="1"/>
  <c r="M41" i="68"/>
  <c r="O40" i="68"/>
  <c r="T40" i="68" s="1"/>
  <c r="N40" i="68"/>
  <c r="M39" i="68"/>
  <c r="W39" i="68" s="1"/>
  <c r="U38" i="68"/>
  <c r="M38" i="68"/>
  <c r="R38" i="68" s="1"/>
  <c r="U37" i="68"/>
  <c r="M37" i="68"/>
  <c r="R37" i="68" s="1"/>
  <c r="U36" i="68"/>
  <c r="M36" i="68"/>
  <c r="R36" i="68" s="1"/>
  <c r="U35" i="68"/>
  <c r="M35" i="68"/>
  <c r="R35" i="68" s="1"/>
  <c r="U34" i="68"/>
  <c r="P34" i="68"/>
  <c r="M34" i="68"/>
  <c r="W34" i="68" s="1"/>
  <c r="U33" i="68"/>
  <c r="M33" i="68"/>
  <c r="W33" i="68" s="1"/>
  <c r="U32" i="68"/>
  <c r="P32" i="68"/>
  <c r="M32" i="68"/>
  <c r="W32" i="68" s="1"/>
  <c r="U31" i="68"/>
  <c r="P31" i="68"/>
  <c r="M31" i="68"/>
  <c r="R31" i="68" s="1"/>
  <c r="U30" i="68"/>
  <c r="T30" i="68"/>
  <c r="W30" i="68"/>
  <c r="U29" i="68"/>
  <c r="P29" i="68"/>
  <c r="M29" i="68"/>
  <c r="W29" i="68" s="1"/>
  <c r="U28" i="68"/>
  <c r="P28" i="68"/>
  <c r="M28" i="68"/>
  <c r="L24" i="68"/>
  <c r="P24" i="68" s="1"/>
  <c r="U24" i="68" s="1"/>
  <c r="P23" i="68"/>
  <c r="U23" i="68" s="1"/>
  <c r="R23" i="68"/>
  <c r="W23" i="68" s="1"/>
  <c r="P22" i="68"/>
  <c r="R22" i="68"/>
  <c r="W22" i="68" s="1"/>
  <c r="P21" i="68"/>
  <c r="U21" i="68" s="1"/>
  <c r="R21" i="68"/>
  <c r="W21" i="68" s="1"/>
  <c r="P20" i="68"/>
  <c r="U20" i="68" s="1"/>
  <c r="R20" i="68"/>
  <c r="W20" i="68" s="1"/>
  <c r="P19" i="68"/>
  <c r="U19" i="68" s="1"/>
  <c r="R19" i="68"/>
  <c r="W19" i="68" s="1"/>
  <c r="P18" i="68"/>
  <c r="U18" i="68" s="1"/>
  <c r="R18" i="68"/>
  <c r="W18" i="68" s="1"/>
  <c r="P17" i="68"/>
  <c r="U17" i="68" s="1"/>
  <c r="R17" i="68"/>
  <c r="W17" i="68" s="1"/>
  <c r="P16" i="68"/>
  <c r="U16" i="68" s="1"/>
  <c r="R16" i="68"/>
  <c r="P12" i="68"/>
  <c r="U12" i="68" s="1"/>
  <c r="I12" i="68"/>
  <c r="V10" i="68"/>
  <c r="W10" i="68" s="1"/>
  <c r="R28" i="68" l="1"/>
  <c r="M40" i="68"/>
  <c r="P40" i="68"/>
  <c r="T104" i="68"/>
  <c r="T106" i="68" s="1"/>
  <c r="U93" i="68"/>
  <c r="N104" i="68"/>
  <c r="N106" i="68" s="1"/>
  <c r="W37" i="68"/>
  <c r="W31" i="68"/>
  <c r="R32" i="68"/>
  <c r="W38" i="68"/>
  <c r="O104" i="68"/>
  <c r="O106" i="68" s="1"/>
  <c r="I106" i="68"/>
  <c r="R30" i="68"/>
  <c r="U40" i="68"/>
  <c r="R29" i="68"/>
  <c r="W36" i="68"/>
  <c r="E106" i="68"/>
  <c r="Q106" i="68"/>
  <c r="V12" i="68"/>
  <c r="V106" i="68" s="1"/>
  <c r="L104" i="68"/>
  <c r="L106" i="68" s="1"/>
  <c r="P106" i="68" s="1"/>
  <c r="W35" i="68"/>
  <c r="R39" i="68"/>
  <c r="S40" i="68"/>
  <c r="S104" i="68" s="1"/>
  <c r="S106" i="68" s="1"/>
  <c r="P101" i="68"/>
  <c r="U101" i="68" s="1"/>
  <c r="W16" i="68"/>
  <c r="W24" i="68" s="1"/>
  <c r="R24" i="68"/>
  <c r="W28" i="68"/>
  <c r="R33" i="68"/>
  <c r="N41" i="68"/>
  <c r="R101" i="68"/>
  <c r="W101" i="68" s="1"/>
  <c r="R12" i="68"/>
  <c r="R34" i="68"/>
  <c r="W12" i="68" l="1"/>
  <c r="P104" i="68"/>
  <c r="U104" i="68"/>
  <c r="U106" i="68" s="1"/>
  <c r="W40" i="68"/>
  <c r="W104" i="68" s="1"/>
  <c r="R40" i="68"/>
  <c r="R104" i="68" s="1"/>
  <c r="R106" i="68" s="1"/>
  <c r="M104" i="68"/>
  <c r="M106" i="68" s="1"/>
  <c r="W106" i="68" l="1"/>
  <c r="C31" i="48"/>
  <c r="D11" i="47"/>
  <c r="D25" i="10"/>
  <c r="D11" i="46"/>
  <c r="F54" i="7" l="1"/>
  <c r="H56" i="15"/>
  <c r="I55" i="15"/>
  <c r="G55" i="15"/>
  <c r="E55" i="15"/>
  <c r="I52" i="15"/>
  <c r="H47" i="15"/>
  <c r="E42" i="15"/>
  <c r="H34" i="15"/>
  <c r="H10" i="15"/>
  <c r="C20" i="44"/>
  <c r="E108" i="8"/>
  <c r="G108" i="8"/>
  <c r="H108" i="8"/>
  <c r="D108" i="8"/>
  <c r="G103" i="8"/>
  <c r="E103" i="8"/>
  <c r="D103" i="8"/>
  <c r="F101" i="8"/>
  <c r="F53" i="8"/>
  <c r="F52" i="8"/>
  <c r="E50" i="8"/>
  <c r="F40" i="8"/>
  <c r="F31" i="8"/>
  <c r="G31" i="8" s="1"/>
  <c r="F30" i="8"/>
  <c r="G30" i="8" s="1"/>
  <c r="E26" i="8"/>
  <c r="D26" i="8"/>
  <c r="E23" i="8"/>
  <c r="D23" i="8"/>
  <c r="H121" i="8"/>
  <c r="E121" i="8"/>
  <c r="D121" i="8"/>
  <c r="H14" i="42"/>
  <c r="C34" i="5"/>
  <c r="D34" i="5"/>
  <c r="F11" i="14"/>
  <c r="E34" i="5" l="1"/>
  <c r="F39" i="8"/>
  <c r="G39" i="8" s="1"/>
  <c r="A31" i="49" l="1"/>
  <c r="A32" i="49"/>
  <c r="A33" i="49"/>
  <c r="A34" i="49"/>
  <c r="A35" i="49" s="1"/>
  <c r="A36" i="49" s="1"/>
  <c r="A37" i="49" s="1"/>
  <c r="A38" i="49" s="1"/>
  <c r="A39" i="49" s="1"/>
  <c r="A40" i="49" s="1"/>
  <c r="A41" i="49" s="1"/>
  <c r="A42" i="49" s="1"/>
  <c r="D30" i="49" l="1"/>
  <c r="C35" i="48"/>
  <c r="D35" i="48"/>
  <c r="E31" i="48"/>
  <c r="D30" i="48"/>
  <c r="C34" i="48"/>
  <c r="D42" i="47"/>
  <c r="D34" i="48" s="1"/>
  <c r="C43" i="47"/>
  <c r="D43" i="47"/>
  <c r="D39" i="47"/>
  <c r="C39" i="47"/>
  <c r="C30" i="49" s="1"/>
  <c r="D33" i="42"/>
  <c r="E43" i="42"/>
  <c r="E25" i="42"/>
  <c r="E33" i="42" s="1"/>
  <c r="I20" i="64"/>
  <c r="E44" i="64"/>
  <c r="E43" i="47" s="1"/>
  <c r="E35" i="48" s="1"/>
  <c r="E43" i="64"/>
  <c r="C30" i="48" l="1"/>
  <c r="E39" i="46"/>
  <c r="E39" i="47" s="1"/>
  <c r="B11" i="15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R15" i="15"/>
  <c r="R16" i="15"/>
  <c r="R17" i="15"/>
  <c r="R18" i="15"/>
  <c r="R19" i="15"/>
  <c r="R52" i="15"/>
  <c r="R53" i="15"/>
  <c r="R54" i="15"/>
  <c r="R55" i="15"/>
  <c r="R56" i="15"/>
  <c r="R57" i="15"/>
  <c r="R58" i="15"/>
  <c r="R59" i="15"/>
  <c r="R28" i="15"/>
  <c r="E86" i="8"/>
  <c r="D86" i="8"/>
  <c r="D95" i="8" s="1"/>
  <c r="F80" i="8"/>
  <c r="G80" i="8" s="1"/>
  <c r="E75" i="8"/>
  <c r="D75" i="8"/>
  <c r="G75" i="8"/>
  <c r="F75" i="8"/>
  <c r="E30" i="48" l="1"/>
  <c r="E30" i="49"/>
  <c r="H75" i="8"/>
  <c r="F51" i="8" l="1"/>
  <c r="F57" i="8" s="1"/>
  <c r="F38" i="8"/>
  <c r="G38" i="8" s="1"/>
  <c r="F36" i="8"/>
  <c r="H36" i="8" s="1"/>
  <c r="F23" i="8"/>
  <c r="D19" i="8"/>
  <c r="E19" i="8"/>
  <c r="D14" i="8"/>
  <c r="E14" i="8"/>
  <c r="E23" i="63"/>
  <c r="H23" i="63"/>
  <c r="I23" i="63"/>
  <c r="J23" i="63"/>
  <c r="F23" i="63"/>
  <c r="G16" i="63"/>
  <c r="G17" i="63"/>
  <c r="G18" i="63"/>
  <c r="G19" i="63"/>
  <c r="G15" i="63"/>
  <c r="G51" i="8" l="1"/>
  <c r="G57" i="8" s="1"/>
  <c r="G23" i="8"/>
  <c r="E24" i="10"/>
  <c r="E16" i="10"/>
  <c r="F27" i="7"/>
  <c r="F47" i="7"/>
  <c r="F46" i="7"/>
  <c r="F30" i="7"/>
  <c r="F45" i="7"/>
  <c r="F44" i="7"/>
  <c r="F43" i="7"/>
  <c r="D30" i="5" l="1"/>
  <c r="C30" i="5"/>
  <c r="D36" i="5" l="1"/>
  <c r="D46" i="5"/>
  <c r="E28" i="47"/>
  <c r="E19" i="48" s="1"/>
  <c r="E28" i="46"/>
  <c r="D28" i="47"/>
  <c r="D19" i="48" s="1"/>
  <c r="D28" i="46"/>
  <c r="D70" i="5"/>
  <c r="C28" i="47"/>
  <c r="C19" i="48" s="1"/>
  <c r="C28" i="46"/>
  <c r="E70" i="5"/>
  <c r="C13" i="46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3" i="46"/>
  <c r="A44" i="46"/>
  <c r="A45" i="46"/>
  <c r="A46" i="46"/>
  <c r="A47" i="46" s="1"/>
  <c r="A48" i="46" s="1"/>
  <c r="A49" i="46" s="1"/>
  <c r="A50" i="46" s="1"/>
  <c r="A51" i="46" s="1"/>
  <c r="A52" i="46" s="1"/>
  <c r="A53" i="46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A43" i="47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F15" i="14" l="1"/>
  <c r="F19" i="7" l="1"/>
  <c r="F82" i="8" l="1"/>
  <c r="H82" i="8" s="1"/>
  <c r="E24" i="5" l="1"/>
  <c r="F35" i="8"/>
  <c r="E114" i="8"/>
  <c r="D114" i="8"/>
  <c r="G114" i="8"/>
  <c r="G27" i="64" s="1"/>
  <c r="G35" i="8" l="1"/>
  <c r="H14" i="8"/>
  <c r="R51" i="15"/>
  <c r="F68" i="8" l="1"/>
  <c r="G68" i="8" s="1"/>
  <c r="F17" i="8"/>
  <c r="G17" i="8" s="1"/>
  <c r="F34" i="8" l="1"/>
  <c r="G34" i="8" s="1"/>
  <c r="F33" i="8"/>
  <c r="G33" i="8" s="1"/>
  <c r="G117" i="8" l="1"/>
  <c r="G121" i="8" l="1"/>
  <c r="G20" i="46"/>
  <c r="F42" i="7" l="1"/>
  <c r="F41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8" i="47" l="1"/>
  <c r="K18" i="47"/>
  <c r="L18" i="47"/>
  <c r="G13" i="18"/>
  <c r="E12" i="18"/>
  <c r="F17" i="18"/>
  <c r="Q22" i="15"/>
  <c r="Q20" i="15"/>
  <c r="G27" i="63"/>
  <c r="F31" i="63"/>
  <c r="E31" i="63"/>
  <c r="F28" i="63"/>
  <c r="G22" i="63"/>
  <c r="F32" i="63" l="1"/>
  <c r="E28" i="63"/>
  <c r="P25" i="15"/>
  <c r="G13" i="63" l="1"/>
  <c r="G23" i="63"/>
  <c r="G26" i="63"/>
  <c r="G28" i="63" s="1"/>
  <c r="E32" i="63"/>
  <c r="C19" i="54" l="1"/>
  <c r="G10" i="46"/>
  <c r="G10" i="47" s="1"/>
  <c r="G11" i="46"/>
  <c r="H11" i="46"/>
  <c r="H12" i="46"/>
  <c r="G18" i="46"/>
  <c r="H18" i="46"/>
  <c r="G12" i="46"/>
  <c r="G12" i="47" s="1"/>
  <c r="R13" i="15"/>
  <c r="R10" i="15"/>
  <c r="R11" i="15"/>
  <c r="R12" i="15"/>
  <c r="R25" i="15"/>
  <c r="R49" i="15"/>
  <c r="F32" i="8"/>
  <c r="G32" i="8" s="1"/>
  <c r="F29" i="8"/>
  <c r="G29" i="8" s="1"/>
  <c r="F25" i="8"/>
  <c r="F26" i="8"/>
  <c r="G26" i="8" s="1"/>
  <c r="F27" i="8"/>
  <c r="G27" i="8" s="1"/>
  <c r="F28" i="8"/>
  <c r="H28" i="8" s="1"/>
  <c r="H45" i="8" s="1"/>
  <c r="H19" i="8"/>
  <c r="F14" i="8"/>
  <c r="F81" i="8"/>
  <c r="H81" i="8" s="1"/>
  <c r="H86" i="8" s="1"/>
  <c r="D26" i="10"/>
  <c r="D34" i="10" s="1"/>
  <c r="E29" i="10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D20" i="44"/>
  <c r="I14" i="64"/>
  <c r="I14" i="42"/>
  <c r="E34" i="48"/>
  <c r="E33" i="24"/>
  <c r="F33" i="24"/>
  <c r="G33" i="24"/>
  <c r="H33" i="24"/>
  <c r="I33" i="24"/>
  <c r="J33" i="24"/>
  <c r="K33" i="24"/>
  <c r="L33" i="24"/>
  <c r="M33" i="24"/>
  <c r="N33" i="24"/>
  <c r="D33" i="24"/>
  <c r="F19" i="24"/>
  <c r="G19" i="24"/>
  <c r="H19" i="24"/>
  <c r="I19" i="24"/>
  <c r="I22" i="24" s="1"/>
  <c r="J19" i="24"/>
  <c r="K19" i="24"/>
  <c r="L19" i="24"/>
  <c r="L22" i="24" s="1"/>
  <c r="M19" i="24"/>
  <c r="F14" i="24"/>
  <c r="I14" i="24"/>
  <c r="J14" i="24"/>
  <c r="K14" i="24"/>
  <c r="E14" i="24"/>
  <c r="L14" i="24"/>
  <c r="D14" i="24"/>
  <c r="G14" i="24"/>
  <c r="M14" i="24"/>
  <c r="H41" i="65"/>
  <c r="G41" i="65"/>
  <c r="F41" i="65"/>
  <c r="G27" i="44"/>
  <c r="G33" i="44" s="1"/>
  <c r="C49" i="44" s="1"/>
  <c r="G33" i="64"/>
  <c r="E20" i="42"/>
  <c r="H27" i="45"/>
  <c r="H33" i="45" s="1"/>
  <c r="D49" i="45" s="1"/>
  <c r="I53" i="64"/>
  <c r="H53" i="64"/>
  <c r="G53" i="64"/>
  <c r="D32" i="64"/>
  <c r="D34" i="64" s="1"/>
  <c r="C32" i="64"/>
  <c r="C34" i="64" s="1"/>
  <c r="G24" i="64"/>
  <c r="E20" i="64"/>
  <c r="E18" i="64"/>
  <c r="E16" i="64"/>
  <c r="E14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0" i="47"/>
  <c r="H27" i="51"/>
  <c r="H33" i="51" s="1"/>
  <c r="D23" i="46"/>
  <c r="E23" i="46" s="1"/>
  <c r="C24" i="46"/>
  <c r="D24" i="46"/>
  <c r="D15" i="49" s="1"/>
  <c r="C12" i="47"/>
  <c r="G14" i="49"/>
  <c r="C49" i="47"/>
  <c r="C42" i="48"/>
  <c r="F29" i="13"/>
  <c r="H14" i="49"/>
  <c r="D49" i="47"/>
  <c r="D42" i="48"/>
  <c r="J52" i="46"/>
  <c r="E40" i="24"/>
  <c r="E43" i="24" s="1"/>
  <c r="D40" i="24"/>
  <c r="J11" i="47"/>
  <c r="K11" i="47"/>
  <c r="J10" i="47"/>
  <c r="J12" i="47"/>
  <c r="K52" i="46"/>
  <c r="J23" i="46"/>
  <c r="J33" i="46" s="1"/>
  <c r="J53" i="46" s="1"/>
  <c r="K23" i="46"/>
  <c r="K33" i="46"/>
  <c r="K53" i="46" s="1"/>
  <c r="L23" i="46"/>
  <c r="L33" i="46" s="1"/>
  <c r="L53" i="46" s="1"/>
  <c r="K12" i="47"/>
  <c r="J30" i="47"/>
  <c r="J16" i="47"/>
  <c r="G45" i="47"/>
  <c r="G52" i="47" s="1"/>
  <c r="H45" i="47"/>
  <c r="H52" i="47" s="1"/>
  <c r="G19" i="48"/>
  <c r="G31" i="46"/>
  <c r="Q24" i="15"/>
  <c r="Q21" i="15"/>
  <c r="R21" i="15" s="1"/>
  <c r="R20" i="15"/>
  <c r="Q14" i="15"/>
  <c r="P24" i="15"/>
  <c r="Q23" i="15"/>
  <c r="R23" i="15" s="1"/>
  <c r="E30" i="13"/>
  <c r="K30" i="13" s="1"/>
  <c r="E29" i="13"/>
  <c r="K29" i="13" s="1"/>
  <c r="E28" i="13"/>
  <c r="K28" i="13" s="1"/>
  <c r="E11" i="13"/>
  <c r="K11" i="13" s="1"/>
  <c r="F25" i="7"/>
  <c r="E14" i="18"/>
  <c r="E17" i="18" s="1"/>
  <c r="H16" i="45" s="1"/>
  <c r="F13" i="18"/>
  <c r="F26" i="14"/>
  <c r="F18" i="7"/>
  <c r="R22" i="15"/>
  <c r="G21" i="63"/>
  <c r="G30" i="63"/>
  <c r="G31" i="63" s="1"/>
  <c r="G14" i="63"/>
  <c r="K79" i="13"/>
  <c r="K78" i="13"/>
  <c r="D80" i="13"/>
  <c r="E20" i="45" s="1"/>
  <c r="E32" i="45" s="1"/>
  <c r="E34" i="45" s="1"/>
  <c r="K76" i="13"/>
  <c r="K77" i="13"/>
  <c r="E31" i="5"/>
  <c r="E32" i="5"/>
  <c r="E22" i="5"/>
  <c r="E66" i="8"/>
  <c r="F66" i="8" s="1"/>
  <c r="E49" i="8"/>
  <c r="E22" i="10"/>
  <c r="F29" i="7"/>
  <c r="F28" i="7"/>
  <c r="H20" i="46"/>
  <c r="H20" i="47" s="1"/>
  <c r="H20" i="48" s="1"/>
  <c r="F90" i="8"/>
  <c r="H90" i="8" s="1"/>
  <c r="H10" i="46"/>
  <c r="H10" i="47" s="1"/>
  <c r="H10" i="48" s="1"/>
  <c r="E13" i="14"/>
  <c r="C17" i="47"/>
  <c r="C14" i="49" s="1"/>
  <c r="F13" i="6"/>
  <c r="F13" i="7"/>
  <c r="F14" i="7"/>
  <c r="K24" i="13"/>
  <c r="H23" i="13"/>
  <c r="K23" i="13" s="1"/>
  <c r="G22" i="13"/>
  <c r="K22" i="13" s="1"/>
  <c r="G19" i="13"/>
  <c r="K19" i="13" s="1"/>
  <c r="D19" i="10"/>
  <c r="F67" i="8"/>
  <c r="H67" i="8" s="1"/>
  <c r="G71" i="8"/>
  <c r="F118" i="8"/>
  <c r="F121" i="8" s="1"/>
  <c r="H27" i="42"/>
  <c r="H33" i="42" s="1"/>
  <c r="D49" i="42" s="1"/>
  <c r="F40" i="7"/>
  <c r="F39" i="7"/>
  <c r="E21" i="6"/>
  <c r="D25" i="46" s="1"/>
  <c r="D25" i="47" s="1"/>
  <c r="D16" i="49" s="1"/>
  <c r="D21" i="6"/>
  <c r="F21" i="6"/>
  <c r="E25" i="46" s="1"/>
  <c r="F14" i="6"/>
  <c r="E24" i="47" s="1"/>
  <c r="E18" i="5"/>
  <c r="R48" i="15"/>
  <c r="R45" i="15"/>
  <c r="R41" i="15"/>
  <c r="R38" i="15"/>
  <c r="R33" i="15"/>
  <c r="R32" i="15"/>
  <c r="R29" i="15"/>
  <c r="R30" i="15"/>
  <c r="R26" i="15"/>
  <c r="R27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5" i="46"/>
  <c r="I45" i="47"/>
  <c r="O41" i="24" s="1"/>
  <c r="C41" i="24" s="1"/>
  <c r="C42" i="24" s="1"/>
  <c r="O42" i="24" s="1"/>
  <c r="J20" i="45"/>
  <c r="F43" i="45"/>
  <c r="E43" i="51"/>
  <c r="E43" i="44"/>
  <c r="F100" i="8"/>
  <c r="H100" i="8" s="1"/>
  <c r="H103" i="8" s="1"/>
  <c r="D67" i="5"/>
  <c r="C66" i="5"/>
  <c r="C14" i="42" s="1"/>
  <c r="C32" i="42" s="1"/>
  <c r="E17" i="5"/>
  <c r="G20" i="47"/>
  <c r="G20" i="48" s="1"/>
  <c r="C25" i="10"/>
  <c r="E31" i="10"/>
  <c r="G27" i="51"/>
  <c r="G33" i="51" s="1"/>
  <c r="R44" i="15"/>
  <c r="E23" i="10"/>
  <c r="E15" i="10"/>
  <c r="E14" i="10"/>
  <c r="D71" i="8"/>
  <c r="F38" i="7"/>
  <c r="F37" i="7"/>
  <c r="E29" i="6"/>
  <c r="F29" i="6"/>
  <c r="D56" i="5"/>
  <c r="C56" i="5"/>
  <c r="E13" i="5"/>
  <c r="E14" i="5"/>
  <c r="E15" i="5"/>
  <c r="E12" i="5"/>
  <c r="E27" i="5"/>
  <c r="E26" i="5"/>
  <c r="E23" i="5"/>
  <c r="D55" i="7"/>
  <c r="D58" i="7" s="1"/>
  <c r="F23" i="14"/>
  <c r="I71" i="56"/>
  <c r="H71" i="56"/>
  <c r="G71" i="56"/>
  <c r="F71" i="56"/>
  <c r="E71" i="56"/>
  <c r="E58" i="7"/>
  <c r="M50" i="15" s="1"/>
  <c r="F35" i="7"/>
  <c r="G62" i="8"/>
  <c r="E62" i="8"/>
  <c r="E92" i="8"/>
  <c r="F50" i="8"/>
  <c r="F34" i="7"/>
  <c r="F33" i="7"/>
  <c r="F32" i="7"/>
  <c r="D57" i="7"/>
  <c r="D92" i="8"/>
  <c r="E17" i="6"/>
  <c r="D17" i="6"/>
  <c r="C15" i="49" s="1"/>
  <c r="C16" i="49"/>
  <c r="C17" i="49"/>
  <c r="C19" i="49"/>
  <c r="C18" i="49"/>
  <c r="G13" i="48"/>
  <c r="G15" i="48"/>
  <c r="O12" i="24"/>
  <c r="O13" i="24"/>
  <c r="H14" i="24"/>
  <c r="N14" i="24"/>
  <c r="O18" i="24"/>
  <c r="N19" i="24"/>
  <c r="O20" i="24"/>
  <c r="G40" i="24"/>
  <c r="K40" i="24"/>
  <c r="F40" i="24"/>
  <c r="H40" i="24"/>
  <c r="H43" i="24" s="1"/>
  <c r="I40" i="24"/>
  <c r="J40" i="24"/>
  <c r="L40" i="24"/>
  <c r="L43" i="24" s="1"/>
  <c r="M40" i="24"/>
  <c r="N40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6" i="44"/>
  <c r="E18" i="44"/>
  <c r="E20" i="44"/>
  <c r="H24" i="44"/>
  <c r="G53" i="44"/>
  <c r="H53" i="44"/>
  <c r="I53" i="44"/>
  <c r="I16" i="45"/>
  <c r="I24" i="45" s="1"/>
  <c r="K14" i="47"/>
  <c r="G12" i="18"/>
  <c r="G14" i="18" s="1"/>
  <c r="G17" i="18" s="1"/>
  <c r="J14" i="45"/>
  <c r="R47" i="15"/>
  <c r="R37" i="15"/>
  <c r="R31" i="15"/>
  <c r="R34" i="15"/>
  <c r="R43" i="15"/>
  <c r="R42" i="15"/>
  <c r="F10" i="14"/>
  <c r="F12" i="14"/>
  <c r="D13" i="14"/>
  <c r="F14" i="14"/>
  <c r="F16" i="14"/>
  <c r="F17" i="14"/>
  <c r="F18" i="14"/>
  <c r="F19" i="14"/>
  <c r="F20" i="14"/>
  <c r="D21" i="14"/>
  <c r="F21" i="14" s="1"/>
  <c r="F22" i="14"/>
  <c r="F24" i="14"/>
  <c r="F25" i="14"/>
  <c r="F27" i="14"/>
  <c r="F28" i="14"/>
  <c r="D29" i="14"/>
  <c r="E29" i="14"/>
  <c r="F30" i="14"/>
  <c r="C40" i="13"/>
  <c r="D40" i="13"/>
  <c r="K75" i="13"/>
  <c r="R75" i="13"/>
  <c r="C80" i="13"/>
  <c r="D20" i="45" s="1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4" i="45"/>
  <c r="F16" i="45"/>
  <c r="F18" i="45"/>
  <c r="H53" i="45"/>
  <c r="I53" i="45"/>
  <c r="J53" i="45"/>
  <c r="A10" i="46"/>
  <c r="A11" i="46" s="1"/>
  <c r="A12" i="46"/>
  <c r="A13" i="46" s="1"/>
  <c r="A14" i="46" s="1"/>
  <c r="A15" i="46" s="1"/>
  <c r="A16" i="46" s="1"/>
  <c r="A17" i="46" s="1"/>
  <c r="E10" i="46"/>
  <c r="I28" i="46"/>
  <c r="E40" i="46"/>
  <c r="E49" i="46"/>
  <c r="F62" i="8"/>
  <c r="D62" i="8"/>
  <c r="H62" i="8"/>
  <c r="F79" i="8"/>
  <c r="F89" i="8"/>
  <c r="G92" i="8"/>
  <c r="F106" i="8"/>
  <c r="F108" i="8" s="1"/>
  <c r="H27" i="44"/>
  <c r="H33" i="44" s="1"/>
  <c r="D49" i="44" s="1"/>
  <c r="F15" i="7"/>
  <c r="F16" i="7"/>
  <c r="F17" i="7"/>
  <c r="F26" i="7"/>
  <c r="F31" i="7"/>
  <c r="F15" i="6"/>
  <c r="C14" i="46"/>
  <c r="F34" i="6"/>
  <c r="F35" i="6" s="1"/>
  <c r="D35" i="6"/>
  <c r="E35" i="6"/>
  <c r="E10" i="5"/>
  <c r="D13" i="46"/>
  <c r="E25" i="5"/>
  <c r="E61" i="5"/>
  <c r="E62" i="5"/>
  <c r="E63" i="5"/>
  <c r="A10" i="49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E31" i="49"/>
  <c r="G41" i="49"/>
  <c r="H41" i="49"/>
  <c r="I41" i="49"/>
  <c r="E10" i="48"/>
  <c r="E32" i="48"/>
  <c r="A10" i="47"/>
  <c r="A11" i="47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E10" i="47"/>
  <c r="O36" i="24"/>
  <c r="C36" i="24" s="1"/>
  <c r="D40" i="47"/>
  <c r="E40" i="47" s="1"/>
  <c r="J12" i="45"/>
  <c r="G53" i="51"/>
  <c r="G27" i="42"/>
  <c r="G33" i="42" s="1"/>
  <c r="C49" i="42" s="1"/>
  <c r="D52" i="46"/>
  <c r="C52" i="46"/>
  <c r="F29" i="14"/>
  <c r="L52" i="46"/>
  <c r="D14" i="46"/>
  <c r="K16" i="47"/>
  <c r="G19" i="46"/>
  <c r="K80" i="13"/>
  <c r="K10" i="47"/>
  <c r="J14" i="47"/>
  <c r="L16" i="47"/>
  <c r="E19" i="24"/>
  <c r="D19" i="24"/>
  <c r="K17" i="47"/>
  <c r="J17" i="47"/>
  <c r="L17" i="47"/>
  <c r="J23" i="47"/>
  <c r="L12" i="47"/>
  <c r="L14" i="47"/>
  <c r="L30" i="47"/>
  <c r="K26" i="47"/>
  <c r="J26" i="47"/>
  <c r="D14" i="47"/>
  <c r="K23" i="47"/>
  <c r="J32" i="47"/>
  <c r="L26" i="47"/>
  <c r="L32" i="47"/>
  <c r="K32" i="47"/>
  <c r="L23" i="47"/>
  <c r="G24" i="44"/>
  <c r="G24" i="51"/>
  <c r="C48" i="51" s="1"/>
  <c r="I12" i="51"/>
  <c r="H24" i="64"/>
  <c r="H24" i="42"/>
  <c r="E25" i="10"/>
  <c r="F111" i="8"/>
  <c r="F114" i="8" s="1"/>
  <c r="I27" i="64" s="1"/>
  <c r="E89" i="58"/>
  <c r="F89" i="58"/>
  <c r="J13" i="45"/>
  <c r="F45" i="8" l="1"/>
  <c r="C29" i="47"/>
  <c r="C25" i="46"/>
  <c r="C32" i="46" s="1"/>
  <c r="D24" i="6"/>
  <c r="F24" i="6" s="1"/>
  <c r="E21" i="5"/>
  <c r="E46" i="5"/>
  <c r="C46" i="5"/>
  <c r="J43" i="24"/>
  <c r="E22" i="24"/>
  <c r="I43" i="24"/>
  <c r="N43" i="24"/>
  <c r="K43" i="24"/>
  <c r="D43" i="24"/>
  <c r="N22" i="24"/>
  <c r="D22" i="24"/>
  <c r="F22" i="24"/>
  <c r="M22" i="24"/>
  <c r="K22" i="24"/>
  <c r="G22" i="24"/>
  <c r="G43" i="24"/>
  <c r="J22" i="24"/>
  <c r="C29" i="46"/>
  <c r="C11" i="46"/>
  <c r="C11" i="47"/>
  <c r="C11" i="48" s="1"/>
  <c r="E42" i="47"/>
  <c r="G79" i="8"/>
  <c r="G86" i="8" s="1"/>
  <c r="G30" i="46" s="1"/>
  <c r="G30" i="47" s="1"/>
  <c r="F86" i="8"/>
  <c r="D48" i="64"/>
  <c r="C48" i="64"/>
  <c r="E34" i="64"/>
  <c r="E32" i="64"/>
  <c r="E29" i="47"/>
  <c r="D29" i="47"/>
  <c r="D19" i="49" s="1"/>
  <c r="C57" i="5"/>
  <c r="C14" i="44"/>
  <c r="D57" i="5"/>
  <c r="D14" i="44"/>
  <c r="D32" i="44" s="1"/>
  <c r="D34" i="44" s="1"/>
  <c r="D48" i="44" s="1"/>
  <c r="D53" i="44" s="1"/>
  <c r="D54" i="44" s="1"/>
  <c r="C34" i="42"/>
  <c r="C48" i="42"/>
  <c r="D11" i="48"/>
  <c r="I24" i="42"/>
  <c r="I24" i="51"/>
  <c r="E48" i="51" s="1"/>
  <c r="H34" i="51"/>
  <c r="H54" i="51" s="1"/>
  <c r="F19" i="8"/>
  <c r="G25" i="8"/>
  <c r="I20" i="46"/>
  <c r="H19" i="46"/>
  <c r="H19" i="47" s="1"/>
  <c r="H19" i="48" s="1"/>
  <c r="C26" i="10"/>
  <c r="E29" i="46"/>
  <c r="D29" i="46"/>
  <c r="D32" i="46" s="1"/>
  <c r="E40" i="6"/>
  <c r="E24" i="46"/>
  <c r="F17" i="6"/>
  <c r="D40" i="6"/>
  <c r="E30" i="5"/>
  <c r="E56" i="5"/>
  <c r="E57" i="5" s="1"/>
  <c r="H21" i="13"/>
  <c r="H40" i="13" s="1"/>
  <c r="D19" i="47"/>
  <c r="D16" i="48" s="1"/>
  <c r="E48" i="45"/>
  <c r="H37" i="48"/>
  <c r="H44" i="48" s="1"/>
  <c r="A18" i="46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D23" i="47"/>
  <c r="E23" i="47" s="1"/>
  <c r="I14" i="49"/>
  <c r="E25" i="47"/>
  <c r="E16" i="49" s="1"/>
  <c r="E49" i="47"/>
  <c r="E42" i="48" s="1"/>
  <c r="G16" i="46"/>
  <c r="G16" i="47" s="1"/>
  <c r="G16" i="48" s="1"/>
  <c r="J50" i="15"/>
  <c r="F49" i="8"/>
  <c r="G17" i="46"/>
  <c r="G17" i="47" s="1"/>
  <c r="G17" i="48" s="1"/>
  <c r="C12" i="48"/>
  <c r="E15" i="49"/>
  <c r="G37" i="48"/>
  <c r="G44" i="48" s="1"/>
  <c r="D52" i="47"/>
  <c r="R14" i="15"/>
  <c r="A26" i="49"/>
  <c r="A27" i="49" s="1"/>
  <c r="A28" i="49" s="1"/>
  <c r="A29" i="49" s="1"/>
  <c r="A30" i="49" s="1"/>
  <c r="C52" i="47"/>
  <c r="I24" i="64"/>
  <c r="G34" i="64"/>
  <c r="G54" i="64" s="1"/>
  <c r="G34" i="42"/>
  <c r="G54" i="42" s="1"/>
  <c r="E71" i="8"/>
  <c r="E95" i="8" s="1"/>
  <c r="H27" i="47"/>
  <c r="H13" i="49" s="1"/>
  <c r="H27" i="46"/>
  <c r="H111" i="8"/>
  <c r="H114" i="8" s="1"/>
  <c r="H27" i="64" s="1"/>
  <c r="G14" i="8"/>
  <c r="F99" i="8"/>
  <c r="G19" i="8"/>
  <c r="I27" i="44"/>
  <c r="I33" i="44" s="1"/>
  <c r="E49" i="44" s="1"/>
  <c r="G18" i="47"/>
  <c r="G18" i="48" s="1"/>
  <c r="I18" i="46"/>
  <c r="I18" i="47" s="1"/>
  <c r="H18" i="47"/>
  <c r="H18" i="48" s="1"/>
  <c r="I24" i="44"/>
  <c r="I27" i="42"/>
  <c r="I33" i="42" s="1"/>
  <c r="E49" i="42" s="1"/>
  <c r="C49" i="64"/>
  <c r="C53" i="64" s="1"/>
  <c r="C54" i="64" s="1"/>
  <c r="G34" i="44"/>
  <c r="G54" i="44" s="1"/>
  <c r="H34" i="44"/>
  <c r="H54" i="44" s="1"/>
  <c r="I27" i="51"/>
  <c r="I33" i="51" s="1"/>
  <c r="E49" i="51" s="1"/>
  <c r="I10" i="47"/>
  <c r="I10" i="48" s="1"/>
  <c r="I20" i="47"/>
  <c r="I20" i="48" s="1"/>
  <c r="G21" i="13"/>
  <c r="F55" i="7"/>
  <c r="F58" i="7" s="1"/>
  <c r="H17" i="46"/>
  <c r="H17" i="47" s="1"/>
  <c r="H17" i="48" s="1"/>
  <c r="H12" i="47"/>
  <c r="H12" i="48" s="1"/>
  <c r="I12" i="46"/>
  <c r="I10" i="46"/>
  <c r="E52" i="46"/>
  <c r="G32" i="63"/>
  <c r="H14" i="46"/>
  <c r="D14" i="42"/>
  <c r="D32" i="42" s="1"/>
  <c r="E66" i="5"/>
  <c r="E67" i="5" s="1"/>
  <c r="C67" i="5"/>
  <c r="E32" i="51"/>
  <c r="L50" i="15"/>
  <c r="D60" i="7"/>
  <c r="G10" i="48"/>
  <c r="G29" i="47"/>
  <c r="G29" i="46"/>
  <c r="F92" i="8"/>
  <c r="H89" i="8"/>
  <c r="H92" i="8" s="1"/>
  <c r="H30" i="46" s="1"/>
  <c r="H30" i="47" s="1"/>
  <c r="H16" i="49" s="1"/>
  <c r="I52" i="47"/>
  <c r="I37" i="48"/>
  <c r="I44" i="48" s="1"/>
  <c r="H66" i="8"/>
  <c r="H71" i="8" s="1"/>
  <c r="F71" i="8"/>
  <c r="G11" i="47"/>
  <c r="I11" i="46"/>
  <c r="H34" i="42"/>
  <c r="H54" i="42" s="1"/>
  <c r="H29" i="47"/>
  <c r="H15" i="49" s="1"/>
  <c r="H29" i="46"/>
  <c r="G14" i="46"/>
  <c r="R24" i="15"/>
  <c r="G31" i="47"/>
  <c r="G17" i="49" s="1"/>
  <c r="E19" i="10"/>
  <c r="D11" i="49"/>
  <c r="C49" i="51"/>
  <c r="G34" i="51"/>
  <c r="G54" i="51" s="1"/>
  <c r="E31" i="14"/>
  <c r="D16" i="46" s="1"/>
  <c r="F26" i="13"/>
  <c r="F40" i="13" s="1"/>
  <c r="D16" i="47" s="1"/>
  <c r="G12" i="48"/>
  <c r="D12" i="48"/>
  <c r="E19" i="46"/>
  <c r="C19" i="47"/>
  <c r="F20" i="45"/>
  <c r="F32" i="45" s="1"/>
  <c r="F34" i="45" s="1"/>
  <c r="D32" i="45"/>
  <c r="D34" i="45" s="1"/>
  <c r="D31" i="14"/>
  <c r="E26" i="13"/>
  <c r="F13" i="14"/>
  <c r="D48" i="51"/>
  <c r="D53" i="51" s="1"/>
  <c r="D54" i="51" s="1"/>
  <c r="E12" i="46"/>
  <c r="E12" i="47" s="1"/>
  <c r="E12" i="48" s="1"/>
  <c r="H22" i="24"/>
  <c r="H31" i="47"/>
  <c r="H17" i="49" s="1"/>
  <c r="H31" i="46"/>
  <c r="C14" i="47"/>
  <c r="E14" i="46"/>
  <c r="M43" i="24"/>
  <c r="G22" i="8"/>
  <c r="G45" i="8" s="1"/>
  <c r="H11" i="47"/>
  <c r="F43" i="24"/>
  <c r="G95" i="8" l="1"/>
  <c r="E11" i="46"/>
  <c r="E11" i="47"/>
  <c r="E36" i="5"/>
  <c r="I18" i="48"/>
  <c r="O29" i="24"/>
  <c r="G48" i="46"/>
  <c r="H26" i="46"/>
  <c r="I27" i="45"/>
  <c r="J27" i="45" s="1"/>
  <c r="J33" i="45" s="1"/>
  <c r="F49" i="45" s="1"/>
  <c r="F103" i="8"/>
  <c r="F133" i="8" s="1"/>
  <c r="F40" i="6"/>
  <c r="E48" i="64"/>
  <c r="C32" i="44"/>
  <c r="C34" i="44" s="1"/>
  <c r="E14" i="44"/>
  <c r="E32" i="44" s="1"/>
  <c r="E13" i="46"/>
  <c r="D31" i="46"/>
  <c r="D33" i="46" s="1"/>
  <c r="D53" i="46" s="1"/>
  <c r="D34" i="42"/>
  <c r="E34" i="42" s="1"/>
  <c r="D48" i="42"/>
  <c r="D53" i="42" s="1"/>
  <c r="E11" i="48"/>
  <c r="D14" i="48"/>
  <c r="E53" i="51"/>
  <c r="E54" i="51" s="1"/>
  <c r="F95" i="8"/>
  <c r="I19" i="47"/>
  <c r="I19" i="48" s="1"/>
  <c r="I19" i="46"/>
  <c r="C34" i="10"/>
  <c r="E26" i="10"/>
  <c r="E34" i="10" s="1"/>
  <c r="E32" i="46"/>
  <c r="K21" i="13"/>
  <c r="D13" i="48"/>
  <c r="D14" i="49"/>
  <c r="D22" i="49" s="1"/>
  <c r="D23" i="49" s="1"/>
  <c r="O15" i="24"/>
  <c r="E14" i="49"/>
  <c r="D32" i="47"/>
  <c r="E52" i="47"/>
  <c r="O21" i="24" s="1"/>
  <c r="C21" i="24" s="1"/>
  <c r="E133" i="8"/>
  <c r="G23" i="46"/>
  <c r="O25" i="24"/>
  <c r="C25" i="24" s="1"/>
  <c r="G27" i="47"/>
  <c r="H33" i="64"/>
  <c r="I34" i="44"/>
  <c r="I54" i="44" s="1"/>
  <c r="C53" i="42"/>
  <c r="C54" i="42" s="1"/>
  <c r="I34" i="42"/>
  <c r="I54" i="42" s="1"/>
  <c r="I29" i="46"/>
  <c r="I34" i="51"/>
  <c r="I54" i="51" s="1"/>
  <c r="G40" i="13"/>
  <c r="I17" i="46"/>
  <c r="I17" i="47" s="1"/>
  <c r="I17" i="48" s="1"/>
  <c r="I12" i="47"/>
  <c r="O27" i="24" s="1"/>
  <c r="C27" i="24" s="1"/>
  <c r="H24" i="45"/>
  <c r="J16" i="45"/>
  <c r="J24" i="45" s="1"/>
  <c r="H14" i="47"/>
  <c r="H14" i="48" s="1"/>
  <c r="E14" i="42"/>
  <c r="E32" i="42" s="1"/>
  <c r="E48" i="42" s="1"/>
  <c r="E53" i="42" s="1"/>
  <c r="C16" i="48"/>
  <c r="E19" i="47"/>
  <c r="C53" i="51"/>
  <c r="C54" i="51" s="1"/>
  <c r="C32" i="47"/>
  <c r="E14" i="47"/>
  <c r="C11" i="49"/>
  <c r="C22" i="49" s="1"/>
  <c r="C23" i="49" s="1"/>
  <c r="C16" i="46"/>
  <c r="F31" i="14"/>
  <c r="E16" i="46" s="1"/>
  <c r="I30" i="47"/>
  <c r="G16" i="49"/>
  <c r="H133" i="8"/>
  <c r="I14" i="46"/>
  <c r="G14" i="47"/>
  <c r="G14" i="48" s="1"/>
  <c r="G11" i="48"/>
  <c r="I11" i="47"/>
  <c r="G15" i="49"/>
  <c r="I15" i="49" s="1"/>
  <c r="I29" i="47"/>
  <c r="O37" i="24" s="1"/>
  <c r="C37" i="24" s="1"/>
  <c r="E40" i="13"/>
  <c r="K26" i="13"/>
  <c r="H11" i="48"/>
  <c r="O17" i="24"/>
  <c r="C17" i="24" s="1"/>
  <c r="E19" i="49"/>
  <c r="F57" i="7"/>
  <c r="F60" i="7" s="1"/>
  <c r="I16" i="46"/>
  <c r="I16" i="47" s="1"/>
  <c r="I30" i="46"/>
  <c r="H95" i="8"/>
  <c r="I31" i="46"/>
  <c r="I31" i="47"/>
  <c r="C13" i="48"/>
  <c r="H34" i="45" l="1"/>
  <c r="H54" i="45" s="1"/>
  <c r="D48" i="45"/>
  <c r="D53" i="45" s="1"/>
  <c r="D54" i="45" s="1"/>
  <c r="D22" i="48"/>
  <c r="D24" i="48" s="1"/>
  <c r="G26" i="46"/>
  <c r="I26" i="46" s="1"/>
  <c r="I33" i="45"/>
  <c r="I34" i="45" s="1"/>
  <c r="I54" i="45" s="1"/>
  <c r="E54" i="42"/>
  <c r="D54" i="42"/>
  <c r="O8" i="24"/>
  <c r="C8" i="24" s="1"/>
  <c r="E31" i="46"/>
  <c r="E34" i="44"/>
  <c r="E48" i="44" s="1"/>
  <c r="E53" i="44" s="1"/>
  <c r="E54" i="44" s="1"/>
  <c r="C48" i="44"/>
  <c r="C53" i="44" s="1"/>
  <c r="C54" i="44" s="1"/>
  <c r="D31" i="47"/>
  <c r="D33" i="47" s="1"/>
  <c r="D53" i="47" s="1"/>
  <c r="O32" i="24"/>
  <c r="C32" i="24" s="1"/>
  <c r="H47" i="46"/>
  <c r="G27" i="46"/>
  <c r="I27" i="46" s="1"/>
  <c r="I33" i="64"/>
  <c r="I34" i="64" s="1"/>
  <c r="I54" i="64" s="1"/>
  <c r="G13" i="49"/>
  <c r="I13" i="49" s="1"/>
  <c r="I27" i="47"/>
  <c r="O35" i="24" s="1"/>
  <c r="C35" i="24" s="1"/>
  <c r="H26" i="47"/>
  <c r="H12" i="49" s="1"/>
  <c r="H18" i="49" s="1"/>
  <c r="H23" i="49" s="1"/>
  <c r="G133" i="8"/>
  <c r="H32" i="46"/>
  <c r="J34" i="45"/>
  <c r="J54" i="45" s="1"/>
  <c r="E13" i="48"/>
  <c r="K40" i="13"/>
  <c r="O31" i="24"/>
  <c r="C31" i="24" s="1"/>
  <c r="I12" i="48"/>
  <c r="F48" i="45"/>
  <c r="F53" i="45" s="1"/>
  <c r="F54" i="45" s="1"/>
  <c r="I14" i="47"/>
  <c r="G22" i="48"/>
  <c r="G24" i="48" s="1"/>
  <c r="G23" i="47"/>
  <c r="O39" i="24"/>
  <c r="C39" i="24" s="1"/>
  <c r="I17" i="49"/>
  <c r="I16" i="49"/>
  <c r="O38" i="24"/>
  <c r="C38" i="24" s="1"/>
  <c r="C16" i="47"/>
  <c r="C31" i="47" s="1"/>
  <c r="C31" i="46"/>
  <c r="C33" i="46" s="1"/>
  <c r="O26" i="24"/>
  <c r="C26" i="24" s="1"/>
  <c r="I11" i="48"/>
  <c r="O11" i="24"/>
  <c r="C11" i="24" s="1"/>
  <c r="E16" i="48"/>
  <c r="E32" i="47"/>
  <c r="E11" i="49"/>
  <c r="E22" i="49" s="1"/>
  <c r="E23" i="49" s="1"/>
  <c r="I23" i="46"/>
  <c r="H34" i="64"/>
  <c r="H54" i="64" s="1"/>
  <c r="D49" i="64"/>
  <c r="D53" i="64" s="1"/>
  <c r="D54" i="64" s="1"/>
  <c r="I16" i="48"/>
  <c r="O30" i="24"/>
  <c r="C19" i="24"/>
  <c r="O19" i="24"/>
  <c r="I14" i="48" l="1"/>
  <c r="I22" i="48" s="1"/>
  <c r="I24" i="48" s="1"/>
  <c r="O28" i="24"/>
  <c r="C28" i="24" s="1"/>
  <c r="G45" i="48"/>
  <c r="E49" i="45"/>
  <c r="E53" i="45" s="1"/>
  <c r="E54" i="45" s="1"/>
  <c r="G26" i="47"/>
  <c r="G12" i="49" s="1"/>
  <c r="G18" i="49" s="1"/>
  <c r="G23" i="49" s="1"/>
  <c r="I32" i="46"/>
  <c r="I33" i="46" s="1"/>
  <c r="O9" i="24"/>
  <c r="C9" i="24" s="1"/>
  <c r="G32" i="46"/>
  <c r="G33" i="46" s="1"/>
  <c r="C35" i="46" s="1"/>
  <c r="E49" i="64"/>
  <c r="E53" i="64" s="1"/>
  <c r="E54" i="64" s="1"/>
  <c r="H32" i="47"/>
  <c r="G47" i="46"/>
  <c r="G52" i="46" s="1"/>
  <c r="I23" i="47"/>
  <c r="E16" i="47"/>
  <c r="E31" i="47" s="1"/>
  <c r="C14" i="48"/>
  <c r="C22" i="48" s="1"/>
  <c r="C24" i="48" s="1"/>
  <c r="C26" i="48" s="1"/>
  <c r="C33" i="47"/>
  <c r="H42" i="49"/>
  <c r="D25" i="49"/>
  <c r="C53" i="46"/>
  <c r="E33" i="46"/>
  <c r="I45" i="48" l="1"/>
  <c r="H48" i="46"/>
  <c r="H52" i="46" s="1"/>
  <c r="G32" i="47"/>
  <c r="G33" i="47" s="1"/>
  <c r="G53" i="47" s="1"/>
  <c r="I26" i="47"/>
  <c r="O34" i="24" s="1"/>
  <c r="D33" i="49"/>
  <c r="D36" i="48" s="1"/>
  <c r="D44" i="48" s="1"/>
  <c r="D45" i="48" s="1"/>
  <c r="G53" i="46"/>
  <c r="I48" i="46"/>
  <c r="E35" i="46"/>
  <c r="I47" i="46"/>
  <c r="C33" i="24"/>
  <c r="O33" i="24"/>
  <c r="C53" i="47"/>
  <c r="E33" i="47"/>
  <c r="E53" i="47" s="1"/>
  <c r="G42" i="49"/>
  <c r="C25" i="49"/>
  <c r="E53" i="46"/>
  <c r="E14" i="48"/>
  <c r="E22" i="48" s="1"/>
  <c r="E24" i="48" s="1"/>
  <c r="E26" i="48" s="1"/>
  <c r="O10" i="24"/>
  <c r="I12" i="49" l="1"/>
  <c r="I18" i="49" s="1"/>
  <c r="I23" i="49" s="1"/>
  <c r="E25" i="49" s="1"/>
  <c r="C35" i="47"/>
  <c r="I32" i="47"/>
  <c r="I33" i="47" s="1"/>
  <c r="E35" i="47" s="1"/>
  <c r="D41" i="49"/>
  <c r="D42" i="49" s="1"/>
  <c r="C33" i="49"/>
  <c r="C36" i="48" s="1"/>
  <c r="I52" i="46"/>
  <c r="I53" i="46" s="1"/>
  <c r="C10" i="24"/>
  <c r="O14" i="24"/>
  <c r="O22" i="24" s="1"/>
  <c r="O40" i="24"/>
  <c r="C34" i="24"/>
  <c r="C14" i="24" l="1"/>
  <c r="C22" i="24" s="1"/>
  <c r="C40" i="24"/>
  <c r="C43" i="24" s="1"/>
  <c r="O43" i="24" s="1"/>
  <c r="I42" i="49"/>
  <c r="I53" i="47"/>
  <c r="E55" i="47" s="1"/>
  <c r="E33" i="49"/>
  <c r="E36" i="48" s="1"/>
  <c r="E41" i="49" l="1"/>
  <c r="E42" i="49" s="1"/>
  <c r="C41" i="49"/>
  <c r="C42" i="49" s="1"/>
  <c r="E44" i="48" l="1"/>
  <c r="E45" i="48" s="1"/>
  <c r="C44" i="48"/>
  <c r="C45" i="48" s="1"/>
  <c r="E57" i="7" l="1"/>
  <c r="E60" i="7" s="1"/>
  <c r="H16" i="46"/>
  <c r="H16" i="47" s="1"/>
  <c r="K50" i="15" l="1"/>
  <c r="H16" i="48"/>
  <c r="H22" i="48" s="1"/>
  <c r="H24" i="48" s="1"/>
  <c r="H23" i="47"/>
  <c r="H33" i="47" s="1"/>
  <c r="H23" i="46"/>
  <c r="H33" i="46" s="1"/>
  <c r="H45" i="48" l="1"/>
  <c r="D26" i="48"/>
  <c r="R50" i="15"/>
  <c r="H53" i="46"/>
  <c r="D35" i="46"/>
  <c r="D35" i="47"/>
  <c r="H53" i="47"/>
  <c r="D133" i="8"/>
</calcChain>
</file>

<file path=xl/comments1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<sst xmlns="http://schemas.openxmlformats.org/spreadsheetml/2006/main" count="2933" uniqueCount="1282">
  <si>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</si>
  <si>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</si>
  <si>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</si>
  <si>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</si>
  <si>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</si>
  <si>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</si>
  <si>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</si>
  <si>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</si>
  <si>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</si>
  <si>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</si>
  <si>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</si>
  <si>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</si>
  <si>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</si>
  <si>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</si>
  <si>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</si>
  <si>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</si>
  <si>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</si>
  <si>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</si>
  <si>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</si>
  <si>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</si>
  <si>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</si>
  <si>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</si>
  <si>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</si>
  <si>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</si>
  <si>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</si>
  <si>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</si>
  <si>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</si>
  <si>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</si>
  <si>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</si>
  <si>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</si>
  <si>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</si>
  <si>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</si>
  <si>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</si>
  <si>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</si>
  <si>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</si>
  <si>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</si>
  <si>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</si>
  <si>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</si>
  <si>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</si>
  <si>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</si>
  <si>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</si>
  <si>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</si>
  <si>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</si>
  <si>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</si>
  <si>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</si>
  <si>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</si>
  <si>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</si>
  <si>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</si>
  <si>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</si>
  <si>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</si>
  <si>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</si>
  <si>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</si>
  <si>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</si>
  <si>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</si>
  <si>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</si>
  <si>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</si>
  <si>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</si>
  <si>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</si>
  <si>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</si>
  <si>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</si>
  <si>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</si>
  <si>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</si>
  <si>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</si>
  <si>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</si>
  <si>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</si>
  <si>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</si>
  <si>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</si>
  <si>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</si>
  <si>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</si>
  <si>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</si>
  <si>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</si>
  <si>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</si>
  <si>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Hévíz Balaton Airport Kft 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</si>
  <si>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</si>
  <si>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</si>
  <si>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</si>
  <si>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</si>
  <si>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</si>
  <si>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</si>
  <si>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</si>
  <si>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</si>
  <si>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</si>
  <si>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</si>
  <si>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</si>
  <si>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</si>
  <si>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</si>
  <si>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</si>
  <si>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</si>
  <si>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</si>
  <si>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Fejezeti kezelési pénzeszköz átvétel:</t>
  </si>
  <si>
    <t>VI.</t>
  </si>
  <si>
    <t xml:space="preserve">VII. </t>
  </si>
  <si>
    <t>VIII</t>
  </si>
  <si>
    <t xml:space="preserve">Szociálpolitikai juttatások állami támogatása </t>
  </si>
  <si>
    <t xml:space="preserve">     Társult önkormányzatok orvosi ügyeleti kiadásokhoz hozzájárulás</t>
  </si>
  <si>
    <t xml:space="preserve">     Társult önkormányzatok gyepmesteri tevékenység kiadásaihoz hozzájár.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</si>
  <si>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</si>
  <si>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</si>
  <si>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</si>
  <si>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</si>
  <si>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</si>
  <si>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3</t>
  </si>
  <si>
    <t>Támogatás, végleges pénzeszköz átvétel összesen:</t>
  </si>
  <si>
    <t>Felhalmozási és tőkejellegű bevétel</t>
  </si>
  <si>
    <t>Tárgyi eszközök értékesítése</t>
  </si>
  <si>
    <t>Ingatlanértékesítés</t>
  </si>
  <si>
    <t xml:space="preserve">Gépkocsiértékesítés </t>
  </si>
  <si>
    <t>Gépjármű várakozóhely megváltás</t>
  </si>
  <si>
    <t>Tárgyi eszközök, immateriális javak értékesítése össz.:</t>
  </si>
  <si>
    <t>Támogatás értékű felhalmozási pénzeszköz átvétel összesen: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</si>
  <si>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</si>
  <si>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</si>
  <si>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</si>
  <si>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</si>
  <si>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</si>
  <si>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</si>
  <si>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</si>
  <si>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</si>
  <si>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</si>
  <si>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</si>
  <si>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</si>
  <si>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</si>
  <si>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</si>
  <si>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</si>
  <si>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</si>
  <si>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</si>
  <si>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</si>
  <si>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</si>
  <si>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</si>
  <si>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</si>
  <si>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</si>
  <si>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</si>
  <si>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</si>
  <si>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</si>
  <si>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</si>
  <si>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</si>
  <si>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</si>
  <si>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</si>
  <si>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</si>
  <si>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</si>
  <si>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</si>
  <si>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</si>
  <si>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</si>
  <si>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</si>
  <si>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</si>
  <si>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</si>
  <si>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</si>
  <si>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</si>
  <si>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</si>
  <si>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</si>
  <si>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</si>
  <si>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</si>
  <si>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</si>
  <si>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</si>
  <si>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</si>
  <si>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</si>
  <si>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</si>
  <si>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</si>
  <si>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</si>
  <si>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</si>
  <si>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</si>
  <si>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</si>
  <si>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</si>
  <si>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</si>
  <si>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</si>
  <si>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</si>
  <si>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</si>
  <si>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Felhalmozási pénzeszköz átvétel összesen: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</si>
  <si>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</si>
  <si>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</si>
  <si>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</si>
  <si>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</si>
  <si>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</si>
  <si>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</si>
  <si>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</si>
  <si>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</si>
  <si>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</si>
  <si>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</si>
  <si>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</si>
  <si>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</si>
  <si>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Felhalmozási pénzegyköz átvétel Áht-n kívülről összesen:</t>
  </si>
  <si>
    <t>Református Egyházkerület Pápa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</si>
  <si>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</si>
  <si>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</si>
  <si>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</si>
  <si>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</si>
  <si>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</si>
  <si>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</si>
  <si>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</si>
  <si>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</si>
  <si>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</si>
  <si>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</si>
  <si>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</si>
  <si>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</si>
  <si>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 xml:space="preserve">Naperőmű telepítés előkészítése  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</si>
  <si>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</si>
  <si>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</si>
  <si>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</si>
  <si>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</si>
  <si>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>4. Brunszvik Teréz Napközi Otthonos Óvoda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</si>
  <si>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</si>
  <si>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</si>
  <si>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</si>
  <si>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</si>
  <si>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</si>
  <si>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</si>
  <si>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</si>
  <si>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</si>
  <si>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2. Felhalmozási célú támogatások államháztartáson belülről (B25)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</si>
  <si>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</si>
  <si>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</si>
  <si>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</si>
  <si>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</si>
  <si>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</si>
  <si>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</si>
  <si>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</si>
  <si>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</si>
  <si>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</si>
  <si>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</si>
  <si>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</si>
  <si>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</si>
  <si>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</si>
  <si>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</si>
  <si>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</si>
  <si>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</si>
  <si>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</si>
  <si>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</si>
  <si>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</si>
  <si>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</si>
  <si>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</si>
  <si>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</si>
  <si>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</si>
  <si>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</si>
  <si>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</si>
  <si>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</si>
  <si>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</si>
  <si>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</si>
  <si>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</si>
  <si>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</si>
  <si>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</si>
  <si>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</si>
  <si>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</si>
  <si>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</si>
  <si>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</si>
  <si>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</si>
  <si>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            felhalmozásci célú támog. államháztartáson kívülre (K89)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</si>
  <si>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</si>
  <si>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</si>
  <si>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</si>
  <si>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</si>
  <si>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</si>
  <si>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</si>
  <si>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</si>
  <si>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</si>
  <si>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</si>
  <si>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</si>
  <si>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</si>
  <si>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</si>
  <si>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</si>
  <si>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</si>
  <si>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</si>
  <si>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</si>
  <si>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</si>
  <si>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</si>
  <si>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</si>
  <si>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</si>
  <si>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</si>
  <si>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</si>
  <si>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</si>
  <si>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</si>
  <si>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</si>
  <si>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</si>
  <si>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</si>
  <si>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</si>
  <si>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</si>
  <si>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</si>
  <si>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</si>
  <si>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</si>
  <si>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</si>
  <si>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</si>
  <si>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</si>
  <si>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</si>
  <si>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</si>
  <si>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</si>
  <si>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</si>
  <si>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</si>
  <si>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</si>
  <si>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                felhalmozási célú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</si>
  <si>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</si>
  <si>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</si>
  <si>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</si>
  <si>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</si>
  <si>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</si>
  <si>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</si>
  <si>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</si>
  <si>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</si>
  <si>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</si>
  <si>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</si>
  <si>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</si>
  <si>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</si>
  <si>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</si>
  <si>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</si>
  <si>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</si>
  <si>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</si>
  <si>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</si>
  <si>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</si>
  <si>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</si>
  <si>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</si>
  <si>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</si>
  <si>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</si>
  <si>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>500,- Ft/fő/éjszaka</t>
  </si>
  <si>
    <t xml:space="preserve"> /2015. (.) önkormányzati rendelet 2/2. melléklete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</si>
  <si>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</si>
  <si>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</si>
  <si>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</si>
  <si>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</si>
  <si>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</si>
  <si>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</si>
  <si>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</si>
  <si>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</si>
  <si>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</si>
  <si>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</si>
  <si>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4</t>
  </si>
  <si>
    <t>Pályázati Alap a városfejlesztési feladatok finanszírozására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</si>
  <si>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</si>
  <si>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</si>
  <si>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</si>
  <si>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</si>
  <si>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</si>
  <si>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 xml:space="preserve">Beruházásokra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</si>
  <si>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</si>
  <si>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</si>
  <si>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</si>
  <si>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</si>
  <si>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</si>
  <si>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</si>
  <si>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</si>
  <si>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</si>
  <si>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</si>
  <si>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</si>
  <si>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</si>
  <si>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</si>
  <si>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</si>
  <si>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</si>
  <si>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</si>
  <si>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</si>
  <si>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</si>
  <si>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</si>
  <si>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</si>
  <si>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</si>
  <si>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</si>
  <si>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</si>
  <si>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</si>
  <si>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</si>
  <si>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</si>
  <si>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</si>
  <si>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</si>
  <si>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</si>
  <si>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</si>
  <si>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</si>
  <si>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</si>
  <si>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</si>
  <si>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</si>
  <si>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</si>
  <si>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</si>
  <si>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</si>
  <si>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</si>
  <si>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</si>
  <si>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</si>
  <si>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</si>
  <si>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</si>
  <si>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</si>
  <si>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</si>
  <si>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</si>
  <si>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</si>
  <si>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</si>
  <si>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</si>
  <si>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</si>
  <si>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</si>
  <si>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</si>
  <si>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</si>
  <si>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</si>
  <si>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</si>
  <si>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</si>
  <si>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</si>
  <si>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</si>
  <si>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</si>
  <si>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</si>
  <si>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</si>
  <si>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</si>
  <si>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</si>
  <si>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</si>
  <si>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</si>
  <si>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</si>
  <si>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</si>
  <si>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</si>
  <si>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</si>
  <si>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</si>
  <si>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</si>
  <si>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</si>
  <si>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</si>
  <si>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</si>
  <si>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</si>
  <si>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</si>
  <si>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</si>
  <si>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</si>
  <si>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</si>
  <si>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</si>
  <si>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</si>
  <si>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</si>
  <si>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</si>
  <si>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</si>
  <si>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</si>
  <si>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</si>
  <si>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</si>
  <si>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</si>
  <si>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</si>
  <si>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</si>
  <si>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</si>
  <si>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</si>
  <si>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</si>
  <si>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</si>
  <si>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</si>
  <si>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</si>
  <si>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</si>
  <si>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</si>
  <si>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</si>
  <si>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</si>
  <si>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</si>
  <si>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</si>
  <si>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</si>
  <si>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</si>
  <si>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</si>
  <si>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</si>
  <si>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</si>
  <si>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</si>
  <si>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</si>
  <si>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</si>
  <si>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</si>
  <si>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</si>
  <si>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Közvetett támogatás</t>
  </si>
  <si>
    <t>Az adózás rendjéről szóló 2003. évi XCII. tv. figyelembe vételével méltányosságból származó kedvezmény</t>
  </si>
  <si>
    <t>Összes 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</si>
  <si>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</si>
  <si>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</si>
  <si>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</si>
  <si>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</si>
  <si>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</si>
  <si>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</si>
  <si>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</si>
  <si>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</si>
  <si>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</si>
  <si>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</si>
  <si>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</si>
  <si>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</si>
  <si>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</si>
  <si>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</si>
  <si>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</si>
  <si>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</si>
  <si>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</si>
  <si>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 xml:space="preserve">Hévíz Város Önkormányzata 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</si>
  <si>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</si>
  <si>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</si>
  <si>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</si>
  <si>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</si>
  <si>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</si>
  <si>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</si>
  <si>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</si>
  <si>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</si>
  <si>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</si>
  <si>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</si>
  <si>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</si>
  <si>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</si>
  <si>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</si>
  <si>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</si>
  <si>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</si>
  <si>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</si>
  <si>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</si>
  <si>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</si>
  <si>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</si>
  <si>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</si>
  <si>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</si>
  <si>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</si>
  <si>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</si>
  <si>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>Működési célú támogatások államháztartáson belülre  mindösszesen</t>
  </si>
  <si>
    <t>Működési célú támogatások államháztartáson kívülre mindösszesen</t>
  </si>
  <si>
    <t xml:space="preserve">Működési célú támogatás ÁHT-én kívülre </t>
  </si>
  <si>
    <t xml:space="preserve">Működési célú támogatás ÁHT-én belülre </t>
  </si>
  <si>
    <t xml:space="preserve">Hévíz Város Önkormányzat  
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</si>
  <si>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</si>
  <si>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</si>
  <si>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</si>
  <si>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</si>
  <si>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</si>
  <si>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</si>
  <si>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</si>
  <si>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</si>
  <si>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</si>
  <si>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</si>
  <si>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</si>
  <si>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</si>
  <si>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</si>
  <si>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</si>
  <si>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</si>
  <si>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</si>
  <si>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</si>
  <si>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</si>
  <si>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</si>
  <si>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</si>
  <si>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</si>
  <si>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</si>
  <si>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</si>
  <si>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</si>
  <si>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</si>
  <si>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</si>
  <si>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</si>
  <si>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</si>
  <si>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</si>
  <si>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</si>
  <si>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</si>
  <si>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</si>
  <si>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</si>
  <si>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</si>
  <si>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</si>
  <si>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</si>
  <si>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</si>
  <si>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</si>
  <si>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</si>
  <si>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</si>
  <si>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</si>
  <si>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</si>
  <si>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</si>
  <si>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</si>
  <si>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</si>
  <si>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lakosságnak</t>
  </si>
  <si>
    <t>Felhalmozási kölcsön nyújtása önkormányzati dolgozóknak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</si>
  <si>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</si>
  <si>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</si>
  <si>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</si>
  <si>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</si>
  <si>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</si>
  <si>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</si>
  <si>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</si>
  <si>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</si>
  <si>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</si>
  <si>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</si>
  <si>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</si>
  <si>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Takarítónő orv. Rendelő</t>
  </si>
  <si>
    <t>Bölcsődei gyermek gondozó</t>
  </si>
  <si>
    <t>Bölcsődei kisegítő személyzet</t>
  </si>
  <si>
    <t>Óvónő</t>
  </si>
  <si>
    <t>Kisegítő személyzet</t>
  </si>
  <si>
    <t>3 fő kisegítő személyzet 2013. szept.1-től</t>
  </si>
  <si>
    <t>Brunszvik Teréz Napközi Otthonos Óvoda össz: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</si>
  <si>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</si>
  <si>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</si>
  <si>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</si>
  <si>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</si>
  <si>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</si>
  <si>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</si>
  <si>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</si>
  <si>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</si>
  <si>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</si>
  <si>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</si>
  <si>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</si>
  <si>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</si>
  <si>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</si>
  <si>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</si>
  <si>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</si>
  <si>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</si>
  <si>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</si>
  <si>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</si>
  <si>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</si>
  <si>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</si>
  <si>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</si>
  <si>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</si>
  <si>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</si>
  <si>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</si>
  <si>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</si>
  <si>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</si>
  <si>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</si>
  <si>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</si>
  <si>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</si>
  <si>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Eszközbeszerzés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</si>
  <si>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</si>
  <si>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</si>
  <si>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</si>
  <si>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</si>
  <si>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</si>
  <si>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</si>
  <si>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</si>
  <si>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</si>
  <si>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</si>
  <si>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</si>
  <si>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</si>
  <si>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Nyári gyermekétkeztetés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</si>
  <si>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</si>
  <si>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</si>
  <si>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</si>
  <si>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</si>
  <si>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</si>
  <si>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</si>
  <si>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</si>
  <si>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</si>
  <si>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</si>
  <si>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</si>
  <si>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</si>
  <si>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</si>
  <si>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</si>
  <si>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</si>
  <si>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</si>
  <si>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</si>
  <si>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</si>
  <si>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</si>
  <si>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</si>
  <si>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</si>
  <si>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</si>
  <si>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</si>
  <si>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</si>
  <si>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</si>
  <si>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</si>
  <si>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</si>
  <si>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</si>
  <si>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</si>
  <si>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</si>
  <si>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</si>
  <si>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</si>
  <si>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</si>
  <si>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</si>
  <si>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</si>
  <si>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</si>
  <si>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Házi segítségnyújtás</t>
  </si>
  <si>
    <t>Működési c. kiadások össz.:</t>
  </si>
  <si>
    <t>Szociálpolitikai juttatások</t>
  </si>
  <si>
    <t>Összesen:</t>
  </si>
  <si>
    <t>Rászorultságtól függő term.  ellátások</t>
  </si>
  <si>
    <t>Nyári gyerekétkeztetés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</si>
  <si>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</si>
  <si>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</si>
  <si>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</si>
  <si>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</si>
  <si>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</si>
  <si>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</si>
  <si>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</si>
  <si>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</si>
  <si>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</si>
  <si>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</si>
  <si>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</si>
  <si>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</si>
  <si>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</si>
  <si>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</si>
  <si>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</si>
  <si>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</si>
  <si>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</si>
  <si>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</si>
  <si>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</si>
  <si>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</si>
  <si>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</si>
  <si>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</si>
  <si>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</si>
  <si>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</si>
  <si>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</si>
  <si>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</si>
  <si>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</si>
  <si>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</si>
  <si>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</si>
  <si>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</si>
  <si>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</si>
  <si>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</si>
  <si>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</si>
  <si>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Működési célú támogatások mindösszesen 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</si>
  <si>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</si>
  <si>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</si>
  <si>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</si>
  <si>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</si>
  <si>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</si>
  <si>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</si>
  <si>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</si>
  <si>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</si>
  <si>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</si>
  <si>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</si>
  <si>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</si>
  <si>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</si>
  <si>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</si>
  <si>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</si>
  <si>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</si>
  <si>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</si>
  <si>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</si>
  <si>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</si>
  <si>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</si>
  <si>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</si>
  <si>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</si>
  <si>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</si>
  <si>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</si>
  <si>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</si>
  <si>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</si>
  <si>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</si>
  <si>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</si>
  <si>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</si>
  <si>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</si>
  <si>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</si>
  <si>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</si>
  <si>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</si>
  <si>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</si>
  <si>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</si>
  <si>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</si>
  <si>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</si>
  <si>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</si>
  <si>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</si>
  <si>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Konyha</t>
  </si>
  <si>
    <t>Köztemető</t>
  </si>
  <si>
    <t>Köztisztasági tevékenység</t>
  </si>
  <si>
    <t>Orvosi ügyeleti szolgálat</t>
  </si>
  <si>
    <t>Takarítónő, mosónő</t>
  </si>
  <si>
    <t>GAMESZ összesen:</t>
  </si>
  <si>
    <t xml:space="preserve">Teréz Anya Szociális Integrált Intézmény**  </t>
  </si>
  <si>
    <t>Nappali szociális ellátás</t>
  </si>
  <si>
    <t>Védőnő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</si>
  <si>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</si>
  <si>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</si>
  <si>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</si>
  <si>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</si>
  <si>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</si>
  <si>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</si>
  <si>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</si>
  <si>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működési célú támogatások államháztartáson belülről 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</si>
  <si>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</si>
  <si>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</si>
  <si>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</si>
  <si>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</si>
  <si>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</si>
  <si>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</si>
  <si>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</si>
  <si>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</si>
  <si>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</si>
  <si>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</si>
  <si>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</si>
  <si>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</si>
  <si>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</si>
  <si>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</si>
  <si>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</si>
  <si>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</si>
  <si>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</si>
  <si>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</si>
  <si>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</si>
  <si>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</si>
  <si>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</si>
  <si>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</si>
  <si>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</si>
  <si>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</si>
  <si>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</si>
  <si>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</si>
  <si>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</si>
  <si>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</si>
  <si>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</si>
  <si>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</si>
  <si>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</si>
  <si>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</si>
  <si>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</si>
  <si>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2018.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</si>
  <si>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</si>
  <si>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</si>
  <si>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</si>
  <si>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</si>
  <si>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</si>
  <si>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</si>
  <si>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</si>
  <si>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</si>
  <si>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</si>
  <si>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</si>
  <si>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</si>
  <si>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</si>
  <si>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</si>
  <si>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</si>
  <si>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</si>
  <si>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</si>
  <si>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PMK/22-3/2012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</si>
  <si>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</si>
  <si>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</si>
  <si>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</si>
  <si>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</si>
  <si>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</si>
  <si>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</si>
  <si>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</si>
  <si>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</si>
  <si>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</si>
  <si>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</si>
  <si>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</si>
  <si>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</si>
  <si>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</si>
  <si>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</si>
  <si>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</si>
  <si>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Webmark Europe Kft - honlapok(3db) üzemeltetése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</si>
  <si>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</si>
  <si>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</si>
  <si>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</si>
  <si>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</si>
  <si>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</si>
  <si>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</si>
  <si>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</si>
  <si>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</si>
  <si>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</si>
  <si>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</si>
  <si>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</si>
  <si>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</si>
  <si>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</si>
  <si>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NetStandard Informatikai Kft - szerver üzemeltetés (hevizairport.hu)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</si>
  <si>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</si>
  <si>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</si>
  <si>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</si>
  <si>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</si>
  <si>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</si>
  <si>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</si>
  <si>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</si>
  <si>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</si>
  <si>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</si>
  <si>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</si>
  <si>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</si>
  <si>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</si>
  <si>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</si>
  <si>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</si>
  <si>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</si>
  <si>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</si>
  <si>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</si>
  <si>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</si>
  <si>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</si>
  <si>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</si>
  <si>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</si>
  <si>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</si>
  <si>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</si>
  <si>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</si>
  <si>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</si>
  <si>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</si>
  <si>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</si>
  <si>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</si>
  <si>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</si>
  <si>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</si>
  <si>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</si>
  <si>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</si>
  <si>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</si>
  <si>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</si>
  <si>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</si>
  <si>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</si>
  <si>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</si>
  <si>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</si>
  <si>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</si>
  <si>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</si>
  <si>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</si>
  <si>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</si>
  <si>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</si>
  <si>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</si>
  <si>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</si>
  <si>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</si>
  <si>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</si>
  <si>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</si>
  <si>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</si>
  <si>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</si>
  <si>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</si>
  <si>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</si>
  <si>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</si>
  <si>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</si>
  <si>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</si>
  <si>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</si>
  <si>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</si>
  <si>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</si>
  <si>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</si>
  <si>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</si>
  <si>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</si>
  <si>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</si>
  <si>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</si>
  <si>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</si>
  <si>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</si>
  <si>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</si>
  <si>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</si>
  <si>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</si>
  <si>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</si>
  <si>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</si>
  <si>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</si>
  <si>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</si>
  <si>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</si>
  <si>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</si>
  <si>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</si>
  <si>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</si>
  <si>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</si>
  <si>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</si>
  <si>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</si>
  <si>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</si>
  <si>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</si>
  <si>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</si>
  <si>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</si>
  <si>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</si>
  <si>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</si>
  <si>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</si>
  <si>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</si>
  <si>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</si>
  <si>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</si>
  <si>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</si>
  <si>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</si>
  <si>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</si>
  <si>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</si>
  <si>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</si>
  <si>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</si>
  <si>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</si>
  <si>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</si>
  <si>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</si>
  <si>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</si>
  <si>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</si>
  <si>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</si>
  <si>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</si>
  <si>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</si>
  <si>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</si>
  <si>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</si>
  <si>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</si>
  <si>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</si>
  <si>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</si>
  <si>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</si>
  <si>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</si>
  <si>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</si>
  <si>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</si>
  <si>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</si>
  <si>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</si>
  <si>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</si>
  <si>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</si>
  <si>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</si>
  <si>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</si>
  <si>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</si>
  <si>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</si>
  <si>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</si>
  <si>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</si>
  <si>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</si>
  <si>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</si>
  <si>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</si>
  <si>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</si>
  <si>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</si>
  <si>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</si>
  <si>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</si>
  <si>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</si>
  <si>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</si>
  <si>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</si>
  <si>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</si>
  <si>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</si>
  <si>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</si>
  <si>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</si>
  <si>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</si>
  <si>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</si>
  <si>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</si>
  <si>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</si>
  <si>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</si>
  <si>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</si>
  <si>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</si>
  <si>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</si>
  <si>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</si>
  <si>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>2017. évi várható bevétel</t>
  </si>
  <si>
    <t xml:space="preserve">  II.1.(4)2 óvodapedagógusok átlagbérének és közterheinek pótlólagos összege 2017/2017. tanévre</t>
  </si>
  <si>
    <t xml:space="preserve">  .../2017. (……..) önkormányzati rendelet 5. melléklete</t>
  </si>
  <si>
    <t>Térfigyelő kamerarendszer működtetés</t>
  </si>
  <si>
    <t>6</t>
  </si>
  <si>
    <t>Romkert gondnok</t>
  </si>
  <si>
    <t>I. összesen</t>
  </si>
  <si>
    <t>Beszámítás alapja:</t>
  </si>
  <si>
    <t>(I.1.e) sort terhelő összeg)</t>
  </si>
  <si>
    <t>II . Összesen</t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</si>
  <si>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</si>
  <si>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</si>
  <si>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</si>
  <si>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</si>
  <si>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</si>
  <si>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</si>
  <si>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>Törlesztés</t>
  </si>
  <si>
    <t>Ápolási támogatás</t>
  </si>
  <si>
    <t>Települési támogatás összesen:</t>
  </si>
  <si>
    <t>Természetbeni ellátások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</si>
  <si>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</si>
  <si>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</si>
  <si>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</si>
  <si>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</si>
  <si>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</si>
  <si>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</si>
  <si>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</si>
  <si>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</si>
  <si>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  5.2. Ingatlanok értékesítése (B51)</t>
  </si>
  <si>
    <t xml:space="preserve">         5.1. Immateriális javak értékesítése (B5)</t>
  </si>
  <si>
    <t xml:space="preserve">       1.2 Elvonások, befizetések bevételei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</si>
  <si>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</si>
  <si>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</si>
  <si>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</si>
  <si>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</si>
  <si>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</si>
  <si>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</si>
  <si>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</si>
  <si>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</si>
  <si>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</si>
  <si>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</si>
  <si>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</si>
  <si>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</si>
  <si>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</si>
  <si>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>Új parkoló helyek megvalósításához terv készítés</t>
  </si>
  <si>
    <t>új beruházás</t>
  </si>
  <si>
    <t>Nyírfa utcai projekt (adósságkonsz)</t>
  </si>
  <si>
    <t>Nagyparkoló T jelű belterületi út építáése, forgalomtechnika (adósságkonsz)</t>
  </si>
  <si>
    <t>Zrínyi utca külterületi szakasz közmű és zöldfelület tervezés</t>
  </si>
  <si>
    <t>"Hévíz - Gyógytó kifolyó víz hőszivattyús energiahasznosítása"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</si>
  <si>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</si>
  <si>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</si>
  <si>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</si>
  <si>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</si>
  <si>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</si>
  <si>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>TC Informatika Kft - közterületfigyelő rendszer üzemeltetése</t>
  </si>
  <si>
    <t>SZO/181-28/2016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</si>
  <si>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</si>
  <si>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</si>
  <si>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</si>
  <si>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</si>
  <si>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</si>
  <si>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t>-1</t>
  </si>
  <si>
    <t>Bölcsődei gyógypedagógiai asszisztens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</si>
  <si>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</si>
  <si>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</si>
  <si>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</si>
  <si>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</si>
  <si>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</si>
  <si>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</si>
  <si>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</si>
  <si>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</si>
  <si>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Hévíz és Térsége KamaraiTagok Kultúrális Alapítványa</t>
  </si>
  <si>
    <t>Keszthelyi Mentők Alapítvány</t>
  </si>
  <si>
    <t>Hévízi Kulturális Központ Nonprofit Kft.</t>
  </si>
  <si>
    <t xml:space="preserve">Hévíz Sportkör visszatérítendő támogatás </t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</si>
  <si>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</si>
  <si>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</si>
  <si>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</si>
  <si>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</si>
  <si>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</si>
  <si>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</si>
  <si>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>Festetics sétány kialakítására vonatkozó tervek</t>
  </si>
  <si>
    <t>Fenntartható közlekedés TOP-3.1.1-15-ZA1-2016-00007</t>
  </si>
  <si>
    <t>Hévíz Sortkör felhalmozási támogatás (weboldal fejlesztés)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</si>
  <si>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</si>
  <si>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</si>
  <si>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</si>
  <si>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>502219 Termelői piac fejlesztés TOP-1.1.3-15</t>
  </si>
  <si>
    <t xml:space="preserve"> 502301 ASP rendszer bevezetése </t>
  </si>
  <si>
    <t xml:space="preserve"> 503201 Működési célú pénzeszköz átadás</t>
  </si>
  <si>
    <t xml:space="preserve"> 503304 Gyógyszertámogatás</t>
  </si>
  <si>
    <t xml:space="preserve"> 503306 Lakhatási támogatás</t>
  </si>
  <si>
    <t xml:space="preserve"> 503401 Munkáltatói kölcsön kiadásai </t>
  </si>
  <si>
    <t xml:space="preserve"> 503402 Lakossági kölcsön kiadásai</t>
  </si>
  <si>
    <t xml:space="preserve"> 504201 Továbbszámlázások</t>
  </si>
  <si>
    <t xml:space="preserve"> 505101 Önkormány.jogalk.</t>
  </si>
  <si>
    <t>505102 Nemzetközi kapcsolatok</t>
  </si>
  <si>
    <t>505102 Nagyköveti program</t>
  </si>
  <si>
    <t xml:space="preserve"> 505103 Reprezentáció</t>
  </si>
  <si>
    <t xml:space="preserve"> 505201 Hévíz folyóirat</t>
  </si>
  <si>
    <t>505202 Forrás újság</t>
  </si>
  <si>
    <t xml:space="preserve"> 505301 Főépítészi feladatok ellátása</t>
  </si>
  <si>
    <t xml:space="preserve"> 505302 Gyepmesteri és állatorvosi feladatok</t>
  </si>
  <si>
    <t>505401 Parkolási tevékenység</t>
  </si>
  <si>
    <t xml:space="preserve"> 505402  HeBi üzemeltetés</t>
  </si>
  <si>
    <t xml:space="preserve"> 505501 Közvilágítás</t>
  </si>
  <si>
    <t xml:space="preserve"> 505502 Város- és községgazdálkodás</t>
  </si>
  <si>
    <t xml:space="preserve">505601 Nyári napközi </t>
  </si>
  <si>
    <t>503301 Szociális célú tüzifa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</si>
  <si>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</si>
  <si>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</si>
  <si>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</si>
  <si>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</si>
  <si>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502205 Egregyi temetőkápolna, temetőkert</t>
  </si>
  <si>
    <t>505802 "Transforming your city"</t>
  </si>
  <si>
    <t>505803 "SporOverBorder - Hévíz"</t>
  </si>
  <si>
    <t xml:space="preserve"> Gépjármű üzemeltetés (2017. 07. 01 napjától)</t>
  </si>
  <si>
    <t>502206 Buszpályaudvar áttelepítése</t>
  </si>
  <si>
    <t>502201 Széchenyi utca fejlesztése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</si>
  <si>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</si>
  <si>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</si>
  <si>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</si>
  <si>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</si>
  <si>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</si>
  <si>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</si>
  <si>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</si>
  <si>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</si>
  <si>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t>HEBI dokk létesítés (Fenntartható közlekedés TOP-3.1.1-15-ZA1-00007)</t>
  </si>
  <si>
    <t xml:space="preserve">Informatikai eszközök beszerzése </t>
  </si>
  <si>
    <t>502207 "Gyógyhelyi főtér" GINOP-7.1.9-17</t>
  </si>
  <si>
    <t>5022255 "Zala két keréken" TOP-3.1.1-15-ZA-2016-00005</t>
  </si>
  <si>
    <t>Ápolás, gondozás, otthoni ellátás+mentalhigiénés munkatárs</t>
  </si>
  <si>
    <r>
      <rPr>
        <b/>
        <sz val="9"/>
        <color indexed="8"/>
        <rFont val="Times New Roman"/>
        <family val="1"/>
        <charset val="238"/>
      </rPr>
      <t>2018.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</si>
  <si>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Hévízi népességnyilvántartás adata: 4705 fő</t>
  </si>
  <si>
    <r>
      <rPr>
        <sz val="9"/>
        <rFont val="Times New Roman"/>
        <family val="1"/>
        <charset val="238"/>
      </rPr>
      <t>I.1.5. 2017.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</si>
  <si>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t>I.1.6. Polgármesteri iIlletmény támogatása (a 32.000 Ft/fő adőerőképességet meg nem haladó önkormányzatok esetében)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</si>
  <si>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2016. dec.31-ig szerezték 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</si>
  <si>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 minősítést  2018. január 1-i átsorolással szerezték</t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</si>
  <si>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MÁK által megállapított összegű folyósítás)</t>
    </r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</si>
  <si>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(2017. 01.01-i lakosságszám szerint Cserszegtomaj 3117 fő) + (Hévíz népességnyilvántartó adata szerint 2017. 01.01: 4705 fő)</t>
    </r>
  </si>
  <si>
    <t xml:space="preserve">   III. 4. települési önk. által nyújtott egyes szociális szakosított ellátások, valamint a                 gyermekek átmeneti gondozásával kapcsolatos feladatok támogatása támogatás </t>
  </si>
  <si>
    <t>előző évi eredeti felmérés szerinti támogatás összege</t>
  </si>
  <si>
    <t xml:space="preserve">   III. 5. Gyermek étkeztetés támogatása</t>
  </si>
  <si>
    <t xml:space="preserve">      III. 5. a) Finanszírozás szempontjából elismert dolgozók bértámogatása</t>
  </si>
  <si>
    <t xml:space="preserve">      III. 5. b) Gyermekétkeztetés üzemeltetési támogatása  </t>
  </si>
  <si>
    <t xml:space="preserve">   III. 6. Rászoruló gyermekek intézményen kívüli szünidei étkeztetésének támogatása összege (Ft/étkezési adag, adóerőképeswség szerint differenciálva)</t>
  </si>
  <si>
    <t xml:space="preserve">  III 7. Bölcsőde, mini bölcsőde támogatása</t>
  </si>
  <si>
    <t xml:space="preserve">      III.7.a) Finanszírozás szempontjából elismert szakmai dolgozók bértámogatása</t>
  </si>
  <si>
    <t xml:space="preserve">              Bölcsődei dajkák, középfokú végzettségűkisgyermeknevelők, szaktanácsadók bértámogatása</t>
  </si>
  <si>
    <t>0,8 fő középfokú kisgyermeknevelő + 1 fő dajka</t>
  </si>
  <si>
    <t xml:space="preserve">               Felsőfokú végzettségű kisgyermeknevelők, szaktanácsadók bértámogatása</t>
  </si>
  <si>
    <t>2 fő felsőfokú kisgyermeknevelő + 0 fő szaktanácsadó</t>
  </si>
  <si>
    <t xml:space="preserve">      III.7.b) Bölcsődei üzemeltetési támogatás 32.000 Ft/fő/év adóerőképességet meg nem haladó települések részére (Hévíz adőerőképessége 60.708 Ft/fő)</t>
  </si>
  <si>
    <t>(előző évi állomány gyarapítás alapján évközben megítélt támogatás)</t>
  </si>
  <si>
    <t>IV.3. Kulturális illetménypótlék</t>
  </si>
  <si>
    <t>(évközben megállapított és folyósított támogatás)</t>
  </si>
  <si>
    <t>.</t>
  </si>
  <si>
    <t>Információ: V. Beszámítás szerinti támogatás csökkentés összesen: = 20.402.132.317*0,55/100*110/100=123.432.901</t>
  </si>
  <si>
    <t xml:space="preserve">                          Szolidaritási hozzájárulás: (123.432.901 - 671.759.619)*80%=0</t>
  </si>
  <si>
    <t>kék = fajlagos támogatási összeg változás</t>
  </si>
  <si>
    <t>Alsópáhok adó-átadás</t>
  </si>
  <si>
    <t>Keszthely adó- átadás</t>
  </si>
  <si>
    <t>Tárgyi eszközök (2db klima, 1db ipari mosogatógép)</t>
  </si>
  <si>
    <t>Tárgyi eszköz beszerzés (Klimatizálás-Szt. András 2 szint folyosójának, 2 db elektromos ágy, 1db ipari mosogatógép</t>
  </si>
  <si>
    <t>Egyéb  tárgyi eszköz beszerzés (1db pohárautomata ivőkúthoz, 8 db számítógép beszerzés, interkativ érnitőképernyős felület, televízió)</t>
  </si>
  <si>
    <t xml:space="preserve">2018. évi pénzügyi mérleg </t>
  </si>
  <si>
    <t xml:space="preserve">2018. évi működési pénzügyi mérleg </t>
  </si>
  <si>
    <t xml:space="preserve">2018. évi előirányzat </t>
  </si>
  <si>
    <t xml:space="preserve">2018. évi felhalmozási pénzügyi mérleg </t>
  </si>
  <si>
    <t>2018. évi közhatalmi bevételek</t>
  </si>
  <si>
    <t>2018. évi költségvetés felhalmozási bevételek</t>
  </si>
  <si>
    <t>2018. évi költségvetési rendelet</t>
  </si>
  <si>
    <t xml:space="preserve">2018. évi pénzügyi mérlege </t>
  </si>
  <si>
    <t xml:space="preserve">2018. évi Pénzügyi mérleg </t>
  </si>
  <si>
    <t xml:space="preserve">2018.  évi működési célú és egyéb kiadások feladatonként </t>
  </si>
  <si>
    <t>2018. évi pénzügyi mérleg</t>
  </si>
  <si>
    <t>2018. évi  engedélyezett létszámkeret</t>
  </si>
  <si>
    <t>Közép-keleti város rész csapadékelvezetés tervezése és kivitelezése (Babocsay és Dombföldi utca)</t>
  </si>
  <si>
    <t>Szoftver</t>
  </si>
  <si>
    <t>Helyi önkormányzatok működésének és ágazati feladatainak várható 2018. évi támogatása 2018. évi mutatószám felmérés adatai alapján</t>
  </si>
  <si>
    <t>135+1*2+2*3=143 fő</t>
  </si>
  <si>
    <t>Beszámítás:2016. évi IPA alap szerint</t>
  </si>
  <si>
    <t>568 fő</t>
  </si>
  <si>
    <t xml:space="preserve">Költségvetési  szerveknél foglalkoztatottak 2017. dec. bérkompenzációja </t>
  </si>
  <si>
    <t xml:space="preserve">                                                                        2018. évi bérkompenzáció</t>
  </si>
  <si>
    <t>Számítástechnika váratlan meghibásodása miatti beszerzés</t>
  </si>
  <si>
    <t>Eszköz beszerzés</t>
  </si>
  <si>
    <t>Felosztható keret</t>
  </si>
  <si>
    <t xml:space="preserve">Polgármesteri Hivatal épülete fűrtéskorszerűsítése </t>
  </si>
  <si>
    <t>5</t>
  </si>
  <si>
    <t>"RefurbCulture" projekt eszköz HUHR</t>
  </si>
  <si>
    <t xml:space="preserve"> 502224 "ReforbCulture" projekt</t>
  </si>
  <si>
    <t>Nagyparkoló zöldterületének és közlekedési ter. megújítása (Zöldváros) TOP-2.1.2-15-ZA1-2016-00004</t>
  </si>
  <si>
    <t>Hévízi TV Nonprofit Kft</t>
  </si>
  <si>
    <t>Nagykanizsai Tankerületi Központ</t>
  </si>
  <si>
    <t>Informatikai beruházás</t>
  </si>
  <si>
    <t>Kisértékű tárgyi eszköz</t>
  </si>
  <si>
    <t>Szt. András utcai épület homlokzat felújítás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</si>
  <si>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</si>
  <si>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</si>
  <si>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</si>
  <si>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</si>
  <si>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kék = fajlagos támogatási összeg változás előző évhez képest</t>
  </si>
  <si>
    <t>2018. évi költségvetés</t>
  </si>
  <si>
    <t>2018. évi egyéb működési célú támogatások ÁHT-én beülre és  és működési támogatások ÁHT-n kívülre</t>
  </si>
  <si>
    <t>2018. évi felhalmozási kiadásai</t>
  </si>
  <si>
    <t xml:space="preserve">előirányzat felhasználási ütemterv a 2018. évi  költségvetési rendelethez </t>
  </si>
  <si>
    <t>Finanszírozási kiadás</t>
  </si>
  <si>
    <t>Áht-n belüli megelőlegzések visszafizetése</t>
  </si>
  <si>
    <t>7/1.</t>
  </si>
  <si>
    <t>7/2.</t>
  </si>
  <si>
    <t>7/3.</t>
  </si>
  <si>
    <t>Hévízi Turisztikai Nonprofit Kft Hungarikum alapprogram</t>
  </si>
  <si>
    <t xml:space="preserve">Polgári Védelmi Szövetség 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</si>
  <si>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</si>
  <si>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</si>
  <si>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</si>
  <si>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>Hévíz 2102. hrsz-ú ingatlan (+kisajátítási terv)</t>
  </si>
  <si>
    <t xml:space="preserve">              Bölcsődei dajkák, középfokú végzettségű kisgyermeknevelők, szaktanácsadók bértámogatása</t>
  </si>
  <si>
    <t>505701 Vagyongazdálkodás kiadásai</t>
  </si>
  <si>
    <t>505702 Hévíz-Gyógytó kifolyó víz hőszivattyús energia hasznosítása</t>
  </si>
  <si>
    <t>2/2.</t>
  </si>
  <si>
    <t>2/1.</t>
  </si>
  <si>
    <t>Buszpályaudvar enged.és kiviteli terv (+ láp terület hatástanulmány 6.000 e Ft)</t>
  </si>
  <si>
    <t>Gyógyhelyi főtér kialakítás (kiviteli tervezés)</t>
  </si>
  <si>
    <t>15/1.</t>
  </si>
  <si>
    <t>15/2.</t>
  </si>
  <si>
    <t xml:space="preserve">Piac tervezési módosítás (Pályázatban nem elszámolható! </t>
  </si>
  <si>
    <t>505502 Város és közs.gazd. (Sportszálló alatti Eon vezeték kiváltása)</t>
  </si>
  <si>
    <t>505502 Város és közs.gazd. (Városi sportcsarnok bontása)</t>
  </si>
  <si>
    <t>Magyar Máltai Szeretetszolgálat: Támogató szolgálat</t>
  </si>
  <si>
    <t>Mérték  (2018. évi január 1. napjától)</t>
  </si>
  <si>
    <t xml:space="preserve">2018. évi bevételi terv  </t>
  </si>
  <si>
    <t xml:space="preserve">2018. évi előirányzat összesen </t>
  </si>
  <si>
    <t xml:space="preserve">2018. évi bevételi előirányzat </t>
  </si>
  <si>
    <t>2018. évi terv</t>
  </si>
  <si>
    <t xml:space="preserve">2018.  évi előirányzat </t>
  </si>
  <si>
    <t>Új szinpad (heti 20 óra)</t>
  </si>
  <si>
    <r>
      <t xml:space="preserve">Építményadó: </t>
    </r>
    <r>
      <rPr>
        <sz val="11"/>
        <rFont val="Times New Roman"/>
        <family val="1"/>
        <charset val="238"/>
      </rPr>
      <t>lakás, üdülő, egyéb építmény, 100 %-os adókedvezmény az állandó lakóhellyel rendelkező magánszemély részére, 3.103 adótárgy, 281.358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-re vonatkozóan</t>
    </r>
  </si>
  <si>
    <t>Hitelállomány 2018. 01. 01. napján</t>
  </si>
  <si>
    <t>a költségvetési évet követő három évre kihatással járó döntésekből származó kötelezettségek célok szerint, évenkénti bontásban</t>
  </si>
  <si>
    <t>2020.</t>
  </si>
  <si>
    <t>2021.</t>
  </si>
  <si>
    <t>SZO/465-2/2016</t>
  </si>
  <si>
    <t xml:space="preserve">Karsád György János EV </t>
  </si>
  <si>
    <t>Cserna-Szabó András - Hévíz Folyóirat főszerkesztői  feladatok ellátása</t>
  </si>
  <si>
    <t>Fehér Renátó - Héviz Folyóirat szerkesztői feladatok ellátásaSzálinger Balázs - Hévíz Folyóirat főszerkesztői feladatok ellátása</t>
  </si>
  <si>
    <t>PMK/13-2/2017</t>
  </si>
  <si>
    <t>2017.02.25+3év</t>
  </si>
  <si>
    <t>PMK/14-2/2017</t>
  </si>
  <si>
    <t>PMK/14-1/2017</t>
  </si>
  <si>
    <t>SZO/492-1/2017</t>
  </si>
  <si>
    <t>Lukács Péter Dániel - városi rendezvényekről sajtó fotó készités</t>
  </si>
  <si>
    <t>…./2017. 07.12.</t>
  </si>
  <si>
    <t>ZNET Telekom Zrt - internet szolg. (Rózsakert)</t>
  </si>
  <si>
    <t>KGO/217-14/2017</t>
  </si>
  <si>
    <t>CIB Bank Zrt - Önk.Infr.Fejl.Program 2020 - hitel</t>
  </si>
  <si>
    <t>SZO/4-13/2017</t>
  </si>
  <si>
    <t>Dr. Farkas Ügyvédi Iroda</t>
  </si>
  <si>
    <t>KGO/208-1/2017</t>
  </si>
  <si>
    <t>EMoGÁ Kft</t>
  </si>
  <si>
    <r>
      <t>Iparűzési adó</t>
    </r>
    <r>
      <rPr>
        <sz val="12"/>
        <rFont val="Times New Roman"/>
        <family val="1"/>
        <charset val="238"/>
      </rPr>
      <t>:    Az adóalany vállalkozó szintú adóalapja legfeljebb 2.500 e Ft, kedvezmény: 25%</t>
    </r>
  </si>
  <si>
    <t>2/2018. (I. 25.) önkormányzati rendelet 1/3. melléklete</t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</si>
  <si>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</si>
  <si>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>2/2018. (I. 25.) önkormányzati rendelet 2/4. melléklete</t>
  </si>
  <si>
    <t>2/2018. (I. 25.) önkormányzati rendelet 3/2. melléklete</t>
  </si>
  <si>
    <t>2/2018. (I. 25.) önkormányzati rendelet 4. melléklete</t>
  </si>
  <si>
    <t>2/2018. (I. 25.) önkormányzati rendelet 5. melléklete</t>
  </si>
  <si>
    <t xml:space="preserve"> 2/2018. (I. 25.) önkormányzati rendelet 6. melléklete</t>
  </si>
  <si>
    <t>2/2018. (I. 25.) önkormányzati rendelet 7. melléklete</t>
  </si>
  <si>
    <t xml:space="preserve">  2/2018. (I. 25.) önkormányzati rendelet 8. melléklete </t>
  </si>
  <si>
    <t xml:space="preserve">1. melléklet a …./2018. (… …) rendelethez, 1. melléklet a 2/2018. (I. 25.) önkormányzati rendelethez </t>
  </si>
  <si>
    <t xml:space="preserve">2. melléklet a …./2018. (… …) rendelethez, 1/1. melléklet a 2/2018. (I. 25.) önkormányzati rendelethez </t>
  </si>
  <si>
    <t xml:space="preserve">4. melléklet a …./2018. (… …) rendelethez, 1/4. melléklet a 2/2018. (I. 25.) önkormányzati rendelethez </t>
  </si>
  <si>
    <t>Világörökségi helyszínek fejlesztése-Festetics sétány GINOP-7.1.6-16-2017-00004</t>
  </si>
  <si>
    <t>SportOverBorders Hévíz projekt HUHR/1601/3.1.2/0013</t>
  </si>
  <si>
    <t>RefurbCulture HUHR/1601/3.1.1/0016</t>
  </si>
  <si>
    <t>Hévíz-Balaton Airport Kft</t>
  </si>
  <si>
    <t>Nemzeti Választási Iroda</t>
  </si>
  <si>
    <t>64.</t>
  </si>
  <si>
    <t>65.</t>
  </si>
  <si>
    <t>66.</t>
  </si>
  <si>
    <t xml:space="preserve">6. melléklet a …./2018. (… …) rendelethez, 1/6. melléklet a 2/2018. (I. 25.) önkormányzati rendelethez </t>
  </si>
  <si>
    <t xml:space="preserve">5. melléklet a …./2018. (… …) rendelethez, 1/5. melléklet a 2/2018. (I. 25.) önkormányzati rendelethez </t>
  </si>
  <si>
    <t xml:space="preserve">7. melléklet a …./2018. (… …) rendelethez, 1/7. melléklet a 2/2018. (I. 25.) önkormányzati rendelethez </t>
  </si>
  <si>
    <t>Szociális és Gyermekvédelmi Főigazgatóság</t>
  </si>
  <si>
    <t>Hévízi Református Egyházközösség</t>
  </si>
  <si>
    <t>"Egy fürdőváros születése - Hévíz története" I. kötet (Csala Tamás ev.)</t>
  </si>
  <si>
    <t>"Egy fürdőváros születése - Hévíz története" II. kötet (Szántó András ev.)</t>
  </si>
  <si>
    <t xml:space="preserve">8. melléklet a …./2018. (… …) rendelethez, 1/8. melléklet a 2/2018. (I. 25.) önkormányzati rendelethez </t>
  </si>
  <si>
    <t>12/1.</t>
  </si>
  <si>
    <t>12/2.</t>
  </si>
  <si>
    <t>Festetics sétány (Világörökségi helyszínek fejlesztése projekt) GINOP-7.1.6-16-2017-00004</t>
  </si>
  <si>
    <r>
      <rPr>
        <sz val="8"/>
        <rFont val="Times New Roman"/>
        <family val="1"/>
        <charset val="238"/>
      </rPr>
      <t>Hévíz, Zrinyí utca fejlesztés</t>
    </r>
    <r>
      <rPr>
        <b/>
        <sz val="8"/>
        <color rgb="FF0070C0"/>
        <rFont val="Times New Roman"/>
        <family val="1"/>
        <charset val="238"/>
      </rPr>
      <t xml:space="preserve"> (Kormányzati döntés alapján!)</t>
    </r>
  </si>
  <si>
    <t>Pócza Villa korszerűsítáéése (RefurbCulture projekt HUHR/1601/3.1.3/0016</t>
  </si>
  <si>
    <t>7</t>
  </si>
  <si>
    <t>Festetics sétány eszközbeszerzés (Világörökségi helyszínek fejlesztése projekt) GINOP-7.1.6-16-2017-00004</t>
  </si>
  <si>
    <t xml:space="preserve">Egyéb szálláshelyek 2019. évi minőségfejlesztési támogatása </t>
  </si>
  <si>
    <t xml:space="preserve">Bencés Szellemiségért Alapítvány </t>
  </si>
  <si>
    <t>20 db BIGTENT H40 sátor beszerzés</t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</si>
  <si>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(911.000 ezer Ft-hoz Kormányzati döntés alapján!)</t>
    </r>
  </si>
  <si>
    <r>
      <t xml:space="preserve">Nagyparkoló átalakítása </t>
    </r>
    <r>
      <rPr>
        <b/>
        <sz val="8"/>
        <color rgb="FF0070C0"/>
        <rFont val="Times New Roman"/>
        <family val="1"/>
        <charset val="238"/>
      </rPr>
      <t>(150.000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</si>
  <si>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(53.000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</si>
  <si>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(19.000 ezer Ft-hoz Kormányzati döntés alapján!)</t>
    </r>
  </si>
  <si>
    <t>Széchenyi utcával kapcsolatos munkák tartaléka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</si>
  <si>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"Zala két keréken" TOP 3.1.1-15-ZA1-2016-00005 projekt foly. Előleg</t>
    </r>
  </si>
  <si>
    <t>"Zala két keréken" TOP 3.1.1-15-ZA1-2016-00005 projekt foly. Előleg</t>
  </si>
  <si>
    <t>"Aktív bevonással megvalósuló Zöldváros tervezése" projekt pályázati önerő</t>
  </si>
  <si>
    <t xml:space="preserve">9. melléklet a …./2018. (… …) rendelethez, 1/9. melléklet a 2/2018. (I. 25.) önkormányzati rendelethez </t>
  </si>
  <si>
    <r>
      <rPr>
        <sz val="10"/>
        <color indexed="8"/>
        <rFont val="Times New Roman"/>
        <family val="1"/>
        <charset val="238"/>
      </rPr>
      <t>Hitel felvétel</t>
    </r>
    <r>
      <rPr>
        <b/>
        <sz val="10"/>
        <color rgb="FF0070C0"/>
        <rFont val="Times New Roman"/>
        <family val="1"/>
        <charset val="238"/>
      </rPr>
      <t xml:space="preserve"> (110.160 ezer Ft-hoz Kormányzati döntés alapján!)</t>
    </r>
    <r>
      <rPr>
        <sz val="10"/>
        <color indexed="8"/>
        <rFont val="Times New Roman"/>
        <family val="1"/>
        <charset val="238"/>
      </rPr>
      <t xml:space="preserve"> buszpályaudvar korábbi telekvásárlásra vonatkozó összege </t>
    </r>
  </si>
  <si>
    <t xml:space="preserve">13. melléklet a …./2018. (… …) rendelethez, 2/3. melléklet a 2/2018. (I. 25.) önkormányzati rendelethez </t>
  </si>
  <si>
    <t>503305 Temetési támogatás</t>
  </si>
  <si>
    <t>503310 Áplolási támogatás</t>
  </si>
  <si>
    <t>503307 Iskolakezdési támogatás</t>
  </si>
  <si>
    <t>503308 Születési támogatás</t>
  </si>
  <si>
    <t xml:space="preserve">503303 Méltányossági támogatás </t>
  </si>
  <si>
    <t>503301Rendkívüli támogatás</t>
  </si>
  <si>
    <t>503309 Köztemetés</t>
  </si>
  <si>
    <t>502218 Zrinyi u. külterületen közmű és zöldfelület felúj.</t>
  </si>
  <si>
    <t>503107 Jelzőrendszeres házi segítségnyújtás</t>
  </si>
  <si>
    <t xml:space="preserve">502221 Festetics sétány </t>
  </si>
  <si>
    <t xml:space="preserve">12. melléklet a …./2018. (… …) rendelethez, 2/2. melléklet a 2/2018. (I. 25.) önkormányzati rendelethez </t>
  </si>
  <si>
    <t xml:space="preserve">10. melléklet a …./2018. (… …) rendelethez, 2/1. melléklet a 2/2018. (I. 25.) önkormányzati rendelethez </t>
  </si>
  <si>
    <t xml:space="preserve">11. melléklet a …./2018. (… …) rendelethez, 2/1/1. melléklet a 2/2018. (I. 25.) önkormányzati rendelethez </t>
  </si>
  <si>
    <t xml:space="preserve">14.  melléklet a …./2018. (… …) rendelethez, 3/1. melléklet a 2/2018. (I. 25.) önkormányzati rendelethez </t>
  </si>
  <si>
    <t xml:space="preserve">15. melléklet a …./2018. (… …) rendelethez, 3/3. melléklet a 2/2018. (I. 25.) önkormányzati rendelethez </t>
  </si>
  <si>
    <t xml:space="preserve">16. melléklet a …./2018. (… …) rendelethez, 3/4. melléklet a 2/2018. (I. 25.) önkormányzati rendelethez </t>
  </si>
  <si>
    <t xml:space="preserve">Zrínyi utca  99-179. házszám közötti szakasz út, közmű és zöldfelületi felújítás (terv készítés) </t>
  </si>
  <si>
    <t xml:space="preserve">3. melléklet a …./2018. (… …) rendelethez, 1/2. melléklet a 2/2018. (I. 25.)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</si>
</sst>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  <numFmt numFmtId="171" formatCode="#,##0.0;[Red]#,##0.0"/>
  </numFmts>
  <fonts count="15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7"/>
      <color rgb="FF00B050"/>
      <name val="Times New Roman"/>
      <family val="1"/>
      <charset val="238"/>
    </font>
    <font>
      <sz val="8"/>
      <color rgb="FF00B05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rgb="FF00B050"/>
      <name val="Arial CE"/>
      <family val="2"/>
      <charset val="238"/>
    </font>
    <font>
      <sz val="10"/>
      <color rgb="FF00B050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i/>
      <sz val="7"/>
      <color rgb="FF00B05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rgb="FF0070C0"/>
      <name val="Times New Roman"/>
      <family val="1"/>
      <charset val="238"/>
    </font>
    <font>
      <b/>
      <sz val="8"/>
      <color indexed="8"/>
      <name val="Bernard MT Condensed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7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7" fillId="0" borderId="0"/>
    <xf numFmtId="0" fontId="1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2" fillId="0" borderId="0"/>
    <xf numFmtId="0" fontId="20" fillId="0" borderId="0"/>
    <xf numFmtId="0" fontId="95" fillId="0" borderId="0"/>
    <xf numFmtId="0" fontId="19" fillId="0" borderId="0"/>
    <xf numFmtId="0" fontId="18" fillId="0" borderId="0"/>
    <xf numFmtId="0" fontId="67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394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Alignment="1">
      <alignment horizontal="right"/>
    </xf>
    <xf numFmtId="0" fontId="46" fillId="0" borderId="0" xfId="0" applyFont="1"/>
    <xf numFmtId="0" fontId="4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 applyAlignment="1">
      <alignment wrapText="1"/>
    </xf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3" fillId="0" borderId="0" xfId="0" applyFont="1"/>
    <xf numFmtId="3" fontId="20" fillId="0" borderId="0" xfId="0" applyNumberFormat="1" applyFont="1"/>
    <xf numFmtId="3" fontId="53" fillId="0" borderId="0" xfId="0" applyNumberFormat="1" applyFont="1"/>
    <xf numFmtId="3" fontId="53" fillId="0" borderId="0" xfId="0" applyNumberFormat="1" applyFont="1" applyBorder="1"/>
    <xf numFmtId="0" fontId="53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8" fillId="24" borderId="12" xfId="0" applyFont="1" applyFill="1" applyBorder="1" applyAlignment="1">
      <alignment horizontal="left" vertical="center" wrapText="1"/>
    </xf>
    <xf numFmtId="49" fontId="48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wrapText="1"/>
    </xf>
    <xf numFmtId="0" fontId="48" fillId="0" borderId="12" xfId="0" applyFont="1" applyBorder="1"/>
    <xf numFmtId="0" fontId="48" fillId="0" borderId="12" xfId="0" applyFont="1" applyBorder="1" applyAlignment="1">
      <alignment horizontal="right"/>
    </xf>
    <xf numFmtId="4" fontId="48" fillId="0" borderId="12" xfId="0" applyNumberFormat="1" applyFont="1" applyBorder="1" applyAlignment="1">
      <alignment horizontal="right"/>
    </xf>
    <xf numFmtId="167" fontId="48" fillId="0" borderId="12" xfId="0" applyNumberFormat="1" applyFont="1" applyBorder="1" applyAlignment="1">
      <alignment horizontal="right"/>
    </xf>
    <xf numFmtId="0" fontId="50" fillId="0" borderId="0" xfId="0" applyFont="1" applyBorder="1" applyAlignment="1">
      <alignment wrapText="1"/>
    </xf>
    <xf numFmtId="0" fontId="50" fillId="0" borderId="0" xfId="0" applyFont="1" applyBorder="1"/>
    <xf numFmtId="0" fontId="50" fillId="0" borderId="0" xfId="0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8" fillId="0" borderId="0" xfId="0" applyFont="1" applyBorder="1" applyAlignment="1"/>
    <xf numFmtId="0" fontId="48" fillId="0" borderId="14" xfId="0" applyFont="1" applyBorder="1" applyAlignment="1">
      <alignment wrapText="1"/>
    </xf>
    <xf numFmtId="0" fontId="48" fillId="0" borderId="14" xfId="0" applyFont="1" applyBorder="1"/>
    <xf numFmtId="0" fontId="48" fillId="0" borderId="14" xfId="0" applyFont="1" applyBorder="1" applyAlignment="1">
      <alignment horizontal="right"/>
    </xf>
    <xf numFmtId="0" fontId="54" fillId="0" borderId="14" xfId="0" applyFont="1" applyBorder="1" applyAlignment="1">
      <alignment horizontal="right"/>
    </xf>
    <xf numFmtId="0" fontId="48" fillId="0" borderId="14" xfId="0" applyFont="1" applyBorder="1" applyAlignment="1"/>
    <xf numFmtId="0" fontId="54" fillId="0" borderId="12" xfId="0" applyFont="1" applyBorder="1" applyAlignment="1">
      <alignment wrapText="1"/>
    </xf>
    <xf numFmtId="0" fontId="54" fillId="0" borderId="12" xfId="0" applyFont="1" applyBorder="1"/>
    <xf numFmtId="0" fontId="54" fillId="0" borderId="12" xfId="0" applyFont="1" applyBorder="1" applyAlignment="1">
      <alignment horizontal="right"/>
    </xf>
    <xf numFmtId="0" fontId="50" fillId="0" borderId="12" xfId="0" applyFont="1" applyBorder="1" applyAlignment="1">
      <alignment horizontal="right"/>
    </xf>
    <xf numFmtId="0" fontId="50" fillId="0" borderId="15" xfId="0" applyFont="1" applyBorder="1" applyAlignment="1">
      <alignment wrapText="1"/>
    </xf>
    <xf numFmtId="0" fontId="50" fillId="0" borderId="15" xfId="0" applyFont="1" applyBorder="1"/>
    <xf numFmtId="0" fontId="50" fillId="0" borderId="15" xfId="0" applyFont="1" applyBorder="1" applyAlignment="1">
      <alignment horizontal="right"/>
    </xf>
    <xf numFmtId="0" fontId="48" fillId="0" borderId="15" xfId="0" applyFont="1" applyBorder="1" applyAlignment="1">
      <alignment horizontal="right"/>
    </xf>
    <xf numFmtId="0" fontId="48" fillId="0" borderId="10" xfId="0" applyFont="1" applyBorder="1" applyAlignment="1">
      <alignment horizontal="right"/>
    </xf>
    <xf numFmtId="0" fontId="48" fillId="0" borderId="0" xfId="0" applyFont="1" applyBorder="1"/>
    <xf numFmtId="0" fontId="54" fillId="0" borderId="0" xfId="0" applyFont="1" applyBorder="1" applyAlignment="1">
      <alignment horizontal="right"/>
    </xf>
    <xf numFmtId="0" fontId="55" fillId="0" borderId="14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wrapText="1"/>
    </xf>
    <xf numFmtId="49" fontId="48" fillId="0" borderId="12" xfId="0" applyNumberFormat="1" applyFont="1" applyBorder="1" applyAlignment="1">
      <alignment horizontal="right"/>
    </xf>
    <xf numFmtId="0" fontId="48" fillId="0" borderId="0" xfId="0" applyFont="1" applyBorder="1" applyAlignment="1">
      <alignment wrapText="1"/>
    </xf>
    <xf numFmtId="0" fontId="58" fillId="0" borderId="0" xfId="0" applyFont="1"/>
    <xf numFmtId="0" fontId="58" fillId="0" borderId="0" xfId="0" applyFont="1" applyBorder="1"/>
    <xf numFmtId="0" fontId="59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0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1" fillId="0" borderId="0" xfId="78" applyFont="1"/>
    <xf numFmtId="0" fontId="30" fillId="0" borderId="0" xfId="78" applyFont="1"/>
    <xf numFmtId="3" fontId="28" fillId="0" borderId="18" xfId="78" applyNumberFormat="1" applyFont="1" applyBorder="1"/>
    <xf numFmtId="3" fontId="37" fillId="0" borderId="0" xfId="78" applyNumberFormat="1" applyFont="1"/>
    <xf numFmtId="3" fontId="60" fillId="0" borderId="0" xfId="78" applyNumberFormat="1" applyFont="1"/>
    <xf numFmtId="0" fontId="57" fillId="0" borderId="0" xfId="0" applyFont="1"/>
    <xf numFmtId="0" fontId="65" fillId="0" borderId="0" xfId="0" applyFont="1"/>
    <xf numFmtId="3" fontId="57" fillId="0" borderId="0" xfId="0" applyNumberFormat="1" applyFont="1"/>
    <xf numFmtId="3" fontId="57" fillId="0" borderId="0" xfId="0" applyNumberFormat="1" applyFont="1" applyBorder="1"/>
    <xf numFmtId="3" fontId="57" fillId="0" borderId="19" xfId="0" applyNumberFormat="1" applyFont="1" applyBorder="1"/>
    <xf numFmtId="0" fontId="64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6" fillId="0" borderId="0" xfId="0" applyFont="1"/>
    <xf numFmtId="3" fontId="34" fillId="0" borderId="0" xfId="0" applyNumberFormat="1" applyFont="1" applyBorder="1"/>
    <xf numFmtId="3" fontId="64" fillId="0" borderId="0" xfId="0" applyNumberFormat="1" applyFont="1" applyBorder="1"/>
    <xf numFmtId="0" fontId="57" fillId="0" borderId="0" xfId="0" applyFont="1" applyBorder="1" applyAlignment="1">
      <alignment wrapText="1"/>
    </xf>
    <xf numFmtId="3" fontId="35" fillId="0" borderId="0" xfId="78" applyNumberFormat="1" applyFont="1" applyBorder="1"/>
    <xf numFmtId="3" fontId="68" fillId="0" borderId="0" xfId="0" applyNumberFormat="1" applyFont="1" applyBorder="1"/>
    <xf numFmtId="49" fontId="28" fillId="0" borderId="0" xfId="78" applyNumberFormat="1" applyFont="1" applyBorder="1" applyAlignment="1">
      <alignment horizontal="center" vertical="center" wrapText="1"/>
    </xf>
    <xf numFmtId="0" fontId="50" fillId="0" borderId="20" xfId="0" applyFont="1" applyBorder="1" applyAlignment="1">
      <alignment wrapText="1"/>
    </xf>
    <xf numFmtId="0" fontId="50" fillId="0" borderId="20" xfId="0" applyFont="1" applyBorder="1"/>
    <xf numFmtId="0" fontId="50" fillId="0" borderId="20" xfId="0" applyFont="1" applyBorder="1" applyAlignment="1">
      <alignment horizontal="right"/>
    </xf>
    <xf numFmtId="0" fontId="48" fillId="0" borderId="20" xfId="0" applyFont="1" applyBorder="1" applyAlignment="1">
      <alignment horizontal="right"/>
    </xf>
    <xf numFmtId="3" fontId="69" fillId="0" borderId="12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wrapText="1"/>
    </xf>
    <xf numFmtId="3" fontId="57" fillId="0" borderId="0" xfId="0" applyNumberFormat="1" applyFont="1" applyBorder="1" applyAlignment="1">
      <alignment wrapText="1"/>
    </xf>
    <xf numFmtId="3" fontId="64" fillId="0" borderId="21" xfId="0" applyNumberFormat="1" applyFont="1" applyBorder="1"/>
    <xf numFmtId="3" fontId="57" fillId="0" borderId="22" xfId="0" applyNumberFormat="1" applyFont="1" applyBorder="1"/>
    <xf numFmtId="3" fontId="64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6" fillId="0" borderId="0" xfId="0" applyNumberFormat="1" applyFont="1"/>
    <xf numFmtId="0" fontId="56" fillId="0" borderId="0" xfId="0" applyFont="1" applyAlignment="1">
      <alignment wrapText="1"/>
    </xf>
    <xf numFmtId="3" fontId="31" fillId="0" borderId="0" xfId="0" applyNumberFormat="1" applyFont="1"/>
    <xf numFmtId="0" fontId="71" fillId="0" borderId="0" xfId="0" applyFont="1"/>
    <xf numFmtId="0" fontId="31" fillId="0" borderId="0" xfId="0" applyFont="1"/>
    <xf numFmtId="0" fontId="56" fillId="0" borderId="0" xfId="0" applyFont="1" applyAlignment="1">
      <alignment horizontal="center"/>
    </xf>
    <xf numFmtId="0" fontId="56" fillId="0" borderId="0" xfId="0" applyFont="1"/>
    <xf numFmtId="3" fontId="61" fillId="0" borderId="0" xfId="78" applyNumberFormat="1" applyFont="1"/>
    <xf numFmtId="3" fontId="25" fillId="0" borderId="27" xfId="78" applyNumberFormat="1" applyFont="1" applyBorder="1"/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/>
    <xf numFmtId="3" fontId="34" fillId="0" borderId="0" xfId="0" applyNumberFormat="1" applyFont="1" applyAlignment="1">
      <alignment horizontal="right"/>
    </xf>
    <xf numFmtId="0" fontId="28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69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4" fillId="0" borderId="15" xfId="0" applyFont="1" applyBorder="1"/>
    <xf numFmtId="3" fontId="25" fillId="0" borderId="15" xfId="0" applyNumberFormat="1" applyFont="1" applyBorder="1"/>
    <xf numFmtId="0" fontId="57" fillId="0" borderId="0" xfId="0" applyFont="1" applyBorder="1"/>
    <xf numFmtId="3" fontId="57" fillId="0" borderId="0" xfId="74" applyNumberFormat="1" applyFont="1" applyBorder="1"/>
    <xf numFmtId="3" fontId="28" fillId="0" borderId="0" xfId="0" applyNumberFormat="1" applyFont="1" applyBorder="1"/>
    <xf numFmtId="0" fontId="63" fillId="0" borderId="0" xfId="0" applyFont="1" applyBorder="1"/>
    <xf numFmtId="3" fontId="28" fillId="0" borderId="22" xfId="0" applyNumberFormat="1" applyFont="1" applyBorder="1"/>
    <xf numFmtId="3" fontId="34" fillId="0" borderId="22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8" fillId="0" borderId="0" xfId="0" applyFont="1" applyBorder="1"/>
    <xf numFmtId="3" fontId="68" fillId="0" borderId="22" xfId="0" applyNumberFormat="1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8" fillId="0" borderId="0" xfId="0" applyFont="1" applyBorder="1"/>
    <xf numFmtId="3" fontId="57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8" fillId="0" borderId="22" xfId="0" applyFont="1" applyBorder="1"/>
    <xf numFmtId="3" fontId="64" fillId="0" borderId="0" xfId="0" applyNumberFormat="1" applyFont="1" applyBorder="1" applyAlignment="1">
      <alignment wrapText="1"/>
    </xf>
    <xf numFmtId="0" fontId="25" fillId="0" borderId="13" xfId="0" applyFont="1" applyBorder="1"/>
    <xf numFmtId="3" fontId="25" fillId="0" borderId="31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2" xfId="0" applyFont="1" applyBorder="1"/>
    <xf numFmtId="0" fontId="56" fillId="0" borderId="0" xfId="71" applyFont="1" applyAlignment="1">
      <alignment vertical="center"/>
    </xf>
    <xf numFmtId="3" fontId="75" fillId="0" borderId="33" xfId="71" applyNumberFormat="1" applyFont="1" applyFill="1" applyBorder="1" applyAlignment="1">
      <alignment horizontal="center" vertical="center" wrapText="1"/>
    </xf>
    <xf numFmtId="0" fontId="56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6" fillId="0" borderId="0" xfId="71" applyNumberFormat="1" applyFont="1" applyAlignment="1">
      <alignment vertical="center"/>
    </xf>
    <xf numFmtId="0" fontId="76" fillId="0" borderId="0" xfId="0" applyFont="1"/>
    <xf numFmtId="0" fontId="28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/>
    </xf>
    <xf numFmtId="0" fontId="79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80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80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7" fillId="0" borderId="0" xfId="0" applyFont="1" applyAlignment="1">
      <alignment horizontal="right"/>
    </xf>
    <xf numFmtId="0" fontId="64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3" fontId="64" fillId="0" borderId="0" xfId="0" applyNumberFormat="1" applyFont="1" applyAlignment="1">
      <alignment horizontal="center"/>
    </xf>
    <xf numFmtId="3" fontId="64" fillId="0" borderId="35" xfId="0" applyNumberFormat="1" applyFont="1" applyBorder="1" applyAlignment="1">
      <alignment horizontal="center" vertical="center"/>
    </xf>
    <xf numFmtId="3" fontId="64" fillId="0" borderId="36" xfId="0" applyNumberFormat="1" applyFont="1" applyBorder="1" applyAlignment="1">
      <alignment horizontal="center" vertical="center" wrapText="1"/>
    </xf>
    <xf numFmtId="3" fontId="64" fillId="0" borderId="37" xfId="0" applyNumberFormat="1" applyFont="1" applyBorder="1" applyAlignment="1">
      <alignment horizontal="center" vertical="center" wrapText="1"/>
    </xf>
    <xf numFmtId="0" fontId="57" fillId="0" borderId="23" xfId="0" applyFont="1" applyBorder="1" applyAlignment="1">
      <alignment horizontal="right"/>
    </xf>
    <xf numFmtId="0" fontId="57" fillId="0" borderId="0" xfId="0" applyFont="1" applyFill="1" applyBorder="1"/>
    <xf numFmtId="3" fontId="57" fillId="0" borderId="38" xfId="0" applyNumberFormat="1" applyFont="1" applyFill="1" applyBorder="1"/>
    <xf numFmtId="3" fontId="57" fillId="0" borderId="19" xfId="0" applyNumberFormat="1" applyFont="1" applyFill="1" applyBorder="1"/>
    <xf numFmtId="3" fontId="57" fillId="0" borderId="0" xfId="0" applyNumberFormat="1" applyFont="1" applyFill="1" applyBorder="1"/>
    <xf numFmtId="3" fontId="64" fillId="0" borderId="23" xfId="0" applyNumberFormat="1" applyFont="1" applyBorder="1"/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64" fillId="0" borderId="0" xfId="0" applyNumberFormat="1" applyFont="1"/>
    <xf numFmtId="3" fontId="57" fillId="0" borderId="22" xfId="0" applyNumberFormat="1" applyFont="1" applyFill="1" applyBorder="1"/>
    <xf numFmtId="0" fontId="57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 wrapText="1"/>
    </xf>
    <xf numFmtId="0" fontId="81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9" fontId="22" fillId="0" borderId="0" xfId="0" applyNumberFormat="1" applyFont="1" applyBorder="1"/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7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3" fillId="0" borderId="26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6" xfId="0" applyNumberFormat="1" applyFont="1" applyBorder="1"/>
    <xf numFmtId="3" fontId="44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2" fillId="0" borderId="0" xfId="0" applyFont="1"/>
    <xf numFmtId="165" fontId="48" fillId="0" borderId="12" xfId="0" applyNumberFormat="1" applyFont="1" applyBorder="1" applyAlignment="1">
      <alignment horizontal="right"/>
    </xf>
    <xf numFmtId="0" fontId="48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8" fillId="0" borderId="0" xfId="0" applyNumberFormat="1" applyFont="1" applyBorder="1" applyAlignment="1">
      <alignment horizontal="right"/>
    </xf>
    <xf numFmtId="0" fontId="54" fillId="0" borderId="24" xfId="0" applyFont="1" applyBorder="1" applyAlignment="1">
      <alignment wrapText="1"/>
    </xf>
    <xf numFmtId="0" fontId="48" fillId="0" borderId="24" xfId="0" applyFont="1" applyBorder="1"/>
    <xf numFmtId="0" fontId="50" fillId="0" borderId="24" xfId="0" applyFont="1" applyBorder="1" applyAlignment="1">
      <alignment horizontal="right"/>
    </xf>
    <xf numFmtId="0" fontId="54" fillId="0" borderId="24" xfId="0" applyFont="1" applyBorder="1" applyAlignment="1">
      <alignment horizontal="right"/>
    </xf>
    <xf numFmtId="0" fontId="48" fillId="0" borderId="24" xfId="0" applyFont="1" applyBorder="1" applyAlignment="1">
      <alignment horizontal="right"/>
    </xf>
    <xf numFmtId="0" fontId="48" fillId="0" borderId="0" xfId="0" applyFont="1" applyBorder="1" applyAlignment="1">
      <alignment shrinkToFit="1"/>
    </xf>
    <xf numFmtId="0" fontId="54" fillId="0" borderId="24" xfId="0" applyFont="1" applyBorder="1"/>
    <xf numFmtId="0" fontId="55" fillId="0" borderId="24" xfId="0" applyFont="1" applyBorder="1" applyAlignment="1">
      <alignment horizontal="right"/>
    </xf>
    <xf numFmtId="3" fontId="28" fillId="0" borderId="0" xfId="78" applyNumberFormat="1" applyFont="1" applyBorder="1" applyAlignment="1">
      <alignment horizontal="center" vertical="center" wrapText="1"/>
    </xf>
    <xf numFmtId="3" fontId="58" fillId="0" borderId="0" xfId="0" applyNumberFormat="1" applyFont="1" applyBorder="1"/>
    <xf numFmtId="3" fontId="75" fillId="0" borderId="46" xfId="71" applyNumberFormat="1" applyFont="1" applyFill="1" applyBorder="1" applyAlignment="1">
      <alignment horizontal="center" vertical="center" wrapText="1"/>
    </xf>
    <xf numFmtId="3" fontId="75" fillId="0" borderId="47" xfId="71" applyNumberFormat="1" applyFont="1" applyFill="1" applyBorder="1" applyAlignment="1">
      <alignment horizontal="center" vertical="center" wrapText="1"/>
    </xf>
    <xf numFmtId="3" fontId="31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right"/>
    </xf>
    <xf numFmtId="0" fontId="31" fillId="0" borderId="0" xfId="0" applyFont="1" applyAlignment="1"/>
    <xf numFmtId="3" fontId="65" fillId="0" borderId="0" xfId="0" applyNumberFormat="1" applyFont="1"/>
    <xf numFmtId="3" fontId="58" fillId="0" borderId="0" xfId="0" applyNumberFormat="1" applyFont="1"/>
    <xf numFmtId="3" fontId="59" fillId="0" borderId="0" xfId="0" applyNumberFormat="1" applyFont="1"/>
    <xf numFmtId="3" fontId="73" fillId="0" borderId="0" xfId="0" applyNumberFormat="1" applyFont="1"/>
    <xf numFmtId="3" fontId="24" fillId="0" borderId="0" xfId="0" applyNumberFormat="1" applyFont="1"/>
    <xf numFmtId="3" fontId="78" fillId="0" borderId="0" xfId="0" applyNumberFormat="1" applyFont="1" applyAlignment="1"/>
    <xf numFmtId="0" fontId="44" fillId="0" borderId="27" xfId="0" applyFont="1" applyBorder="1" applyAlignment="1">
      <alignment wrapText="1"/>
    </xf>
    <xf numFmtId="0" fontId="22" fillId="0" borderId="48" xfId="0" applyFont="1" applyBorder="1"/>
    <xf numFmtId="0" fontId="25" fillId="0" borderId="49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57" fillId="0" borderId="35" xfId="0" applyNumberFormat="1" applyFont="1" applyBorder="1" applyAlignment="1">
      <alignment horizontal="center" vertical="center"/>
    </xf>
    <xf numFmtId="3" fontId="59" fillId="0" borderId="34" xfId="0" applyNumberFormat="1" applyFont="1" applyBorder="1"/>
    <xf numFmtId="0" fontId="83" fillId="0" borderId="0" xfId="0" applyFont="1"/>
    <xf numFmtId="3" fontId="64" fillId="0" borderId="51" xfId="0" applyNumberFormat="1" applyFont="1" applyBorder="1" applyAlignment="1">
      <alignment horizontal="center" vertical="center" wrapText="1"/>
    </xf>
    <xf numFmtId="3" fontId="64" fillId="0" borderId="52" xfId="0" applyNumberFormat="1" applyFont="1" applyBorder="1" applyAlignment="1">
      <alignment horizontal="center" vertical="center"/>
    </xf>
    <xf numFmtId="3" fontId="64" fillId="0" borderId="53" xfId="0" applyNumberFormat="1" applyFont="1" applyBorder="1" applyAlignment="1">
      <alignment horizontal="center" vertical="center" wrapText="1"/>
    </xf>
    <xf numFmtId="3" fontId="64" fillId="0" borderId="54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horizontal="right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57" fillId="0" borderId="56" xfId="0" applyNumberFormat="1" applyFont="1" applyBorder="1" applyAlignment="1">
      <alignment horizontal="right" vertical="center" wrapText="1"/>
    </xf>
    <xf numFmtId="3" fontId="64" fillId="0" borderId="57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/>
    </xf>
    <xf numFmtId="3" fontId="58" fillId="0" borderId="58" xfId="0" applyNumberFormat="1" applyFont="1" applyBorder="1" applyAlignment="1">
      <alignment horizontal="right"/>
    </xf>
    <xf numFmtId="3" fontId="59" fillId="0" borderId="59" xfId="0" applyNumberFormat="1" applyFont="1" applyBorder="1"/>
    <xf numFmtId="3" fontId="25" fillId="0" borderId="0" xfId="78" applyNumberFormat="1" applyFont="1" applyBorder="1" applyAlignment="1">
      <alignment horizontal="center" vertical="center" wrapText="1"/>
    </xf>
    <xf numFmtId="3" fontId="25" fillId="0" borderId="13" xfId="78" applyNumberFormat="1" applyFont="1" applyBorder="1" applyAlignment="1">
      <alignment horizontal="center" vertical="center" wrapText="1"/>
    </xf>
    <xf numFmtId="49" fontId="25" fillId="0" borderId="0" xfId="78" applyNumberFormat="1" applyFont="1" applyBorder="1" applyAlignment="1">
      <alignment horizontal="center" vertical="center" wrapText="1"/>
    </xf>
    <xf numFmtId="49" fontId="25" fillId="0" borderId="13" xfId="78" applyNumberFormat="1" applyFont="1" applyBorder="1" applyAlignment="1">
      <alignment horizontal="center" vertical="center" wrapText="1"/>
    </xf>
    <xf numFmtId="49" fontId="28" fillId="0" borderId="0" xfId="78" applyNumberFormat="1" applyFont="1" applyAlignment="1">
      <alignment horizontal="center" vertical="center" wrapText="1"/>
    </xf>
    <xf numFmtId="0" fontId="84" fillId="0" borderId="0" xfId="0" applyFont="1"/>
    <xf numFmtId="0" fontId="22" fillId="0" borderId="0" xfId="0" applyFont="1" applyBorder="1" applyAlignment="1">
      <alignment wrapText="1"/>
    </xf>
    <xf numFmtId="3" fontId="25" fillId="0" borderId="60" xfId="0" applyNumberFormat="1" applyFont="1" applyBorder="1"/>
    <xf numFmtId="3" fontId="25" fillId="0" borderId="61" xfId="0" applyNumberFormat="1" applyFont="1" applyBorder="1"/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3" fontId="64" fillId="0" borderId="41" xfId="0" applyNumberFormat="1" applyFont="1" applyBorder="1"/>
    <xf numFmtId="3" fontId="27" fillId="0" borderId="0" xfId="0" applyNumberFormat="1" applyFont="1" applyAlignment="1">
      <alignment horizontal="right"/>
    </xf>
    <xf numFmtId="0" fontId="25" fillId="0" borderId="41" xfId="0" applyFont="1" applyBorder="1"/>
    <xf numFmtId="10" fontId="23" fillId="0" borderId="0" xfId="0" applyNumberFormat="1" applyFont="1" applyBorder="1"/>
    <xf numFmtId="3" fontId="23" fillId="0" borderId="19" xfId="0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37" fillId="0" borderId="0" xfId="78" applyFont="1" applyAlignment="1">
      <alignment wrapText="1"/>
    </xf>
    <xf numFmtId="0" fontId="0" fillId="0" borderId="61" xfId="0" applyBorder="1" applyAlignment="1"/>
    <xf numFmtId="0" fontId="85" fillId="0" borderId="0" xfId="0" applyFont="1"/>
    <xf numFmtId="0" fontId="89" fillId="0" borderId="0" xfId="0" applyFont="1"/>
    <xf numFmtId="0" fontId="89" fillId="0" borderId="0" xfId="0" applyFont="1" applyAlignment="1">
      <alignment horizontal="right"/>
    </xf>
    <xf numFmtId="3" fontId="91" fillId="0" borderId="28" xfId="0" applyNumberFormat="1" applyFont="1" applyBorder="1" applyAlignment="1">
      <alignment horizontal="center" vertical="center" wrapText="1"/>
    </xf>
    <xf numFmtId="3" fontId="91" fillId="0" borderId="29" xfId="0" applyNumberFormat="1" applyFont="1" applyBorder="1" applyAlignment="1">
      <alignment horizontal="center" vertical="center" wrapText="1"/>
    </xf>
    <xf numFmtId="3" fontId="91" fillId="0" borderId="12" xfId="0" applyNumberFormat="1" applyFont="1" applyBorder="1" applyAlignment="1">
      <alignment horizontal="center" vertical="center" wrapText="1"/>
    </xf>
    <xf numFmtId="0" fontId="92" fillId="0" borderId="0" xfId="0" applyFont="1"/>
    <xf numFmtId="3" fontId="89" fillId="0" borderId="0" xfId="0" applyNumberFormat="1" applyFont="1" applyBorder="1"/>
    <xf numFmtId="0" fontId="89" fillId="0" borderId="0" xfId="0" applyFont="1" applyBorder="1"/>
    <xf numFmtId="0" fontId="90" fillId="0" borderId="0" xfId="0" applyFont="1"/>
    <xf numFmtId="3" fontId="90" fillId="0" borderId="0" xfId="0" applyNumberFormat="1" applyFont="1"/>
    <xf numFmtId="3" fontId="89" fillId="0" borderId="0" xfId="0" applyNumberFormat="1" applyFont="1"/>
    <xf numFmtId="3" fontId="64" fillId="0" borderId="64" xfId="0" applyNumberFormat="1" applyFont="1" applyFill="1" applyBorder="1"/>
    <xf numFmtId="3" fontId="64" fillId="0" borderId="65" xfId="0" applyNumberFormat="1" applyFont="1" applyBorder="1"/>
    <xf numFmtId="3" fontId="39" fillId="0" borderId="0" xfId="0" applyNumberFormat="1" applyFont="1" applyAlignment="1">
      <alignment horizontal="right"/>
    </xf>
    <xf numFmtId="3" fontId="93" fillId="0" borderId="12" xfId="0" applyNumberFormat="1" applyFont="1" applyBorder="1" applyAlignment="1">
      <alignment horizontal="center" vertical="center" wrapText="1"/>
    </xf>
    <xf numFmtId="3" fontId="58" fillId="0" borderId="0" xfId="74" applyNumberFormat="1" applyFont="1" applyBorder="1"/>
    <xf numFmtId="3" fontId="39" fillId="0" borderId="0" xfId="0" applyNumberFormat="1" applyFont="1" applyBorder="1"/>
    <xf numFmtId="3" fontId="66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30" fillId="0" borderId="66" xfId="0" applyNumberFormat="1" applyFont="1" applyBorder="1"/>
    <xf numFmtId="3" fontId="30" fillId="0" borderId="67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3" fillId="0" borderId="0" xfId="73" applyFont="1"/>
    <xf numFmtId="0" fontId="47" fillId="0" borderId="0" xfId="73" applyFont="1"/>
    <xf numFmtId="0" fontId="51" fillId="0" borderId="0" xfId="73" applyFont="1"/>
    <xf numFmtId="0" fontId="23" fillId="0" borderId="0" xfId="77" applyFont="1"/>
    <xf numFmtId="0" fontId="20" fillId="0" borderId="0" xfId="77" applyFont="1"/>
    <xf numFmtId="0" fontId="53" fillId="0" borderId="0" xfId="77" applyFont="1"/>
    <xf numFmtId="0" fontId="20" fillId="0" borderId="0" xfId="77" applyFont="1" applyAlignment="1">
      <alignment horizontal="center"/>
    </xf>
    <xf numFmtId="0" fontId="42" fillId="0" borderId="0" xfId="77" applyFont="1"/>
    <xf numFmtId="0" fontId="83" fillId="0" borderId="0" xfId="77" applyFont="1"/>
    <xf numFmtId="0" fontId="42" fillId="0" borderId="0" xfId="73" applyFont="1"/>
    <xf numFmtId="3" fontId="42" fillId="0" borderId="0" xfId="73" applyNumberFormat="1" applyFont="1"/>
    <xf numFmtId="3" fontId="96" fillId="0" borderId="0" xfId="0" applyNumberFormat="1" applyFont="1"/>
    <xf numFmtId="0" fontId="97" fillId="0" borderId="0" xfId="77" applyFont="1"/>
    <xf numFmtId="3" fontId="20" fillId="0" borderId="0" xfId="77" applyNumberFormat="1" applyFont="1"/>
    <xf numFmtId="0" fontId="20" fillId="0" borderId="0" xfId="77" applyFont="1" applyAlignment="1">
      <alignment horizontal="right"/>
    </xf>
    <xf numFmtId="0" fontId="52" fillId="0" borderId="0" xfId="77" applyFont="1"/>
    <xf numFmtId="3" fontId="52" fillId="0" borderId="0" xfId="77" applyNumberFormat="1" applyFont="1"/>
    <xf numFmtId="3" fontId="52" fillId="0" borderId="0" xfId="77" applyNumberFormat="1" applyFont="1" applyAlignment="1">
      <alignment horizontal="right"/>
    </xf>
    <xf numFmtId="0" fontId="52" fillId="0" borderId="0" xfId="77" applyFont="1" applyAlignment="1">
      <alignment horizontal="right"/>
    </xf>
    <xf numFmtId="9" fontId="52" fillId="0" borderId="0" xfId="77" applyNumberFormat="1" applyFont="1" applyAlignment="1">
      <alignment horizontal="right"/>
    </xf>
    <xf numFmtId="3" fontId="53" fillId="0" borderId="0" xfId="77" applyNumberFormat="1" applyFont="1"/>
    <xf numFmtId="0" fontId="53" fillId="0" borderId="0" xfId="77" applyFont="1" applyAlignment="1">
      <alignment horizontal="right"/>
    </xf>
    <xf numFmtId="3" fontId="83" fillId="0" borderId="0" xfId="0" applyNumberFormat="1" applyFont="1"/>
    <xf numFmtId="0" fontId="100" fillId="0" borderId="0" xfId="72" applyFont="1" applyAlignment="1"/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2" fillId="0" borderId="0" xfId="72" applyFont="1" applyBorder="1" applyAlignment="1"/>
    <xf numFmtId="0" fontId="52" fillId="0" borderId="0" xfId="72" applyFont="1" applyBorder="1" applyAlignment="1" applyProtection="1">
      <alignment wrapText="1"/>
      <protection locked="0"/>
    </xf>
    <xf numFmtId="3" fontId="98" fillId="0" borderId="0" xfId="72" applyNumberFormat="1" applyFont="1" applyAlignment="1"/>
    <xf numFmtId="0" fontId="98" fillId="0" borderId="0" xfId="72" applyFont="1" applyBorder="1" applyAlignment="1">
      <alignment horizontal="center"/>
    </xf>
    <xf numFmtId="0" fontId="98" fillId="0" borderId="0" xfId="72" applyFont="1" applyAlignment="1">
      <alignment horizontal="left"/>
    </xf>
    <xf numFmtId="0" fontId="98" fillId="0" borderId="0" xfId="72" applyFont="1" applyAlignment="1"/>
    <xf numFmtId="14" fontId="98" fillId="0" borderId="0" xfId="72" applyNumberFormat="1" applyFont="1" applyAlignment="1">
      <alignment horizontal="right"/>
    </xf>
    <xf numFmtId="0" fontId="98" fillId="0" borderId="0" xfId="72" applyFont="1" applyBorder="1" applyAlignment="1">
      <alignment horizontal="left"/>
    </xf>
    <xf numFmtId="0" fontId="98" fillId="0" borderId="0" xfId="72" applyFont="1" applyBorder="1" applyAlignment="1">
      <alignment horizontal="left" wrapText="1"/>
    </xf>
    <xf numFmtId="14" fontId="98" fillId="0" borderId="0" xfId="72" applyNumberFormat="1" applyFont="1" applyBorder="1" applyAlignment="1">
      <alignment horizontal="right"/>
    </xf>
    <xf numFmtId="0" fontId="98" fillId="0" borderId="0" xfId="72" applyFont="1" applyBorder="1" applyAlignment="1">
      <alignment horizontal="right"/>
    </xf>
    <xf numFmtId="14" fontId="98" fillId="0" borderId="0" xfId="72" applyNumberFormat="1" applyFont="1" applyBorder="1" applyAlignment="1" applyProtection="1">
      <alignment horizontal="left"/>
      <protection locked="0"/>
    </xf>
    <xf numFmtId="0" fontId="98" fillId="0" borderId="0" xfId="72" applyFont="1" applyBorder="1" applyAlignment="1" applyProtection="1">
      <alignment horizontal="left" wrapText="1"/>
      <protection locked="0"/>
    </xf>
    <xf numFmtId="14" fontId="98" fillId="0" borderId="0" xfId="72" applyNumberFormat="1" applyFont="1" applyBorder="1" applyAlignment="1" applyProtection="1">
      <alignment horizontal="right"/>
      <protection locked="0"/>
    </xf>
    <xf numFmtId="1" fontId="98" fillId="0" borderId="0" xfId="72" applyNumberFormat="1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protection locked="0"/>
    </xf>
    <xf numFmtId="1" fontId="52" fillId="0" borderId="0" xfId="72" applyNumberFormat="1" applyFont="1" applyBorder="1" applyAlignment="1" applyProtection="1">
      <protection locked="0"/>
    </xf>
    <xf numFmtId="0" fontId="52" fillId="0" borderId="0" xfId="72" applyFont="1" applyBorder="1" applyAlignment="1" applyProtection="1">
      <alignment horizontal="right" wrapText="1"/>
      <protection locked="0"/>
    </xf>
    <xf numFmtId="3" fontId="98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8" fillId="0" borderId="0" xfId="72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8" fillId="0" borderId="0" xfId="72" applyFont="1"/>
    <xf numFmtId="0" fontId="98" fillId="0" borderId="0" xfId="72" applyFont="1" applyAlignment="1">
      <alignment horizontal="left" wrapText="1"/>
    </xf>
    <xf numFmtId="0" fontId="98" fillId="0" borderId="0" xfId="72" applyFont="1" applyAlignment="1">
      <alignment wrapText="1"/>
    </xf>
    <xf numFmtId="0" fontId="98" fillId="0" borderId="0" xfId="72" applyFont="1" applyAlignment="1">
      <alignment horizontal="right" wrapText="1"/>
    </xf>
    <xf numFmtId="3" fontId="98" fillId="0" borderId="0" xfId="72" applyNumberFormat="1" applyFont="1" applyAlignment="1">
      <alignment wrapText="1"/>
    </xf>
    <xf numFmtId="0" fontId="98" fillId="0" borderId="0" xfId="72" applyFont="1" applyBorder="1" applyAlignment="1">
      <alignment wrapText="1"/>
    </xf>
    <xf numFmtId="0" fontId="98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8" fillId="0" borderId="0" xfId="72" applyNumberFormat="1" applyFont="1"/>
    <xf numFmtId="0" fontId="53" fillId="0" borderId="0" xfId="72" applyFont="1" applyBorder="1" applyAlignment="1"/>
    <xf numFmtId="0" fontId="53" fillId="0" borderId="0" xfId="72" applyFont="1" applyAlignment="1"/>
    <xf numFmtId="49" fontId="100" fillId="0" borderId="24" xfId="72" applyNumberFormat="1" applyFont="1" applyBorder="1" applyAlignment="1">
      <alignment horizontal="center"/>
    </xf>
    <xf numFmtId="0" fontId="100" fillId="0" borderId="24" xfId="72" applyFont="1" applyBorder="1" applyAlignment="1"/>
    <xf numFmtId="49" fontId="53" fillId="0" borderId="0" xfId="72" applyNumberFormat="1" applyFont="1" applyBorder="1" applyAlignment="1">
      <alignment horizontal="center"/>
    </xf>
    <xf numFmtId="0" fontId="100" fillId="0" borderId="0" xfId="72" applyFont="1" applyAlignment="1">
      <alignment horizontal="left"/>
    </xf>
    <xf numFmtId="0" fontId="100" fillId="0" borderId="0" xfId="72" applyFont="1" applyBorder="1" applyAlignment="1">
      <alignment horizontal="center"/>
    </xf>
    <xf numFmtId="0" fontId="100" fillId="0" borderId="0" xfId="72" applyFont="1" applyBorder="1" applyAlignment="1">
      <alignment horizontal="right"/>
    </xf>
    <xf numFmtId="0" fontId="101" fillId="0" borderId="0" xfId="72" applyFont="1" applyBorder="1" applyAlignment="1">
      <alignment horizontal="left"/>
    </xf>
    <xf numFmtId="3" fontId="100" fillId="0" borderId="24" xfId="72" applyNumberFormat="1" applyFont="1" applyBorder="1" applyAlignment="1"/>
    <xf numFmtId="3" fontId="105" fillId="0" borderId="0" xfId="0" applyNumberFormat="1" applyFont="1"/>
    <xf numFmtId="3" fontId="57" fillId="0" borderId="68" xfId="74" applyNumberFormat="1" applyFont="1" applyBorder="1"/>
    <xf numFmtId="3" fontId="34" fillId="0" borderId="68" xfId="0" applyNumberFormat="1" applyFont="1" applyBorder="1"/>
    <xf numFmtId="3" fontId="28" fillId="0" borderId="68" xfId="0" applyNumberFormat="1" applyFont="1" applyBorder="1"/>
    <xf numFmtId="3" fontId="30" fillId="0" borderId="68" xfId="0" applyNumberFormat="1" applyFont="1" applyBorder="1"/>
    <xf numFmtId="3" fontId="38" fillId="0" borderId="68" xfId="0" applyNumberFormat="1" applyFont="1" applyBorder="1"/>
    <xf numFmtId="3" fontId="25" fillId="0" borderId="68" xfId="0" applyNumberFormat="1" applyFont="1" applyBorder="1"/>
    <xf numFmtId="0" fontId="25" fillId="0" borderId="68" xfId="0" applyFont="1" applyBorder="1"/>
    <xf numFmtId="3" fontId="28" fillId="0" borderId="70" xfId="0" applyNumberFormat="1" applyFont="1" applyBorder="1"/>
    <xf numFmtId="3" fontId="57" fillId="0" borderId="68" xfId="0" applyNumberFormat="1" applyFont="1" applyBorder="1"/>
    <xf numFmtId="3" fontId="25" fillId="0" borderId="69" xfId="0" applyNumberFormat="1" applyFont="1" applyBorder="1"/>
    <xf numFmtId="0" fontId="34" fillId="0" borderId="68" xfId="0" applyFont="1" applyBorder="1"/>
    <xf numFmtId="3" fontId="34" fillId="0" borderId="70" xfId="0" applyNumberFormat="1" applyFont="1" applyBorder="1"/>
    <xf numFmtId="0" fontId="25" fillId="0" borderId="27" xfId="0" applyFont="1" applyBorder="1" applyAlignment="1">
      <alignment wrapText="1"/>
    </xf>
    <xf numFmtId="3" fontId="25" fillId="0" borderId="72" xfId="0" applyNumberFormat="1" applyFont="1" applyBorder="1"/>
    <xf numFmtId="0" fontId="52" fillId="0" borderId="0" xfId="73" applyFont="1" applyAlignment="1">
      <alignment horizontal="right"/>
    </xf>
    <xf numFmtId="0" fontId="53" fillId="0" borderId="0" xfId="73" applyFont="1" applyAlignment="1">
      <alignment horizontal="center"/>
    </xf>
    <xf numFmtId="0" fontId="51" fillId="0" borderId="0" xfId="73" applyFont="1" applyAlignment="1">
      <alignment horizontal="center"/>
    </xf>
    <xf numFmtId="0" fontId="51" fillId="0" borderId="0" xfId="73" applyFont="1" applyAlignment="1">
      <alignment horizontal="right"/>
    </xf>
    <xf numFmtId="0" fontId="53" fillId="0" borderId="24" xfId="73" applyFont="1" applyBorder="1" applyAlignment="1">
      <alignment horizontal="center"/>
    </xf>
    <xf numFmtId="0" fontId="53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102" fillId="0" borderId="0" xfId="73" applyFont="1" applyAlignment="1">
      <alignment wrapText="1"/>
    </xf>
    <xf numFmtId="0" fontId="104" fillId="0" borderId="0" xfId="73" applyFont="1" applyAlignment="1">
      <alignment wrapText="1"/>
    </xf>
    <xf numFmtId="0" fontId="20" fillId="0" borderId="0" xfId="73" applyFont="1" applyAlignment="1">
      <alignment wrapText="1"/>
    </xf>
    <xf numFmtId="0" fontId="98" fillId="0" borderId="0" xfId="73" applyFont="1"/>
    <xf numFmtId="3" fontId="35" fillId="0" borderId="70" xfId="0" applyNumberFormat="1" applyFont="1" applyBorder="1"/>
    <xf numFmtId="3" fontId="58" fillId="0" borderId="68" xfId="74" applyNumberFormat="1" applyFont="1" applyBorder="1"/>
    <xf numFmtId="3" fontId="58" fillId="0" borderId="68" xfId="0" applyNumberFormat="1" applyFont="1" applyBorder="1"/>
    <xf numFmtId="3" fontId="35" fillId="0" borderId="68" xfId="0" applyNumberFormat="1" applyFont="1" applyBorder="1"/>
    <xf numFmtId="3" fontId="39" fillId="0" borderId="68" xfId="0" applyNumberFormat="1" applyFont="1" applyBorder="1"/>
    <xf numFmtId="3" fontId="66" fillId="0" borderId="68" xfId="0" applyNumberFormat="1" applyFont="1" applyBorder="1"/>
    <xf numFmtId="0" fontId="30" fillId="0" borderId="68" xfId="0" applyFont="1" applyBorder="1"/>
    <xf numFmtId="3" fontId="30" fillId="0" borderId="69" xfId="0" applyNumberFormat="1" applyFont="1" applyBorder="1"/>
    <xf numFmtId="0" fontId="22" fillId="0" borderId="70" xfId="0" applyFont="1" applyBorder="1"/>
    <xf numFmtId="3" fontId="23" fillId="0" borderId="68" xfId="0" applyNumberFormat="1" applyFont="1" applyBorder="1"/>
    <xf numFmtId="165" fontId="48" fillId="0" borderId="10" xfId="0" applyNumberFormat="1" applyFont="1" applyBorder="1" applyAlignment="1">
      <alignment horizontal="right"/>
    </xf>
    <xf numFmtId="0" fontId="48" fillId="0" borderId="12" xfId="0" applyNumberFormat="1" applyFont="1" applyBorder="1" applyAlignment="1">
      <alignment horizontal="right"/>
    </xf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8" fillId="0" borderId="41" xfId="78" applyNumberFormat="1" applyFont="1" applyBorder="1" applyAlignment="1">
      <alignment horizontal="left" vertical="center" wrapText="1"/>
    </xf>
    <xf numFmtId="49" fontId="28" fillId="0" borderId="27" xfId="78" applyNumberFormat="1" applyFont="1" applyBorder="1" applyAlignment="1">
      <alignment horizontal="center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4" xfId="78" applyNumberFormat="1" applyFont="1" applyBorder="1" applyAlignment="1">
      <alignment horizontal="left" vertical="center" wrapText="1"/>
    </xf>
    <xf numFmtId="49" fontId="28" fillId="0" borderId="41" xfId="78" applyNumberFormat="1" applyFont="1" applyBorder="1" applyAlignment="1">
      <alignment horizontal="center" vertical="center" wrapText="1"/>
    </xf>
    <xf numFmtId="49" fontId="25" fillId="0" borderId="27" xfId="78" applyNumberFormat="1" applyFont="1" applyBorder="1" applyAlignment="1">
      <alignment horizontal="center" vertical="center" wrapText="1"/>
    </xf>
    <xf numFmtId="3" fontId="28" fillId="0" borderId="27" xfId="78" applyNumberFormat="1" applyFont="1" applyBorder="1" applyAlignment="1">
      <alignment horizontal="center" vertical="center" wrapText="1"/>
    </xf>
    <xf numFmtId="3" fontId="25" fillId="0" borderId="41" xfId="78" applyNumberFormat="1" applyFont="1" applyBorder="1"/>
    <xf numFmtId="3" fontId="35" fillId="0" borderId="41" xfId="78" applyNumberFormat="1" applyFont="1" applyBorder="1"/>
    <xf numFmtId="3" fontId="25" fillId="0" borderId="75" xfId="78" applyNumberFormat="1" applyFont="1" applyBorder="1"/>
    <xf numFmtId="3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3" fontId="53" fillId="0" borderId="24" xfId="0" applyNumberFormat="1" applyFont="1" applyBorder="1"/>
    <xf numFmtId="0" fontId="53" fillId="0" borderId="24" xfId="0" applyFont="1" applyBorder="1"/>
    <xf numFmtId="3" fontId="58" fillId="0" borderId="19" xfId="0" applyNumberFormat="1" applyFont="1" applyBorder="1"/>
    <xf numFmtId="3" fontId="58" fillId="0" borderId="19" xfId="0" applyNumberFormat="1" applyFont="1" applyFill="1" applyBorder="1"/>
    <xf numFmtId="3" fontId="58" fillId="0" borderId="22" xfId="0" applyNumberFormat="1" applyFont="1" applyBorder="1"/>
    <xf numFmtId="3" fontId="58" fillId="0" borderId="0" xfId="0" applyNumberFormat="1" applyFont="1" applyFill="1" applyBorder="1"/>
    <xf numFmtId="3" fontId="59" fillId="0" borderId="74" xfId="0" applyNumberFormat="1" applyFont="1" applyBorder="1"/>
    <xf numFmtId="3" fontId="64" fillId="0" borderId="77" xfId="0" applyNumberFormat="1" applyFont="1" applyBorder="1" applyAlignment="1">
      <alignment horizontal="right" vertical="center" wrapText="1"/>
    </xf>
    <xf numFmtId="3" fontId="64" fillId="0" borderId="78" xfId="0" applyNumberFormat="1" applyFont="1" applyBorder="1" applyAlignment="1">
      <alignment horizontal="center" vertical="center" wrapText="1"/>
    </xf>
    <xf numFmtId="3" fontId="25" fillId="0" borderId="66" xfId="0" applyNumberFormat="1" applyFont="1" applyBorder="1"/>
    <xf numFmtId="3" fontId="30" fillId="0" borderId="79" xfId="0" applyNumberFormat="1" applyFont="1" applyBorder="1"/>
    <xf numFmtId="0" fontId="25" fillId="0" borderId="27" xfId="0" applyFont="1" applyBorder="1"/>
    <xf numFmtId="3" fontId="30" fillId="0" borderId="72" xfId="0" applyNumberFormat="1" applyFont="1" applyBorder="1"/>
    <xf numFmtId="3" fontId="30" fillId="0" borderId="18" xfId="0" applyNumberFormat="1" applyFont="1" applyBorder="1"/>
    <xf numFmtId="3" fontId="64" fillId="0" borderId="61" xfId="0" applyNumberFormat="1" applyFont="1" applyBorder="1"/>
    <xf numFmtId="0" fontId="48" fillId="0" borderId="28" xfId="0" applyNumberFormat="1" applyFont="1" applyBorder="1" applyAlignment="1">
      <alignment horizontal="right"/>
    </xf>
    <xf numFmtId="49" fontId="48" fillId="0" borderId="0" xfId="0" applyNumberFormat="1" applyFont="1" applyBorder="1" applyAlignment="1">
      <alignment horizontal="right"/>
    </xf>
    <xf numFmtId="0" fontId="42" fillId="0" borderId="0" xfId="0" applyFont="1" applyBorder="1"/>
    <xf numFmtId="167" fontId="48" fillId="24" borderId="12" xfId="0" applyNumberFormat="1" applyFont="1" applyFill="1" applyBorder="1" applyAlignment="1">
      <alignment horizontal="right" vertical="center"/>
    </xf>
    <xf numFmtId="0" fontId="30" fillId="0" borderId="22" xfId="0" applyFont="1" applyBorder="1"/>
    <xf numFmtId="0" fontId="25" fillId="0" borderId="22" xfId="0" applyFont="1" applyBorder="1"/>
    <xf numFmtId="3" fontId="30" fillId="0" borderId="0" xfId="78" applyNumberFormat="1" applyFont="1" applyAlignment="1">
      <alignment vertical="center"/>
    </xf>
    <xf numFmtId="3" fontId="25" fillId="0" borderId="18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/>
    </xf>
    <xf numFmtId="3" fontId="57" fillId="0" borderId="22" xfId="0" applyNumberFormat="1" applyFont="1" applyBorder="1" applyAlignment="1">
      <alignment horizontal="right" wrapText="1"/>
    </xf>
    <xf numFmtId="3" fontId="57" fillId="0" borderId="0" xfId="0" applyNumberFormat="1" applyFont="1" applyBorder="1" applyAlignment="1"/>
    <xf numFmtId="0" fontId="64" fillId="0" borderId="49" xfId="0" applyFont="1" applyFill="1" applyBorder="1" applyAlignment="1"/>
    <xf numFmtId="3" fontId="57" fillId="0" borderId="80" xfId="0" applyNumberFormat="1" applyFont="1" applyFill="1" applyBorder="1"/>
    <xf numFmtId="3" fontId="57" fillId="0" borderId="68" xfId="0" applyNumberFormat="1" applyFont="1" applyBorder="1" applyAlignment="1">
      <alignment horizontal="center" vertical="center" wrapText="1"/>
    </xf>
    <xf numFmtId="3" fontId="64" fillId="0" borderId="68" xfId="0" applyNumberFormat="1" applyFont="1" applyBorder="1"/>
    <xf numFmtId="3" fontId="59" fillId="0" borderId="68" xfId="0" applyNumberFormat="1" applyFont="1" applyBorder="1"/>
    <xf numFmtId="3" fontId="64" fillId="0" borderId="81" xfId="0" applyNumberFormat="1" applyFont="1" applyFill="1" applyBorder="1"/>
    <xf numFmtId="3" fontId="64" fillId="0" borderId="58" xfId="0" applyNumberFormat="1" applyFont="1" applyBorder="1" applyAlignment="1">
      <alignment horizontal="right" vertical="center" wrapText="1"/>
    </xf>
    <xf numFmtId="0" fontId="64" fillId="0" borderId="82" xfId="0" applyFont="1" applyFill="1" applyBorder="1" applyAlignment="1"/>
    <xf numFmtId="3" fontId="64" fillId="0" borderId="50" xfId="0" applyNumberFormat="1" applyFont="1" applyFill="1" applyBorder="1"/>
    <xf numFmtId="3" fontId="64" fillId="0" borderId="64" xfId="0" applyNumberFormat="1" applyFont="1" applyBorder="1"/>
    <xf numFmtId="3" fontId="64" fillId="0" borderId="83" xfId="0" applyNumberFormat="1" applyFont="1" applyBorder="1"/>
    <xf numFmtId="3" fontId="64" fillId="0" borderId="84" xfId="0" applyNumberFormat="1" applyFont="1" applyBorder="1"/>
    <xf numFmtId="3" fontId="64" fillId="0" borderId="68" xfId="0" applyNumberFormat="1" applyFont="1" applyBorder="1" applyAlignment="1">
      <alignment horizontal="right"/>
    </xf>
    <xf numFmtId="0" fontId="57" fillId="0" borderId="0" xfId="0" applyFont="1" applyBorder="1" applyAlignment="1">
      <alignment horizontal="right"/>
    </xf>
    <xf numFmtId="0" fontId="89" fillId="0" borderId="0" xfId="0" applyFont="1" applyAlignment="1">
      <alignment horizontal="center"/>
    </xf>
    <xf numFmtId="3" fontId="64" fillId="0" borderId="85" xfId="0" applyNumberFormat="1" applyFont="1" applyBorder="1" applyAlignment="1">
      <alignment horizontal="center"/>
    </xf>
    <xf numFmtId="0" fontId="38" fillId="0" borderId="22" xfId="0" applyFont="1" applyBorder="1"/>
    <xf numFmtId="3" fontId="92" fillId="0" borderId="0" xfId="0" applyNumberFormat="1" applyFont="1"/>
    <xf numFmtId="3" fontId="92" fillId="0" borderId="22" xfId="0" applyNumberFormat="1" applyFont="1" applyBorder="1"/>
    <xf numFmtId="0" fontId="57" fillId="0" borderId="22" xfId="0" applyFont="1" applyBorder="1"/>
    <xf numFmtId="0" fontId="92" fillId="0" borderId="0" xfId="0" applyFont="1" applyBorder="1"/>
    <xf numFmtId="165" fontId="48" fillId="0" borderId="28" xfId="0" applyNumberFormat="1" applyFont="1" applyBorder="1" applyAlignment="1">
      <alignment horizontal="right"/>
    </xf>
    <xf numFmtId="0" fontId="62" fillId="0" borderId="0" xfId="0" applyFont="1" applyAlignment="1">
      <alignment wrapText="1"/>
    </xf>
    <xf numFmtId="0" fontId="39" fillId="0" borderId="22" xfId="0" applyFont="1" applyBorder="1"/>
    <xf numFmtId="3" fontId="25" fillId="0" borderId="86" xfId="78" applyNumberFormat="1" applyFont="1" applyBorder="1" applyAlignment="1">
      <alignment horizontal="center" vertical="center"/>
    </xf>
    <xf numFmtId="3" fontId="59" fillId="0" borderId="64" xfId="0" applyNumberFormat="1" applyFont="1" applyFill="1" applyBorder="1"/>
    <xf numFmtId="3" fontId="59" fillId="0" borderId="83" xfId="0" applyNumberFormat="1" applyFont="1" applyFill="1" applyBorder="1"/>
    <xf numFmtId="3" fontId="80" fillId="0" borderId="0" xfId="0" applyNumberFormat="1" applyFont="1" applyAlignment="1">
      <alignment wrapText="1"/>
    </xf>
    <xf numFmtId="3" fontId="56" fillId="0" borderId="0" xfId="71" applyNumberFormat="1" applyFont="1" applyAlignment="1">
      <alignment horizontal="right" vertical="center"/>
    </xf>
    <xf numFmtId="0" fontId="32" fillId="0" borderId="24" xfId="71" applyFont="1" applyBorder="1" applyAlignment="1">
      <alignment vertical="center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5" fillId="0" borderId="24" xfId="71" applyNumberFormat="1" applyFont="1" applyFill="1" applyBorder="1" applyAlignment="1">
      <alignment vertical="center" wrapText="1"/>
    </xf>
    <xf numFmtId="0" fontId="31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11" fillId="0" borderId="0" xfId="0" applyFont="1"/>
    <xf numFmtId="0" fontId="1" fillId="0" borderId="0" xfId="70" applyAlignment="1">
      <alignment vertical="center"/>
    </xf>
    <xf numFmtId="0" fontId="29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2" fillId="0" borderId="48" xfId="71" applyFont="1" applyBorder="1" applyAlignment="1">
      <alignment vertical="center"/>
    </xf>
    <xf numFmtId="3" fontId="25" fillId="0" borderId="87" xfId="0" applyNumberFormat="1" applyFont="1" applyFill="1" applyBorder="1"/>
    <xf numFmtId="3" fontId="25" fillId="0" borderId="0" xfId="0" applyNumberFormat="1" applyFont="1" applyFill="1"/>
    <xf numFmtId="3" fontId="57" fillId="0" borderId="0" xfId="0" applyNumberFormat="1" applyFont="1" applyBorder="1" applyAlignment="1">
      <alignment horizontal="right"/>
    </xf>
    <xf numFmtId="0" fontId="57" fillId="0" borderId="77" xfId="0" applyFont="1" applyBorder="1"/>
    <xf numFmtId="0" fontId="57" fillId="0" borderId="68" xfId="0" applyFont="1" applyBorder="1"/>
    <xf numFmtId="0" fontId="57" fillId="0" borderId="71" xfId="0" applyFont="1" applyBorder="1"/>
    <xf numFmtId="3" fontId="64" fillId="0" borderId="71" xfId="0" applyNumberFormat="1" applyFont="1" applyBorder="1" applyAlignment="1">
      <alignment horizontal="right"/>
    </xf>
    <xf numFmtId="3" fontId="111" fillId="0" borderId="0" xfId="0" applyNumberFormat="1" applyFont="1"/>
    <xf numFmtId="3" fontId="112" fillId="0" borderId="0" xfId="0" applyNumberFormat="1" applyFont="1"/>
    <xf numFmtId="0" fontId="111" fillId="0" borderId="0" xfId="0" applyFont="1" applyBorder="1"/>
    <xf numFmtId="0" fontId="112" fillId="0" borderId="0" xfId="0" applyFont="1"/>
    <xf numFmtId="3" fontId="92" fillId="0" borderId="0" xfId="0" applyNumberFormat="1" applyFont="1" applyAlignment="1">
      <alignment wrapText="1"/>
    </xf>
    <xf numFmtId="0" fontId="28" fillId="0" borderId="0" xfId="0" applyFont="1" applyFill="1"/>
    <xf numFmtId="3" fontId="25" fillId="0" borderId="0" xfId="78" applyNumberFormat="1" applyFont="1" applyBorder="1" applyAlignment="1">
      <alignment horizontal="center" wrapText="1"/>
    </xf>
    <xf numFmtId="0" fontId="109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22" fillId="0" borderId="68" xfId="0" applyFont="1" applyFill="1" applyBorder="1" applyAlignment="1">
      <alignment wrapText="1"/>
    </xf>
    <xf numFmtId="0" fontId="57" fillId="0" borderId="0" xfId="0" applyFont="1" applyFill="1"/>
    <xf numFmtId="0" fontId="89" fillId="0" borderId="0" xfId="0" applyFont="1" applyFill="1"/>
    <xf numFmtId="0" fontId="85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8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0" fontId="54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0" fontId="25" fillId="0" borderId="22" xfId="0" applyFont="1" applyBorder="1" applyAlignment="1">
      <alignment horizontal="center" vertical="center"/>
    </xf>
    <xf numFmtId="0" fontId="32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2" fillId="0" borderId="22" xfId="71" applyFont="1" applyBorder="1" applyAlignment="1">
      <alignment vertical="center" wrapText="1"/>
    </xf>
    <xf numFmtId="0" fontId="106" fillId="0" borderId="22" xfId="71" applyFont="1" applyBorder="1" applyAlignment="1">
      <alignment horizontal="center" vertical="center" wrapText="1"/>
    </xf>
    <xf numFmtId="0" fontId="33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7" fillId="0" borderId="22" xfId="71" applyFont="1" applyBorder="1" applyAlignment="1">
      <alignment vertical="center" wrapText="1"/>
    </xf>
    <xf numFmtId="0" fontId="33" fillId="0" borderId="22" xfId="0" applyFont="1" applyBorder="1"/>
    <xf numFmtId="0" fontId="40" fillId="0" borderId="22" xfId="0" applyFont="1" applyBorder="1"/>
    <xf numFmtId="0" fontId="37" fillId="0" borderId="22" xfId="78" applyFont="1" applyBorder="1"/>
    <xf numFmtId="0" fontId="28" fillId="0" borderId="22" xfId="78" applyFont="1" applyBorder="1"/>
    <xf numFmtId="0" fontId="60" fillId="0" borderId="22" xfId="78" applyFont="1" applyBorder="1"/>
    <xf numFmtId="0" fontId="35" fillId="0" borderId="22" xfId="78" applyFont="1" applyBorder="1"/>
    <xf numFmtId="0" fontId="61" fillId="0" borderId="22" xfId="78" applyFont="1" applyBorder="1"/>
    <xf numFmtId="0" fontId="30" fillId="0" borderId="22" xfId="78" applyFont="1" applyBorder="1"/>
    <xf numFmtId="3" fontId="35" fillId="0" borderId="22" xfId="0" applyNumberFormat="1" applyFont="1" applyBorder="1"/>
    <xf numFmtId="0" fontId="35" fillId="0" borderId="22" xfId="0" applyFont="1" applyBorder="1" applyAlignment="1"/>
    <xf numFmtId="0" fontId="30" fillId="0" borderId="22" xfId="0" applyFont="1" applyBorder="1" applyAlignment="1">
      <alignment horizontal="center" vertical="center"/>
    </xf>
    <xf numFmtId="0" fontId="66" fillId="0" borderId="22" xfId="0" applyFont="1" applyBorder="1"/>
    <xf numFmtId="0" fontId="23" fillId="0" borderId="22" xfId="0" applyFont="1" applyBorder="1"/>
    <xf numFmtId="0" fontId="83" fillId="0" borderId="22" xfId="0" applyFont="1" applyBorder="1"/>
    <xf numFmtId="0" fontId="20" fillId="0" borderId="22" xfId="0" applyFont="1" applyBorder="1"/>
    <xf numFmtId="0" fontId="53" fillId="0" borderId="22" xfId="0" applyFont="1" applyBorder="1"/>
    <xf numFmtId="0" fontId="30" fillId="0" borderId="22" xfId="0" applyFont="1" applyBorder="1" applyAlignment="1">
      <alignment horizontal="center" vertical="center" wrapText="1"/>
    </xf>
    <xf numFmtId="0" fontId="35" fillId="0" borderId="0" xfId="78" applyFont="1" applyBorder="1"/>
    <xf numFmtId="3" fontId="37" fillId="0" borderId="89" xfId="78" applyNumberFormat="1" applyFont="1" applyBorder="1"/>
    <xf numFmtId="3" fontId="37" fillId="0" borderId="0" xfId="78" applyNumberFormat="1" applyFont="1" applyBorder="1"/>
    <xf numFmtId="3" fontId="60" fillId="0" borderId="0" xfId="78" applyNumberFormat="1" applyFont="1" applyBorder="1"/>
    <xf numFmtId="3" fontId="84" fillId="0" borderId="0" xfId="78" applyNumberFormat="1" applyFont="1" applyBorder="1"/>
    <xf numFmtId="3" fontId="43" fillId="0" borderId="44" xfId="0" applyNumberFormat="1" applyFont="1" applyBorder="1"/>
    <xf numFmtId="3" fontId="42" fillId="0" borderId="92" xfId="0" applyNumberFormat="1" applyFont="1" applyBorder="1"/>
    <xf numFmtId="0" fontId="42" fillId="0" borderId="93" xfId="0" applyFont="1" applyBorder="1"/>
    <xf numFmtId="3" fontId="43" fillId="0" borderId="22" xfId="0" applyNumberFormat="1" applyFont="1" applyBorder="1"/>
    <xf numFmtId="3" fontId="42" fillId="0" borderId="0" xfId="0" applyNumberFormat="1" applyFont="1" applyBorder="1"/>
    <xf numFmtId="0" fontId="42" fillId="0" borderId="68" xfId="0" applyFont="1" applyBorder="1"/>
    <xf numFmtId="3" fontId="20" fillId="0" borderId="0" xfId="0" applyNumberFormat="1" applyFont="1" applyBorder="1"/>
    <xf numFmtId="3" fontId="20" fillId="0" borderId="0" xfId="0" applyNumberFormat="1" applyFont="1" applyBorder="1" applyAlignment="1">
      <alignment vertical="center"/>
    </xf>
    <xf numFmtId="3" fontId="20" fillId="0" borderId="68" xfId="0" applyNumberFormat="1" applyFont="1" applyBorder="1" applyAlignment="1">
      <alignment vertical="center"/>
    </xf>
    <xf numFmtId="0" fontId="30" fillId="0" borderId="0" xfId="78" applyFont="1" applyBorder="1"/>
    <xf numFmtId="0" fontId="38" fillId="0" borderId="0" xfId="0" applyFont="1" applyBorder="1"/>
    <xf numFmtId="0" fontId="48" fillId="0" borderId="0" xfId="0" applyNumberFormat="1" applyFont="1" applyBorder="1" applyAlignment="1">
      <alignment horizontal="right"/>
    </xf>
    <xf numFmtId="3" fontId="31" fillId="0" borderId="26" xfId="0" applyNumberFormat="1" applyFont="1" applyBorder="1"/>
    <xf numFmtId="3" fontId="59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4" fillId="0" borderId="15" xfId="0" applyFont="1" applyBorder="1" applyAlignment="1">
      <alignment wrapText="1"/>
    </xf>
    <xf numFmtId="0" fontId="48" fillId="0" borderId="20" xfId="0" applyFont="1" applyBorder="1" applyAlignment="1">
      <alignment wrapText="1"/>
    </xf>
    <xf numFmtId="0" fontId="48" fillId="0" borderId="20" xfId="0" applyFont="1" applyBorder="1"/>
    <xf numFmtId="0" fontId="54" fillId="0" borderId="20" xfId="0" applyFont="1" applyBorder="1" applyAlignment="1">
      <alignment horizontal="right"/>
    </xf>
    <xf numFmtId="4" fontId="48" fillId="0" borderId="20" xfId="0" applyNumberFormat="1" applyFont="1" applyBorder="1" applyAlignment="1">
      <alignment horizontal="right"/>
    </xf>
    <xf numFmtId="1" fontId="48" fillId="0" borderId="24" xfId="0" applyNumberFormat="1" applyFont="1" applyBorder="1" applyAlignment="1">
      <alignment horizontal="right"/>
    </xf>
    <xf numFmtId="0" fontId="55" fillId="0" borderId="15" xfId="0" applyFont="1" applyBorder="1" applyAlignment="1">
      <alignment wrapText="1"/>
    </xf>
    <xf numFmtId="3" fontId="120" fillId="0" borderId="24" xfId="71" applyNumberFormat="1" applyFont="1" applyBorder="1" applyAlignment="1">
      <alignment vertical="center"/>
    </xf>
    <xf numFmtId="0" fontId="121" fillId="0" borderId="22" xfId="0" applyFont="1" applyBorder="1"/>
    <xf numFmtId="3" fontId="122" fillId="0" borderId="0" xfId="0" applyNumberFormat="1" applyFont="1"/>
    <xf numFmtId="3" fontId="64" fillId="0" borderId="71" xfId="0" applyNumberFormat="1" applyFont="1" applyBorder="1"/>
    <xf numFmtId="0" fontId="54" fillId="0" borderId="0" xfId="72" applyFont="1" applyAlignment="1">
      <alignment horizontal="center"/>
    </xf>
    <xf numFmtId="0" fontId="48" fillId="0" borderId="24" xfId="72" applyFont="1" applyBorder="1" applyAlignment="1">
      <alignment horizontal="center"/>
    </xf>
    <xf numFmtId="0" fontId="48" fillId="0" borderId="24" xfId="72" applyFont="1" applyFill="1" applyBorder="1" applyAlignment="1">
      <alignment horizontal="center"/>
    </xf>
    <xf numFmtId="49" fontId="100" fillId="0" borderId="24" xfId="72" applyNumberFormat="1" applyFont="1" applyFill="1" applyBorder="1" applyAlignment="1">
      <alignment horizontal="center"/>
    </xf>
    <xf numFmtId="0" fontId="54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4" fillId="0" borderId="0" xfId="72" applyFont="1" applyFill="1" applyBorder="1" applyAlignment="1">
      <alignment horizontal="center"/>
    </xf>
    <xf numFmtId="0" fontId="54" fillId="0" borderId="0" xfId="72" applyFont="1" applyFill="1" applyAlignment="1">
      <alignment horizontal="left"/>
    </xf>
    <xf numFmtId="0" fontId="54" fillId="0" borderId="0" xfId="72" applyFont="1" applyFill="1" applyAlignment="1"/>
    <xf numFmtId="3" fontId="54" fillId="0" borderId="0" xfId="72" applyNumberFormat="1" applyFont="1" applyFill="1" applyAlignment="1"/>
    <xf numFmtId="0" fontId="54" fillId="0" borderId="0" xfId="72" applyFont="1" applyFill="1" applyBorder="1" applyAlignment="1">
      <alignment horizontal="left"/>
    </xf>
    <xf numFmtId="0" fontId="54" fillId="0" borderId="0" xfId="72" applyFont="1" applyFill="1" applyBorder="1" applyAlignment="1">
      <alignment horizontal="left" wrapText="1"/>
    </xf>
    <xf numFmtId="3" fontId="54" fillId="0" borderId="0" xfId="72" applyNumberFormat="1" applyFont="1" applyFill="1" applyBorder="1" applyAlignment="1">
      <alignment horizontal="right"/>
    </xf>
    <xf numFmtId="14" fontId="54" fillId="0" borderId="0" xfId="72" applyNumberFormat="1" applyFont="1" applyFill="1" applyBorder="1" applyAlignment="1" applyProtection="1">
      <alignment horizontal="left"/>
      <protection locked="0"/>
    </xf>
    <xf numFmtId="0" fontId="54" fillId="0" borderId="0" xfId="72" applyFont="1" applyFill="1" applyBorder="1" applyAlignment="1" applyProtection="1">
      <alignment horizontal="left" wrapText="1"/>
      <protection locked="0"/>
    </xf>
    <xf numFmtId="3" fontId="54" fillId="0" borderId="0" xfId="72" applyNumberFormat="1" applyFont="1" applyFill="1" applyBorder="1" applyAlignment="1" applyProtection="1">
      <alignment wrapText="1"/>
      <protection locked="0"/>
    </xf>
    <xf numFmtId="14" fontId="54" fillId="0" borderId="0" xfId="72" applyNumberFormat="1" applyFont="1" applyFill="1" applyBorder="1" applyAlignment="1" applyProtection="1">
      <alignment horizontal="left" vertical="center"/>
      <protection locked="0"/>
    </xf>
    <xf numFmtId="3" fontId="123" fillId="0" borderId="0" xfId="0" applyNumberFormat="1" applyFont="1" applyFill="1"/>
    <xf numFmtId="14" fontId="98" fillId="0" borderId="0" xfId="72" applyNumberFormat="1" applyFont="1" applyFill="1" applyBorder="1" applyAlignment="1" applyProtection="1">
      <alignment horizontal="left"/>
      <protection locked="0"/>
    </xf>
    <xf numFmtId="3" fontId="124" fillId="0" borderId="0" xfId="72" applyNumberFormat="1" applyFont="1" applyFill="1" applyBorder="1" applyAlignment="1" applyProtection="1">
      <alignment wrapText="1"/>
      <protection locked="0"/>
    </xf>
    <xf numFmtId="3" fontId="98" fillId="0" borderId="0" xfId="0" applyNumberFormat="1" applyFont="1" applyFill="1"/>
    <xf numFmtId="3" fontId="98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5" fillId="0" borderId="0" xfId="0" applyFont="1" applyFill="1"/>
    <xf numFmtId="0" fontId="126" fillId="0" borderId="24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4" fillId="0" borderId="0" xfId="72" applyNumberFormat="1" applyFont="1" applyFill="1" applyAlignment="1">
      <alignment horizontal="right"/>
    </xf>
    <xf numFmtId="14" fontId="54" fillId="0" borderId="0" xfId="72" applyNumberFormat="1" applyFont="1" applyFill="1" applyBorder="1" applyAlignment="1">
      <alignment horizontal="right"/>
    </xf>
    <xf numFmtId="0" fontId="54" fillId="0" borderId="0" xfId="72" applyFont="1" applyFill="1" applyAlignment="1">
      <alignment horizontal="right"/>
    </xf>
    <xf numFmtId="14" fontId="54" fillId="0" borderId="0" xfId="72" applyNumberFormat="1" applyFont="1" applyFill="1" applyBorder="1" applyAlignment="1" applyProtection="1">
      <alignment horizontal="right"/>
      <protection locked="0"/>
    </xf>
    <xf numFmtId="0" fontId="54" fillId="0" borderId="0" xfId="72" applyFont="1" applyFill="1" applyBorder="1" applyAlignment="1">
      <alignment horizontal="center" vertical="center"/>
    </xf>
    <xf numFmtId="0" fontId="54" fillId="0" borderId="0" xfId="72" applyFont="1" applyFill="1" applyBorder="1" applyAlignment="1" applyProtection="1">
      <alignment horizontal="left" vertical="center" wrapText="1"/>
      <protection locked="0"/>
    </xf>
    <xf numFmtId="14" fontId="54" fillId="0" borderId="0" xfId="72" applyNumberFormat="1" applyFont="1" applyFill="1" applyBorder="1" applyAlignment="1" applyProtection="1">
      <alignment horizontal="right" vertical="center"/>
      <protection locked="0"/>
    </xf>
    <xf numFmtId="3" fontId="54" fillId="0" borderId="0" xfId="72" applyNumberFormat="1" applyFont="1" applyFill="1" applyBorder="1" applyAlignment="1" applyProtection="1">
      <alignment vertical="center" wrapText="1"/>
      <protection locked="0"/>
    </xf>
    <xf numFmtId="14" fontId="98" fillId="0" borderId="0" xfId="72" applyNumberFormat="1" applyFont="1" applyFill="1" applyBorder="1" applyAlignment="1" applyProtection="1">
      <alignment horizontal="right"/>
      <protection locked="0"/>
    </xf>
    <xf numFmtId="0" fontId="123" fillId="0" borderId="0" xfId="0" applyFont="1" applyFill="1" applyAlignment="1">
      <alignment horizontal="center"/>
    </xf>
    <xf numFmtId="3" fontId="126" fillId="0" borderId="0" xfId="0" applyNumberFormat="1" applyFont="1"/>
    <xf numFmtId="0" fontId="0" fillId="0" borderId="0" xfId="0" applyAlignment="1"/>
    <xf numFmtId="0" fontId="31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21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7" fillId="0" borderId="24" xfId="71" applyNumberFormat="1" applyFont="1" applyFill="1" applyBorder="1" applyAlignment="1">
      <alignment vertical="center"/>
    </xf>
    <xf numFmtId="0" fontId="120" fillId="0" borderId="24" xfId="71" applyFont="1" applyBorder="1" applyAlignment="1">
      <alignment vertical="center"/>
    </xf>
    <xf numFmtId="4" fontId="120" fillId="0" borderId="24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10" fillId="0" borderId="24" xfId="71" applyFont="1" applyBorder="1" applyAlignment="1">
      <alignment vertical="center"/>
    </xf>
    <xf numFmtId="167" fontId="31" fillId="0" borderId="24" xfId="71" applyNumberFormat="1" applyFont="1" applyBorder="1" applyAlignment="1">
      <alignment vertical="center"/>
    </xf>
    <xf numFmtId="4" fontId="121" fillId="0" borderId="24" xfId="71" applyNumberFormat="1" applyFont="1" applyFill="1" applyBorder="1" applyAlignment="1">
      <alignment vertical="center"/>
    </xf>
    <xf numFmtId="3" fontId="128" fillId="0" borderId="24" xfId="71" applyNumberFormat="1" applyFont="1" applyFill="1" applyBorder="1" applyAlignment="1">
      <alignment vertical="center" wrapText="1"/>
    </xf>
    <xf numFmtId="0" fontId="120" fillId="0" borderId="24" xfId="71" applyFont="1" applyBorder="1" applyAlignment="1">
      <alignment vertical="center" wrapText="1"/>
    </xf>
    <xf numFmtId="3" fontId="35" fillId="0" borderId="24" xfId="71" applyNumberFormat="1" applyFont="1" applyFill="1" applyBorder="1" applyAlignment="1">
      <alignment vertical="center" shrinkToFit="1"/>
    </xf>
    <xf numFmtId="164" fontId="121" fillId="0" borderId="24" xfId="71" applyNumberFormat="1" applyFont="1" applyFill="1" applyBorder="1" applyAlignment="1">
      <alignment vertical="center"/>
    </xf>
    <xf numFmtId="165" fontId="121" fillId="0" borderId="24" xfId="71" applyNumberFormat="1" applyFont="1" applyFill="1" applyBorder="1" applyAlignment="1">
      <alignment vertical="center"/>
    </xf>
    <xf numFmtId="168" fontId="121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/>
    </xf>
    <xf numFmtId="3" fontId="121" fillId="0" borderId="24" xfId="71" applyNumberFormat="1" applyFont="1" applyBorder="1" applyAlignment="1">
      <alignment horizontal="right" vertical="center"/>
    </xf>
    <xf numFmtId="165" fontId="121" fillId="0" borderId="24" xfId="71" applyNumberFormat="1" applyFont="1" applyBorder="1" applyAlignment="1">
      <alignment vertical="center"/>
    </xf>
    <xf numFmtId="0" fontId="129" fillId="0" borderId="24" xfId="75" applyFont="1" applyBorder="1" applyAlignment="1">
      <alignment vertical="center"/>
    </xf>
    <xf numFmtId="3" fontId="121" fillId="0" borderId="24" xfId="75" applyNumberFormat="1" applyFont="1" applyBorder="1" applyAlignment="1">
      <alignment vertical="center"/>
    </xf>
    <xf numFmtId="0" fontId="110" fillId="0" borderId="24" xfId="71" applyFont="1" applyBorder="1" applyAlignment="1">
      <alignment vertical="center" wrapText="1"/>
    </xf>
    <xf numFmtId="9" fontId="121" fillId="0" borderId="24" xfId="71" applyNumberFormat="1" applyFont="1" applyFill="1" applyBorder="1" applyAlignment="1">
      <alignment vertical="center"/>
    </xf>
    <xf numFmtId="0" fontId="120" fillId="0" borderId="25" xfId="71" applyFont="1" applyBorder="1" applyAlignment="1">
      <alignment vertical="center" wrapText="1"/>
    </xf>
    <xf numFmtId="3" fontId="121" fillId="0" borderId="25" xfId="71" applyNumberFormat="1" applyFont="1" applyBorder="1" applyAlignment="1">
      <alignment vertical="center"/>
    </xf>
    <xf numFmtId="3" fontId="121" fillId="0" borderId="25" xfId="71" applyNumberFormat="1" applyFont="1" applyFill="1" applyBorder="1" applyAlignment="1">
      <alignment vertical="center"/>
    </xf>
    <xf numFmtId="165" fontId="121" fillId="0" borderId="25" xfId="71" applyNumberFormat="1" applyFont="1" applyFill="1" applyBorder="1" applyAlignment="1">
      <alignment vertical="center"/>
    </xf>
    <xf numFmtId="3" fontId="120" fillId="0" borderId="25" xfId="71" applyNumberFormat="1" applyFont="1" applyBorder="1" applyAlignment="1">
      <alignment vertical="center"/>
    </xf>
    <xf numFmtId="4" fontId="120" fillId="0" borderId="25" xfId="71" applyNumberFormat="1" applyFont="1" applyBorder="1" applyAlignment="1">
      <alignment vertical="center"/>
    </xf>
    <xf numFmtId="0" fontId="110" fillId="0" borderId="97" xfId="71" applyFont="1" applyFill="1" applyBorder="1" applyAlignment="1">
      <alignment vertical="center"/>
    </xf>
    <xf numFmtId="3" fontId="130" fillId="0" borderId="64" xfId="71" applyNumberFormat="1" applyFont="1" applyFill="1" applyBorder="1" applyAlignment="1">
      <alignment vertical="center"/>
    </xf>
    <xf numFmtId="3" fontId="130" fillId="0" borderId="83" xfId="71" applyNumberFormat="1" applyFont="1" applyFill="1" applyBorder="1" applyAlignment="1">
      <alignment vertical="center"/>
    </xf>
    <xf numFmtId="3" fontId="130" fillId="0" borderId="34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0" fontId="48" fillId="0" borderId="98" xfId="0" applyFont="1" applyBorder="1"/>
    <xf numFmtId="0" fontId="50" fillId="0" borderId="98" xfId="0" applyFont="1" applyBorder="1" applyAlignment="1">
      <alignment horizontal="right"/>
    </xf>
    <xf numFmtId="0" fontId="54" fillId="0" borderId="98" xfId="0" applyFont="1" applyBorder="1" applyAlignment="1">
      <alignment horizontal="right"/>
    </xf>
    <xf numFmtId="0" fontId="48" fillId="0" borderId="98" xfId="0" applyFont="1" applyBorder="1" applyAlignment="1">
      <alignment horizontal="right"/>
    </xf>
    <xf numFmtId="4" fontId="48" fillId="0" borderId="98" xfId="0" applyNumberFormat="1" applyFont="1" applyBorder="1" applyAlignment="1">
      <alignment horizontal="right"/>
    </xf>
    <xf numFmtId="0" fontId="48" fillId="0" borderId="45" xfId="0" applyFont="1" applyBorder="1" applyAlignment="1">
      <alignment shrinkToFit="1"/>
    </xf>
    <xf numFmtId="0" fontId="54" fillId="0" borderId="95" xfId="0" applyFont="1" applyBorder="1"/>
    <xf numFmtId="0" fontId="55" fillId="0" borderId="95" xfId="0" applyFont="1" applyBorder="1" applyAlignment="1">
      <alignment horizontal="right"/>
    </xf>
    <xf numFmtId="0" fontId="54" fillId="0" borderId="95" xfId="0" applyFont="1" applyBorder="1" applyAlignment="1">
      <alignment horizontal="right"/>
    </xf>
    <xf numFmtId="0" fontId="48" fillId="0" borderId="95" xfId="0" applyFont="1" applyBorder="1" applyAlignment="1">
      <alignment horizontal="right"/>
    </xf>
    <xf numFmtId="0" fontId="48" fillId="0" borderId="96" xfId="0" applyFont="1" applyFill="1" applyBorder="1" applyAlignment="1">
      <alignment horizontal="right"/>
    </xf>
    <xf numFmtId="14" fontId="98" fillId="0" borderId="0" xfId="72" applyNumberFormat="1" applyFont="1" applyFill="1" applyBorder="1" applyAlignment="1" applyProtection="1">
      <alignment horizontal="left" wrapText="1"/>
      <protection locked="0"/>
    </xf>
    <xf numFmtId="0" fontId="110" fillId="0" borderId="25" xfId="71" applyFont="1" applyBorder="1" applyAlignment="1">
      <alignment vertical="center" wrapText="1"/>
    </xf>
    <xf numFmtId="0" fontId="31" fillId="0" borderId="25" xfId="71" applyFont="1" applyBorder="1" applyAlignment="1">
      <alignment vertical="center" wrapText="1"/>
    </xf>
    <xf numFmtId="3" fontId="31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4" fillId="0" borderId="0" xfId="0" applyNumberFormat="1" applyFont="1" applyBorder="1" applyAlignment="1"/>
    <xf numFmtId="3" fontId="28" fillId="25" borderId="0" xfId="0" applyNumberFormat="1" applyFont="1" applyFill="1" applyBorder="1"/>
    <xf numFmtId="3" fontId="122" fillId="0" borderId="0" xfId="78" applyNumberFormat="1" applyFont="1" applyBorder="1"/>
    <xf numFmtId="167" fontId="48" fillId="0" borderId="24" xfId="0" applyNumberFormat="1" applyFont="1" applyBorder="1" applyAlignment="1">
      <alignment horizontal="right"/>
    </xf>
    <xf numFmtId="167" fontId="48" fillId="0" borderId="12" xfId="0" applyNumberFormat="1" applyFont="1" applyBorder="1"/>
    <xf numFmtId="3" fontId="122" fillId="0" borderId="0" xfId="78" applyNumberFormat="1" applyFont="1" applyBorder="1" applyAlignment="1">
      <alignment horizontal="left" vertical="center" wrapText="1"/>
    </xf>
    <xf numFmtId="0" fontId="28" fillId="0" borderId="0" xfId="78" applyFont="1" applyAlignment="1">
      <alignment vertical="center" wrapText="1"/>
    </xf>
    <xf numFmtId="0" fontId="119" fillId="0" borderId="0" xfId="0" applyFont="1"/>
    <xf numFmtId="0" fontId="131" fillId="0" borderId="0" xfId="0" applyFont="1"/>
    <xf numFmtId="0" fontId="132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3" fillId="0" borderId="0" xfId="73" applyNumberFormat="1" applyFont="1"/>
    <xf numFmtId="0" fontId="133" fillId="0" borderId="24" xfId="71" applyFont="1" applyBorder="1" applyAlignment="1">
      <alignment vertical="center"/>
    </xf>
    <xf numFmtId="2" fontId="121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Border="1" applyAlignment="1">
      <alignment vertical="center" wrapText="1"/>
    </xf>
    <xf numFmtId="0" fontId="134" fillId="0" borderId="24" xfId="71" applyFont="1" applyBorder="1" applyAlignment="1">
      <alignment vertical="center"/>
    </xf>
    <xf numFmtId="3" fontId="121" fillId="0" borderId="24" xfId="71" applyNumberFormat="1" applyFont="1" applyFill="1" applyBorder="1" applyAlignment="1">
      <alignment vertical="center" shrinkToFit="1"/>
    </xf>
    <xf numFmtId="165" fontId="31" fillId="0" borderId="24" xfId="71" applyNumberFormat="1" applyFont="1" applyBorder="1" applyAlignment="1">
      <alignment vertical="center"/>
    </xf>
    <xf numFmtId="3" fontId="128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 wrapText="1"/>
    </xf>
    <xf numFmtId="0" fontId="115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21" fillId="0" borderId="25" xfId="71" applyNumberFormat="1" applyFont="1" applyBorder="1" applyAlignment="1">
      <alignment vertical="center" wrapText="1"/>
    </xf>
    <xf numFmtId="4" fontId="31" fillId="0" borderId="25" xfId="71" applyNumberFormat="1" applyFont="1" applyBorder="1" applyAlignment="1">
      <alignment vertical="center"/>
    </xf>
    <xf numFmtId="3" fontId="31" fillId="0" borderId="25" xfId="71" applyNumberFormat="1" applyFont="1" applyBorder="1" applyAlignment="1">
      <alignment vertical="center"/>
    </xf>
    <xf numFmtId="0" fontId="107" fillId="0" borderId="0" xfId="71" applyFont="1" applyBorder="1" applyAlignment="1">
      <alignment vertical="center"/>
    </xf>
    <xf numFmtId="0" fontId="135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6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8" xfId="0" applyFont="1" applyBorder="1"/>
    <xf numFmtId="0" fontId="43" fillId="0" borderId="68" xfId="0" applyFont="1" applyFill="1" applyBorder="1" applyAlignment="1">
      <alignment horizontal="left" wrapText="1"/>
    </xf>
    <xf numFmtId="0" fontId="44" fillId="0" borderId="26" xfId="0" applyFont="1" applyBorder="1"/>
    <xf numFmtId="0" fontId="44" fillId="0" borderId="42" xfId="0" applyFont="1" applyBorder="1"/>
    <xf numFmtId="3" fontId="44" fillId="0" borderId="34" xfId="0" applyNumberFormat="1" applyFont="1" applyBorder="1"/>
    <xf numFmtId="0" fontId="25" fillId="0" borderId="0" xfId="0" applyFont="1" applyBorder="1" applyAlignment="1">
      <alignment wrapText="1"/>
    </xf>
    <xf numFmtId="0" fontId="28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3" fillId="0" borderId="0" xfId="0" applyFont="1" applyAlignment="1">
      <alignment vertical="center" wrapText="1"/>
    </xf>
    <xf numFmtId="0" fontId="53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3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3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3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3" fontId="31" fillId="0" borderId="24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0" fontId="137" fillId="0" borderId="22" xfId="78" applyFont="1" applyBorder="1"/>
    <xf numFmtId="3" fontId="25" fillId="0" borderId="74" xfId="78" applyNumberFormat="1" applyFont="1" applyBorder="1"/>
    <xf numFmtId="3" fontId="35" fillId="0" borderId="0" xfId="78" applyNumberFormat="1" applyFont="1" applyBorder="1" applyAlignment="1">
      <alignment horizontal="left" vertical="center" wrapText="1"/>
    </xf>
    <xf numFmtId="0" fontId="66" fillId="0" borderId="0" xfId="0" applyFont="1" applyBorder="1"/>
    <xf numFmtId="3" fontId="25" fillId="0" borderId="74" xfId="0" applyNumberFormat="1" applyFont="1" applyBorder="1"/>
    <xf numFmtId="3" fontId="30" fillId="0" borderId="76" xfId="0" applyNumberFormat="1" applyFont="1" applyBorder="1"/>
    <xf numFmtId="3" fontId="30" fillId="0" borderId="59" xfId="0" applyNumberFormat="1" applyFont="1" applyBorder="1"/>
    <xf numFmtId="165" fontId="43" fillId="0" borderId="0" xfId="0" applyNumberFormat="1" applyFont="1"/>
    <xf numFmtId="0" fontId="89" fillId="0" borderId="22" xfId="0" applyFont="1" applyBorder="1"/>
    <xf numFmtId="3" fontId="58" fillId="0" borderId="0" xfId="0" applyNumberFormat="1" applyFont="1" applyBorder="1" applyAlignment="1">
      <alignment vertical="center"/>
    </xf>
    <xf numFmtId="3" fontId="58" fillId="0" borderId="68" xfId="0" applyNumberFormat="1" applyFont="1" applyBorder="1" applyAlignment="1">
      <alignment vertical="center"/>
    </xf>
    <xf numFmtId="3" fontId="58" fillId="0" borderId="0" xfId="0" applyNumberFormat="1" applyFont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7" xfId="78" applyNumberFormat="1" applyFont="1" applyBorder="1"/>
    <xf numFmtId="0" fontId="58" fillId="0" borderId="0" xfId="0" applyFont="1" applyBorder="1" applyAlignment="1">
      <alignment horizontal="left" vertical="center" wrapText="1"/>
    </xf>
    <xf numFmtId="3" fontId="93" fillId="0" borderId="0" xfId="0" applyNumberFormat="1" applyFont="1" applyBorder="1" applyAlignment="1">
      <alignment horizontal="center" vertical="center" wrapText="1"/>
    </xf>
    <xf numFmtId="3" fontId="93" fillId="0" borderId="19" xfId="0" applyNumberFormat="1" applyFont="1" applyBorder="1" applyAlignment="1">
      <alignment horizontal="center" vertical="center" wrapText="1"/>
    </xf>
    <xf numFmtId="3" fontId="82" fillId="0" borderId="19" xfId="0" applyNumberFormat="1" applyFont="1" applyBorder="1" applyAlignment="1">
      <alignment horizontal="center" vertical="center" wrapText="1"/>
    </xf>
    <xf numFmtId="3" fontId="93" fillId="0" borderId="62" xfId="0" applyNumberFormat="1" applyFont="1" applyBorder="1" applyAlignment="1">
      <alignment horizontal="center" vertical="center" wrapText="1"/>
    </xf>
    <xf numFmtId="3" fontId="93" fillId="0" borderId="70" xfId="0" applyNumberFormat="1" applyFont="1" applyBorder="1" applyAlignment="1">
      <alignment horizontal="center" vertical="center" wrapText="1"/>
    </xf>
    <xf numFmtId="3" fontId="59" fillId="0" borderId="63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left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right" vertical="center" wrapText="1"/>
    </xf>
    <xf numFmtId="3" fontId="59" fillId="0" borderId="62" xfId="0" applyNumberFormat="1" applyFont="1" applyBorder="1" applyAlignment="1">
      <alignment horizontal="center" vertical="center" wrapText="1"/>
    </xf>
    <xf numFmtId="3" fontId="59" fillId="0" borderId="68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58" fillId="0" borderId="62" xfId="0" applyNumberFormat="1" applyFont="1" applyBorder="1"/>
    <xf numFmtId="3" fontId="59" fillId="0" borderId="63" xfId="0" applyNumberFormat="1" applyFont="1" applyBorder="1"/>
    <xf numFmtId="0" fontId="58" fillId="0" borderId="0" xfId="0" applyFont="1" applyFill="1" applyBorder="1"/>
    <xf numFmtId="3" fontId="58" fillId="0" borderId="22" xfId="0" applyNumberFormat="1" applyFont="1" applyFill="1" applyBorder="1"/>
    <xf numFmtId="3" fontId="58" fillId="0" borderId="62" xfId="0" applyNumberFormat="1" applyFont="1" applyFill="1" applyBorder="1"/>
    <xf numFmtId="3" fontId="58" fillId="0" borderId="68" xfId="0" applyNumberFormat="1" applyFont="1" applyFill="1" applyBorder="1"/>
    <xf numFmtId="3" fontId="59" fillId="0" borderId="63" xfId="0" applyNumberFormat="1" applyFont="1" applyFill="1" applyBorder="1"/>
    <xf numFmtId="0" fontId="58" fillId="0" borderId="0" xfId="0" applyFont="1" applyBorder="1" applyAlignment="1">
      <alignment wrapText="1"/>
    </xf>
    <xf numFmtId="3" fontId="58" fillId="0" borderId="19" xfId="0" applyNumberFormat="1" applyFont="1" applyBorder="1" applyAlignment="1">
      <alignment vertical="center"/>
    </xf>
    <xf numFmtId="3" fontId="58" fillId="0" borderId="62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 vertical="center" wrapText="1"/>
    </xf>
    <xf numFmtId="0" fontId="138" fillId="0" borderId="0" xfId="0" applyFont="1" applyBorder="1"/>
    <xf numFmtId="3" fontId="138" fillId="0" borderId="22" xfId="0" applyNumberFormat="1" applyFont="1" applyBorder="1"/>
    <xf numFmtId="0" fontId="58" fillId="0" borderId="0" xfId="0" applyFont="1" applyBorder="1" applyAlignment="1">
      <alignment vertical="center" wrapText="1"/>
    </xf>
    <xf numFmtId="3" fontId="58" fillId="0" borderId="22" xfId="0" applyNumberFormat="1" applyFont="1" applyBorder="1" applyAlignment="1">
      <alignment vertical="center"/>
    </xf>
    <xf numFmtId="0" fontId="58" fillId="0" borderId="68" xfId="0" applyFont="1" applyBorder="1" applyAlignment="1">
      <alignment horizontal="left" vertical="center" wrapText="1"/>
    </xf>
    <xf numFmtId="0" fontId="90" fillId="0" borderId="127" xfId="0" applyFont="1" applyBorder="1" applyAlignment="1">
      <alignment horizontal="center"/>
    </xf>
    <xf numFmtId="0" fontId="90" fillId="0" borderId="55" xfId="0" applyFont="1" applyBorder="1" applyAlignment="1">
      <alignment horizontal="center"/>
    </xf>
    <xf numFmtId="0" fontId="58" fillId="0" borderId="68" xfId="0" applyFont="1" applyBorder="1"/>
    <xf numFmtId="0" fontId="82" fillId="0" borderId="68" xfId="0" applyFont="1" applyBorder="1"/>
    <xf numFmtId="0" fontId="85" fillId="0" borderId="68" xfId="0" applyFont="1" applyBorder="1"/>
    <xf numFmtId="0" fontId="85" fillId="0" borderId="68" xfId="0" applyFont="1" applyFill="1" applyBorder="1"/>
    <xf numFmtId="3" fontId="25" fillId="0" borderId="76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3" fillId="0" borderId="0" xfId="0" applyFont="1" applyBorder="1"/>
    <xf numFmtId="0" fontId="77" fillId="0" borderId="0" xfId="0" applyFont="1" applyBorder="1"/>
    <xf numFmtId="3" fontId="64" fillId="0" borderId="90" xfId="0" applyNumberFormat="1" applyFont="1" applyBorder="1" applyAlignment="1">
      <alignment horizontal="center" vertical="center" wrapText="1"/>
    </xf>
    <xf numFmtId="3" fontId="28" fillId="0" borderId="93" xfId="0" applyNumberFormat="1" applyFont="1" applyBorder="1"/>
    <xf numFmtId="3" fontId="28" fillId="25" borderId="68" xfId="0" applyNumberFormat="1" applyFont="1" applyFill="1" applyBorder="1"/>
    <xf numFmtId="0" fontId="77" fillId="0" borderId="92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5" fillId="0" borderId="0" xfId="71" applyFont="1" applyAlignment="1">
      <alignment vertical="center" wrapText="1"/>
    </xf>
    <xf numFmtId="169" fontId="28" fillId="0" borderId="12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/>
    </xf>
    <xf numFmtId="1" fontId="48" fillId="0" borderId="12" xfId="0" applyNumberFormat="1" applyFont="1" applyBorder="1" applyAlignment="1">
      <alignment horizontal="right"/>
    </xf>
    <xf numFmtId="0" fontId="122" fillId="0" borderId="0" xfId="0" applyFont="1"/>
    <xf numFmtId="3" fontId="82" fillId="0" borderId="22" xfId="0" applyNumberFormat="1" applyFont="1" applyBorder="1"/>
    <xf numFmtId="3" fontId="140" fillId="0" borderId="0" xfId="0" applyNumberFormat="1" applyFont="1" applyBorder="1"/>
    <xf numFmtId="3" fontId="39" fillId="0" borderId="22" xfId="0" applyNumberFormat="1" applyFont="1" applyBorder="1"/>
    <xf numFmtId="3" fontId="59" fillId="0" borderId="22" xfId="0" applyNumberFormat="1" applyFont="1" applyBorder="1"/>
    <xf numFmtId="3" fontId="138" fillId="0" borderId="0" xfId="0" applyNumberFormat="1" applyFont="1" applyBorder="1"/>
    <xf numFmtId="3" fontId="30" fillId="0" borderId="22" xfId="0" applyNumberFormat="1" applyFont="1" applyBorder="1"/>
    <xf numFmtId="3" fontId="58" fillId="0" borderId="22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0" fontId="30" fillId="0" borderId="90" xfId="0" applyFont="1" applyBorder="1" applyAlignment="1">
      <alignment horizontal="center" vertical="center"/>
    </xf>
    <xf numFmtId="3" fontId="93" fillId="0" borderId="90" xfId="0" applyNumberFormat="1" applyFont="1" applyBorder="1" applyAlignment="1">
      <alignment horizontal="center" vertical="center" wrapText="1"/>
    </xf>
    <xf numFmtId="3" fontId="93" fillId="0" borderId="91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9" fillId="0" borderId="92" xfId="0" applyFont="1" applyBorder="1"/>
    <xf numFmtId="3" fontId="30" fillId="0" borderId="92" xfId="0" applyNumberFormat="1" applyFont="1" applyBorder="1"/>
    <xf numFmtId="3" fontId="59" fillId="0" borderId="21" xfId="0" applyNumberFormat="1" applyFont="1" applyBorder="1"/>
    <xf numFmtId="3" fontId="138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0" fontId="30" fillId="0" borderId="0" xfId="0" applyFont="1" applyBorder="1" applyAlignment="1">
      <alignment wrapText="1"/>
    </xf>
    <xf numFmtId="3" fontId="58" fillId="0" borderId="0" xfId="0" applyNumberFormat="1" applyFont="1" applyAlignment="1">
      <alignment wrapText="1"/>
    </xf>
    <xf numFmtId="3" fontId="30" fillId="0" borderId="31" xfId="0" applyNumberFormat="1" applyFont="1" applyBorder="1"/>
    <xf numFmtId="3" fontId="23" fillId="0" borderId="22" xfId="0" applyNumberFormat="1" applyFont="1" applyBorder="1"/>
    <xf numFmtId="3" fontId="26" fillId="0" borderId="19" xfId="0" applyNumberFormat="1" applyFont="1" applyBorder="1"/>
    <xf numFmtId="3" fontId="26" fillId="0" borderId="68" xfId="0" applyNumberFormat="1" applyFont="1" applyBorder="1"/>
    <xf numFmtId="3" fontId="23" fillId="0" borderId="73" xfId="0" applyNumberFormat="1" applyFont="1" applyBorder="1"/>
    <xf numFmtId="3" fontId="26" fillId="0" borderId="12" xfId="0" applyNumberFormat="1" applyFont="1" applyFill="1" applyBorder="1"/>
    <xf numFmtId="3" fontId="110" fillId="0" borderId="24" xfId="0" applyNumberFormat="1" applyFont="1" applyBorder="1" applyAlignment="1">
      <alignment horizontal="center" vertical="center" wrapText="1"/>
    </xf>
    <xf numFmtId="0" fontId="141" fillId="0" borderId="0" xfId="0" applyFont="1" applyBorder="1" applyAlignment="1">
      <alignment vertical="center" wrapText="1"/>
    </xf>
    <xf numFmtId="3" fontId="31" fillId="0" borderId="25" xfId="0" applyNumberFormat="1" applyFont="1" applyBorder="1" applyAlignment="1">
      <alignment horizontal="center" vertical="center" wrapText="1"/>
    </xf>
    <xf numFmtId="3" fontId="31" fillId="0" borderId="25" xfId="0" applyNumberFormat="1" applyFont="1" applyBorder="1"/>
    <xf numFmtId="0" fontId="11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3" fontId="110" fillId="0" borderId="26" xfId="0" applyNumberFormat="1" applyFont="1" applyBorder="1"/>
    <xf numFmtId="0" fontId="31" fillId="0" borderId="0" xfId="0" applyFont="1" applyBorder="1" applyAlignment="1">
      <alignment wrapText="1"/>
    </xf>
    <xf numFmtId="0" fontId="110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6" xfId="0" applyNumberFormat="1" applyFont="1" applyBorder="1" applyAlignment="1">
      <alignment vertical="center"/>
    </xf>
    <xf numFmtId="3" fontId="31" fillId="0" borderId="0" xfId="0" applyNumberFormat="1" applyFont="1" applyBorder="1" applyAlignment="1">
      <alignment vertical="center"/>
    </xf>
    <xf numFmtId="0" fontId="110" fillId="0" borderId="0" xfId="0" applyFont="1" applyBorder="1" applyAlignment="1">
      <alignment horizontal="left" wrapText="1"/>
    </xf>
    <xf numFmtId="0" fontId="110" fillId="0" borderId="34" xfId="0" applyFont="1" applyBorder="1" applyAlignment="1">
      <alignment wrapText="1"/>
    </xf>
    <xf numFmtId="3" fontId="110" fillId="0" borderId="34" xfId="0" applyNumberFormat="1" applyFont="1" applyBorder="1"/>
    <xf numFmtId="3" fontId="110" fillId="0" borderId="59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35" fillId="0" borderId="68" xfId="74" applyNumberFormat="1" applyFont="1" applyBorder="1"/>
    <xf numFmtId="3" fontId="39" fillId="0" borderId="0" xfId="74" applyNumberFormat="1" applyFont="1" applyBorder="1"/>
    <xf numFmtId="0" fontId="58" fillId="0" borderId="22" xfId="0" applyFont="1" applyBorder="1"/>
    <xf numFmtId="3" fontId="30" fillId="0" borderId="50" xfId="0" applyNumberFormat="1" applyFont="1" applyBorder="1"/>
    <xf numFmtId="3" fontId="30" fillId="0" borderId="81" xfId="0" applyNumberFormat="1" applyFont="1" applyFill="1" applyBorder="1"/>
    <xf numFmtId="0" fontId="30" fillId="0" borderId="27" xfId="0" applyFont="1" applyBorder="1"/>
    <xf numFmtId="3" fontId="30" fillId="0" borderId="87" xfId="0" applyNumberFormat="1" applyFont="1" applyFill="1" applyBorder="1"/>
    <xf numFmtId="165" fontId="48" fillId="24" borderId="12" xfId="0" applyNumberFormat="1" applyFont="1" applyFill="1" applyBorder="1" applyAlignment="1">
      <alignment horizontal="right" vertical="center"/>
    </xf>
    <xf numFmtId="3" fontId="48" fillId="0" borderId="24" xfId="0" applyNumberFormat="1" applyFont="1" applyBorder="1" applyAlignment="1">
      <alignment horizontal="right"/>
    </xf>
    <xf numFmtId="3" fontId="48" fillId="0" borderId="12" xfId="0" applyNumberFormat="1" applyFont="1" applyBorder="1"/>
    <xf numFmtId="170" fontId="48" fillId="0" borderId="12" xfId="0" applyNumberFormat="1" applyFont="1" applyBorder="1" applyAlignment="1">
      <alignment horizontal="right"/>
    </xf>
    <xf numFmtId="167" fontId="48" fillId="0" borderId="28" xfId="0" applyNumberFormat="1" applyFont="1" applyBorder="1" applyAlignment="1">
      <alignment horizontal="right"/>
    </xf>
    <xf numFmtId="0" fontId="34" fillId="0" borderId="0" xfId="0" applyFont="1" applyBorder="1" applyAlignment="1">
      <alignment wrapText="1"/>
    </xf>
    <xf numFmtId="3" fontId="43" fillId="0" borderId="22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53" fillId="0" borderId="68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vertical="center" wrapText="1"/>
    </xf>
    <xf numFmtId="3" fontId="28" fillId="0" borderId="0" xfId="78" applyNumberFormat="1" applyFont="1" applyAlignment="1">
      <alignment vertical="center"/>
    </xf>
    <xf numFmtId="0" fontId="30" fillId="0" borderId="22" xfId="78" applyFont="1" applyBorder="1" applyAlignment="1">
      <alignment vertical="center"/>
    </xf>
    <xf numFmtId="0" fontId="30" fillId="0" borderId="0" xfId="78" applyFont="1" applyAlignment="1">
      <alignment vertical="center"/>
    </xf>
    <xf numFmtId="3" fontId="28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1" fontId="58" fillId="0" borderId="68" xfId="0" applyNumberFormat="1" applyFont="1" applyBorder="1" applyAlignment="1">
      <alignment horizontal="center" vertical="center"/>
    </xf>
    <xf numFmtId="3" fontId="25" fillId="0" borderId="130" xfId="0" applyNumberFormat="1" applyFont="1" applyBorder="1"/>
    <xf numFmtId="3" fontId="25" fillId="0" borderId="81" xfId="0" applyNumberFormat="1" applyFont="1" applyBorder="1"/>
    <xf numFmtId="3" fontId="25" fillId="0" borderId="87" xfId="0" applyNumberFormat="1" applyFont="1" applyBorder="1"/>
    <xf numFmtId="3" fontId="63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9" xfId="0" applyFont="1" applyBorder="1" applyAlignment="1">
      <alignment horizontal="center"/>
    </xf>
    <xf numFmtId="0" fontId="56" fillId="0" borderId="0" xfId="0" applyFont="1" applyAlignment="1">
      <alignment horizontal="center" vertical="center"/>
    </xf>
    <xf numFmtId="0" fontId="110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0" fontId="139" fillId="0" borderId="0" xfId="78" applyFont="1" applyAlignment="1">
      <alignment vertical="center" wrapText="1"/>
    </xf>
    <xf numFmtId="3" fontId="30" fillId="0" borderId="27" xfId="0" applyNumberFormat="1" applyFont="1" applyBorder="1"/>
    <xf numFmtId="3" fontId="30" fillId="0" borderId="87" xfId="0" applyNumberFormat="1" applyFont="1" applyBorder="1"/>
    <xf numFmtId="3" fontId="134" fillId="0" borderId="24" xfId="71" applyNumberFormat="1" applyFont="1" applyBorder="1" applyAlignment="1">
      <alignment vertical="center"/>
    </xf>
    <xf numFmtId="3" fontId="143" fillId="0" borderId="24" xfId="71" applyNumberFormat="1" applyFont="1" applyFill="1" applyBorder="1" applyAlignment="1">
      <alignment vertical="center"/>
    </xf>
    <xf numFmtId="0" fontId="143" fillId="0" borderId="0" xfId="71" applyFont="1" applyAlignment="1">
      <alignment vertical="center"/>
    </xf>
    <xf numFmtId="0" fontId="144" fillId="0" borderId="0" xfId="0" applyFont="1" applyFill="1"/>
    <xf numFmtId="0" fontId="1" fillId="0" borderId="0" xfId="70" applyAlignment="1">
      <alignment vertical="center"/>
    </xf>
    <xf numFmtId="3" fontId="147" fillId="0" borderId="24" xfId="71" applyNumberFormat="1" applyFont="1" applyBorder="1" applyAlignment="1">
      <alignment vertical="center"/>
    </xf>
    <xf numFmtId="3" fontId="148" fillId="0" borderId="0" xfId="71" applyNumberFormat="1" applyFont="1" applyAlignment="1">
      <alignment vertical="center"/>
    </xf>
    <xf numFmtId="3" fontId="146" fillId="0" borderId="24" xfId="71" applyNumberFormat="1" applyFont="1" applyBorder="1" applyAlignment="1">
      <alignment vertical="center" wrapText="1"/>
    </xf>
    <xf numFmtId="165" fontId="147" fillId="0" borderId="24" xfId="71" applyNumberFormat="1" applyFont="1" applyBorder="1" applyAlignment="1">
      <alignment vertical="center"/>
    </xf>
    <xf numFmtId="167" fontId="147" fillId="0" borderId="24" xfId="71" applyNumberFormat="1" applyFont="1" applyBorder="1" applyAlignment="1">
      <alignment vertical="center"/>
    </xf>
    <xf numFmtId="4" fontId="147" fillId="0" borderId="24" xfId="71" applyNumberFormat="1" applyFont="1" applyBorder="1" applyAlignment="1">
      <alignment vertical="center"/>
    </xf>
    <xf numFmtId="3" fontId="149" fillId="0" borderId="24" xfId="71" applyNumberFormat="1" applyFont="1" applyFill="1" applyBorder="1" applyAlignment="1">
      <alignment vertical="center"/>
    </xf>
    <xf numFmtId="3" fontId="147" fillId="0" borderId="24" xfId="71" applyNumberFormat="1" applyFont="1" applyBorder="1" applyAlignment="1">
      <alignment vertical="center" wrapText="1"/>
    </xf>
    <xf numFmtId="0" fontId="31" fillId="25" borderId="0" xfId="0" applyFont="1" applyFill="1" applyAlignment="1">
      <alignment horizontal="left" wrapText="1"/>
    </xf>
    <xf numFmtId="3" fontId="31" fillId="25" borderId="26" xfId="0" applyNumberFormat="1" applyFont="1" applyFill="1" applyBorder="1"/>
    <xf numFmtId="3" fontId="31" fillId="25" borderId="0" xfId="0" applyNumberFormat="1" applyFont="1" applyFill="1" applyBorder="1"/>
    <xf numFmtId="0" fontId="31" fillId="25" borderId="0" xfId="0" applyFont="1" applyFill="1" applyBorder="1" applyAlignment="1">
      <alignment wrapText="1"/>
    </xf>
    <xf numFmtId="3" fontId="31" fillId="25" borderId="26" xfId="0" applyNumberFormat="1" applyFont="1" applyFill="1" applyBorder="1" applyAlignment="1">
      <alignment vertical="center"/>
    </xf>
    <xf numFmtId="3" fontId="31" fillId="25" borderId="0" xfId="0" applyNumberFormat="1" applyFont="1" applyFill="1" applyBorder="1" applyAlignment="1">
      <alignment vertical="center"/>
    </xf>
    <xf numFmtId="3" fontId="151" fillId="0" borderId="22" xfId="0" applyNumberFormat="1" applyFont="1" applyBorder="1"/>
    <xf numFmtId="3" fontId="145" fillId="0" borderId="0" xfId="0" applyNumberFormat="1" applyFont="1" applyBorder="1"/>
    <xf numFmtId="3" fontId="145" fillId="0" borderId="19" xfId="0" applyNumberFormat="1" applyFont="1" applyBorder="1"/>
    <xf numFmtId="3" fontId="145" fillId="0" borderId="68" xfId="0" applyNumberFormat="1" applyFont="1" applyBorder="1"/>
    <xf numFmtId="0" fontId="28" fillId="0" borderId="22" xfId="78" applyFont="1" applyBorder="1" applyAlignment="1">
      <alignment horizontal="center" wrapText="1"/>
    </xf>
    <xf numFmtId="0" fontId="28" fillId="0" borderId="0" xfId="78" applyFont="1" applyBorder="1" applyAlignment="1">
      <alignment horizontal="center" wrapText="1"/>
    </xf>
    <xf numFmtId="3" fontId="86" fillId="0" borderId="0" xfId="78" applyNumberFormat="1" applyFont="1" applyBorder="1" applyAlignment="1">
      <alignment vertical="center"/>
    </xf>
    <xf numFmtId="3" fontId="87" fillId="0" borderId="0" xfId="78" applyNumberFormat="1" applyFont="1" applyBorder="1" applyAlignment="1">
      <alignment vertical="center"/>
    </xf>
    <xf numFmtId="3" fontId="86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44" fillId="0" borderId="68" xfId="0" applyFont="1" applyBorder="1"/>
    <xf numFmtId="3" fontId="25" fillId="0" borderId="68" xfId="78" applyNumberFormat="1" applyFont="1" applyBorder="1" applyAlignment="1">
      <alignment vertical="center"/>
    </xf>
    <xf numFmtId="0" fontId="44" fillId="0" borderId="0" xfId="0" applyFont="1" applyAlignment="1">
      <alignment vertical="center" wrapText="1"/>
    </xf>
    <xf numFmtId="0" fontId="44" fillId="0" borderId="41" xfId="0" applyFont="1" applyBorder="1"/>
    <xf numFmtId="0" fontId="43" fillId="0" borderId="41" xfId="0" applyFont="1" applyBorder="1"/>
    <xf numFmtId="3" fontId="48" fillId="24" borderId="12" xfId="0" applyNumberFormat="1" applyFont="1" applyFill="1" applyBorder="1" applyAlignment="1">
      <alignment horizontal="right" vertical="center"/>
    </xf>
    <xf numFmtId="165" fontId="54" fillId="0" borderId="12" xfId="0" applyNumberFormat="1" applyFont="1" applyBorder="1"/>
    <xf numFmtId="171" fontId="48" fillId="24" borderId="12" xfId="0" applyNumberFormat="1" applyFont="1" applyFill="1" applyBorder="1" applyAlignment="1">
      <alignment horizontal="right" vertical="center"/>
    </xf>
    <xf numFmtId="0" fontId="152" fillId="0" borderId="0" xfId="0" applyFont="1"/>
    <xf numFmtId="0" fontId="53" fillId="0" borderId="20" xfId="0" applyFont="1" applyBorder="1"/>
    <xf numFmtId="3" fontId="26" fillId="0" borderId="20" xfId="0" applyNumberFormat="1" applyFont="1" applyBorder="1"/>
    <xf numFmtId="0" fontId="20" fillId="0" borderId="20" xfId="0" applyFont="1" applyBorder="1"/>
    <xf numFmtId="3" fontId="23" fillId="0" borderId="20" xfId="0" applyNumberFormat="1" applyFont="1" applyBorder="1"/>
    <xf numFmtId="167" fontId="100" fillId="0" borderId="12" xfId="0" applyNumberFormat="1" applyFont="1" applyBorder="1" applyAlignment="1">
      <alignment horizontal="right"/>
    </xf>
    <xf numFmtId="0" fontId="53" fillId="0" borderId="45" xfId="0" applyFont="1" applyBorder="1"/>
    <xf numFmtId="3" fontId="26" fillId="0" borderId="98" xfId="0" applyNumberFormat="1" applyFont="1" applyBorder="1"/>
    <xf numFmtId="3" fontId="26" fillId="0" borderId="103" xfId="0" applyNumberFormat="1" applyFont="1" applyBorder="1"/>
    <xf numFmtId="0" fontId="53" fillId="0" borderId="98" xfId="0" applyFont="1" applyBorder="1"/>
    <xf numFmtId="49" fontId="35" fillId="0" borderId="0" xfId="78" applyNumberFormat="1" applyFont="1" applyBorder="1" applyAlignment="1">
      <alignment horizontal="center" vertical="center" wrapText="1"/>
    </xf>
    <xf numFmtId="0" fontId="55" fillId="0" borderId="0" xfId="0" applyFont="1" applyBorder="1" applyAlignment="1"/>
    <xf numFmtId="0" fontId="1" fillId="0" borderId="0" xfId="70" applyAlignment="1">
      <alignment vertical="center"/>
    </xf>
    <xf numFmtId="3" fontId="93" fillId="0" borderId="68" xfId="0" applyNumberFormat="1" applyFont="1" applyBorder="1" applyAlignment="1">
      <alignment horizontal="center" vertical="center" wrapText="1"/>
    </xf>
    <xf numFmtId="0" fontId="35" fillId="0" borderId="0" xfId="78" applyFont="1" applyAlignment="1">
      <alignment vertical="center" wrapText="1"/>
    </xf>
    <xf numFmtId="3" fontId="31" fillId="0" borderId="24" xfId="71" applyNumberFormat="1" applyFont="1" applyBorder="1" applyAlignment="1">
      <alignment horizontal="right" vertical="center" wrapText="1"/>
    </xf>
    <xf numFmtId="3" fontId="58" fillId="0" borderId="22" xfId="0" applyNumberFormat="1" applyFont="1" applyBorder="1" applyAlignment="1">
      <alignment horizontal="right" vertical="center"/>
    </xf>
    <xf numFmtId="3" fontId="58" fillId="0" borderId="0" xfId="0" applyNumberFormat="1" applyFont="1" applyBorder="1" applyAlignment="1">
      <alignment horizontal="right" vertical="center"/>
    </xf>
    <xf numFmtId="3" fontId="58" fillId="0" borderId="19" xfId="0" applyNumberFormat="1" applyFont="1" applyBorder="1" applyAlignment="1">
      <alignment horizontal="right" vertical="center"/>
    </xf>
    <xf numFmtId="3" fontId="58" fillId="0" borderId="62" xfId="0" applyNumberFormat="1" applyFont="1" applyBorder="1" applyAlignment="1">
      <alignment horizontal="right" vertical="center"/>
    </xf>
    <xf numFmtId="3" fontId="58" fillId="0" borderId="68" xfId="0" applyNumberFormat="1" applyFont="1" applyBorder="1" applyAlignment="1">
      <alignment horizontal="right" vertical="center"/>
    </xf>
    <xf numFmtId="0" fontId="23" fillId="0" borderId="68" xfId="0" applyFont="1" applyBorder="1"/>
    <xf numFmtId="0" fontId="22" fillId="0" borderId="131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6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/>
    </xf>
    <xf numFmtId="0" fontId="98" fillId="0" borderId="12" xfId="0" applyFont="1" applyBorder="1" applyAlignment="1">
      <alignment horizontal="right"/>
    </xf>
    <xf numFmtId="0" fontId="100" fillId="0" borderId="12" xfId="0" applyFont="1" applyBorder="1" applyAlignment="1">
      <alignment horizontal="right"/>
    </xf>
    <xf numFmtId="0" fontId="53" fillId="0" borderId="24" xfId="77" applyFont="1" applyBorder="1" applyAlignment="1">
      <alignment horizontal="center"/>
    </xf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100" fillId="0" borderId="24" xfId="72" applyFont="1" applyBorder="1" applyAlignment="1">
      <alignment horizontal="center"/>
    </xf>
    <xf numFmtId="0" fontId="100" fillId="0" borderId="24" xfId="72" applyFont="1" applyFill="1" applyBorder="1" applyAlignment="1">
      <alignment horizontal="center"/>
    </xf>
    <xf numFmtId="0" fontId="100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100" fillId="0" borderId="24" xfId="72" applyFont="1" applyBorder="1" applyAlignment="1">
      <alignment horizontal="center" wrapText="1"/>
    </xf>
    <xf numFmtId="49" fontId="100" fillId="0" borderId="24" xfId="72" applyNumberFormat="1" applyFont="1" applyFill="1" applyBorder="1" applyAlignment="1">
      <alignment horizontal="center" wrapText="1"/>
    </xf>
    <xf numFmtId="0" fontId="100" fillId="0" borderId="24" xfId="0" applyFont="1" applyBorder="1" applyAlignment="1">
      <alignment horizontal="center" wrapText="1"/>
    </xf>
    <xf numFmtId="0" fontId="98" fillId="0" borderId="0" xfId="72" applyFont="1" applyFill="1" applyBorder="1" applyAlignment="1">
      <alignment horizontal="center"/>
    </xf>
    <xf numFmtId="0" fontId="98" fillId="0" borderId="0" xfId="72" applyFont="1" applyFill="1" applyAlignment="1">
      <alignment horizontal="left" wrapText="1"/>
    </xf>
    <xf numFmtId="0" fontId="98" fillId="0" borderId="0" xfId="72" applyFont="1" applyFill="1" applyAlignment="1">
      <alignment wrapText="1"/>
    </xf>
    <xf numFmtId="0" fontId="98" fillId="0" borderId="0" xfId="72" applyFont="1" applyFill="1" applyAlignment="1">
      <alignment horizontal="center"/>
    </xf>
    <xf numFmtId="3" fontId="98" fillId="0" borderId="0" xfId="72" applyNumberFormat="1" applyFont="1" applyFill="1" applyAlignment="1">
      <alignment wrapText="1"/>
    </xf>
    <xf numFmtId="0" fontId="98" fillId="0" borderId="0" xfId="72" applyFont="1" applyFill="1" applyAlignment="1">
      <alignment horizontal="left"/>
    </xf>
    <xf numFmtId="0" fontId="98" fillId="0" borderId="0" xfId="72" applyFont="1" applyFill="1" applyAlignment="1"/>
    <xf numFmtId="3" fontId="98" fillId="0" borderId="0" xfId="72" applyNumberFormat="1" applyFont="1" applyFill="1" applyAlignment="1"/>
    <xf numFmtId="14" fontId="98" fillId="0" borderId="0" xfId="72" applyNumberFormat="1" applyFont="1" applyFill="1" applyAlignment="1">
      <alignment horizontal="center"/>
    </xf>
    <xf numFmtId="0" fontId="98" fillId="0" borderId="0" xfId="72" applyFont="1" applyFill="1" applyBorder="1" applyAlignment="1">
      <alignment horizontal="left"/>
    </xf>
    <xf numFmtId="0" fontId="98" fillId="0" borderId="0" xfId="72" applyFont="1" applyFill="1" applyBorder="1" applyAlignment="1">
      <alignment horizontal="left" wrapText="1"/>
    </xf>
    <xf numFmtId="14" fontId="98" fillId="0" borderId="0" xfId="72" applyNumberFormat="1" applyFont="1" applyFill="1" applyBorder="1" applyAlignment="1">
      <alignment horizontal="center"/>
    </xf>
    <xf numFmtId="3" fontId="98" fillId="0" borderId="0" xfId="72" applyNumberFormat="1" applyFont="1" applyFill="1" applyBorder="1" applyAlignment="1">
      <alignment horizontal="right"/>
    </xf>
    <xf numFmtId="0" fontId="98" fillId="0" borderId="0" xfId="72" applyFont="1" applyFill="1" applyBorder="1" applyAlignment="1" applyProtection="1">
      <alignment wrapText="1"/>
      <protection locked="0"/>
    </xf>
    <xf numFmtId="14" fontId="98" fillId="0" borderId="0" xfId="72" applyNumberFormat="1" applyFont="1" applyFill="1" applyBorder="1" applyAlignment="1" applyProtection="1">
      <alignment horizontal="center"/>
      <protection locked="0"/>
    </xf>
    <xf numFmtId="3" fontId="98" fillId="0" borderId="0" xfId="72" applyNumberFormat="1" applyFont="1" applyFill="1" applyBorder="1" applyAlignment="1" applyProtection="1">
      <alignment horizontal="right" wrapText="1"/>
      <protection locked="0"/>
    </xf>
    <xf numFmtId="3" fontId="98" fillId="0" borderId="0" xfId="72" applyNumberFormat="1" applyFont="1" applyFill="1" applyBorder="1" applyAlignment="1" applyProtection="1">
      <protection locked="0"/>
    </xf>
    <xf numFmtId="0" fontId="98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8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8" fillId="0" borderId="0" xfId="0" applyNumberFormat="1" applyFont="1" applyFill="1" applyAlignment="1">
      <alignment horizontal="center"/>
    </xf>
    <xf numFmtId="0" fontId="153" fillId="0" borderId="0" xfId="0" applyFont="1" applyFill="1" applyAlignment="1">
      <alignment horizontal="left"/>
    </xf>
    <xf numFmtId="0" fontId="98" fillId="0" borderId="0" xfId="0" applyFont="1" applyFill="1" applyAlignment="1">
      <alignment horizontal="center"/>
    </xf>
    <xf numFmtId="0" fontId="98" fillId="0" borderId="0" xfId="0" applyFont="1" applyFill="1"/>
    <xf numFmtId="0" fontId="153" fillId="0" borderId="0" xfId="0" applyFont="1" applyFill="1"/>
    <xf numFmtId="0" fontId="153" fillId="0" borderId="0" xfId="0" applyFont="1"/>
    <xf numFmtId="0" fontId="0" fillId="0" borderId="0" xfId="0" applyFont="1" applyFill="1" applyAlignment="1">
      <alignment horizontal="center"/>
    </xf>
    <xf numFmtId="3" fontId="53" fillId="0" borderId="0" xfId="0" applyNumberFormat="1" applyFont="1" applyFill="1"/>
    <xf numFmtId="3" fontId="100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3" fontId="59" fillId="0" borderId="63" xfId="0" applyNumberFormat="1" applyFont="1" applyBorder="1" applyAlignment="1">
      <alignment horizontal="right" vertical="center"/>
    </xf>
    <xf numFmtId="0" fontId="98" fillId="0" borderId="15" xfId="0" applyFont="1" applyBorder="1" applyAlignment="1">
      <alignment wrapText="1"/>
    </xf>
    <xf numFmtId="0" fontId="100" fillId="0" borderId="24" xfId="0" applyFont="1" applyBorder="1"/>
    <xf numFmtId="0" fontId="101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/>
    </xf>
    <xf numFmtId="0" fontId="100" fillId="0" borderId="24" xfId="0" applyFont="1" applyBorder="1" applyAlignment="1">
      <alignment horizontal="right"/>
    </xf>
    <xf numFmtId="165" fontId="100" fillId="0" borderId="24" xfId="0" applyNumberFormat="1" applyFont="1" applyBorder="1" applyAlignment="1">
      <alignment horizontal="right"/>
    </xf>
    <xf numFmtId="1" fontId="100" fillId="0" borderId="24" xfId="0" applyNumberFormat="1" applyFont="1" applyBorder="1" applyAlignment="1">
      <alignment horizontal="right"/>
    </xf>
    <xf numFmtId="167" fontId="100" fillId="0" borderId="24" xfId="0" applyNumberFormat="1" applyFont="1" applyBorder="1" applyAlignment="1">
      <alignment horizontal="right"/>
    </xf>
    <xf numFmtId="0" fontId="25" fillId="0" borderId="27" xfId="0" applyFont="1" applyBorder="1" applyAlignment="1">
      <alignment horizontal="left" vertical="center"/>
    </xf>
    <xf numFmtId="3" fontId="137" fillId="0" borderId="27" xfId="0" applyNumberFormat="1" applyFont="1" applyBorder="1"/>
    <xf numFmtId="3" fontId="25" fillId="0" borderId="27" xfId="0" applyNumberFormat="1" applyFont="1" applyFill="1" applyBorder="1"/>
    <xf numFmtId="0" fontId="33" fillId="0" borderId="82" xfId="0" applyFont="1" applyBorder="1"/>
    <xf numFmtId="0" fontId="25" fillId="0" borderId="27" xfId="0" applyFont="1" applyBorder="1" applyAlignment="1">
      <alignment horizontal="left"/>
    </xf>
    <xf numFmtId="0" fontId="28" fillId="0" borderId="133" xfId="0" applyFont="1" applyBorder="1" applyAlignment="1">
      <alignment horizontal="center"/>
    </xf>
    <xf numFmtId="0" fontId="25" fillId="0" borderId="41" xfId="0" applyFont="1" applyBorder="1" applyAlignment="1">
      <alignment horizontal="left" vertical="center"/>
    </xf>
    <xf numFmtId="3" fontId="25" fillId="0" borderId="41" xfId="0" applyNumberFormat="1" applyFont="1" applyBorder="1"/>
    <xf numFmtId="0" fontId="36" fillId="0" borderId="134" xfId="0" applyFont="1" applyBorder="1"/>
    <xf numFmtId="3" fontId="25" fillId="0" borderId="71" xfId="0" applyNumberFormat="1" applyFont="1" applyBorder="1"/>
    <xf numFmtId="0" fontId="35" fillId="0" borderId="134" xfId="0" applyFont="1" applyBorder="1"/>
    <xf numFmtId="3" fontId="28" fillId="0" borderId="0" xfId="0" applyNumberFormat="1" applyFont="1" applyAlignment="1">
      <alignment wrapText="1"/>
    </xf>
    <xf numFmtId="0" fontId="34" fillId="0" borderId="49" xfId="0" applyFont="1" applyBorder="1" applyAlignment="1">
      <alignment horizontal="center" vertical="center"/>
    </xf>
    <xf numFmtId="3" fontId="33" fillId="0" borderId="22" xfId="0" applyNumberFormat="1" applyFont="1" applyBorder="1"/>
    <xf numFmtId="49" fontId="58" fillId="0" borderId="0" xfId="78" applyNumberFormat="1" applyFont="1" applyBorder="1" applyAlignment="1">
      <alignment horizontal="center" vertical="center" wrapText="1"/>
    </xf>
    <xf numFmtId="0" fontId="61" fillId="0" borderId="0" xfId="78" applyFont="1" applyBorder="1"/>
    <xf numFmtId="0" fontId="20" fillId="0" borderId="0" xfId="0" applyFont="1" applyAlignment="1">
      <alignment horizontal="center" vertical="center"/>
    </xf>
    <xf numFmtId="0" fontId="43" fillId="0" borderId="68" xfId="0" applyFont="1" applyBorder="1" applyAlignment="1">
      <alignment vertical="center" wrapText="1"/>
    </xf>
    <xf numFmtId="0" fontId="41" fillId="0" borderId="0" xfId="0" applyFont="1" applyBorder="1"/>
    <xf numFmtId="0" fontId="24" fillId="0" borderId="0" xfId="0" applyFont="1" applyAlignment="1">
      <alignment vertical="center" wrapText="1"/>
    </xf>
    <xf numFmtId="3" fontId="43" fillId="0" borderId="22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3" fontId="53" fillId="0" borderId="68" xfId="0" applyNumberFormat="1" applyFont="1" applyBorder="1" applyAlignment="1">
      <alignment vertical="center"/>
    </xf>
    <xf numFmtId="3" fontId="44" fillId="0" borderId="22" xfId="0" applyNumberFormat="1" applyFont="1" applyBorder="1" applyAlignment="1">
      <alignment vertical="center"/>
    </xf>
    <xf numFmtId="3" fontId="44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53" fillId="0" borderId="68" xfId="0" applyFont="1" applyBorder="1" applyAlignment="1">
      <alignment vertical="center"/>
    </xf>
    <xf numFmtId="3" fontId="42" fillId="0" borderId="0" xfId="0" applyNumberFormat="1" applyFont="1" applyBorder="1" applyAlignment="1">
      <alignment vertical="center"/>
    </xf>
    <xf numFmtId="0" fontId="20" fillId="0" borderId="68" xfId="0" applyFont="1" applyBorder="1" applyAlignment="1">
      <alignment vertical="center"/>
    </xf>
    <xf numFmtId="3" fontId="53" fillId="0" borderId="22" xfId="0" applyNumberFormat="1" applyFont="1" applyBorder="1" applyAlignment="1">
      <alignment vertical="center"/>
    </xf>
    <xf numFmtId="3" fontId="53" fillId="0" borderId="0" xfId="0" applyNumberFormat="1" applyFont="1" applyBorder="1" applyAlignment="1">
      <alignment vertical="center"/>
    </xf>
    <xf numFmtId="3" fontId="53" fillId="0" borderId="94" xfId="0" applyNumberFormat="1" applyFont="1" applyBorder="1" applyAlignment="1">
      <alignment vertical="center"/>
    </xf>
    <xf numFmtId="3" fontId="53" fillId="0" borderId="95" xfId="0" applyNumberFormat="1" applyFont="1" applyBorder="1" applyAlignment="1">
      <alignment vertical="center"/>
    </xf>
    <xf numFmtId="3" fontId="53" fillId="0" borderId="96" xfId="0" applyNumberFormat="1" applyFont="1" applyBorder="1" applyAlignment="1">
      <alignment vertical="center"/>
    </xf>
    <xf numFmtId="3" fontId="128" fillId="0" borderId="0" xfId="0" applyNumberFormat="1" applyFont="1" applyBorder="1"/>
    <xf numFmtId="3" fontId="128" fillId="0" borderId="68" xfId="0" applyNumberFormat="1" applyFont="1" applyBorder="1"/>
    <xf numFmtId="3" fontId="30" fillId="0" borderId="59" xfId="0" applyNumberFormat="1" applyFont="1" applyFill="1" applyBorder="1"/>
    <xf numFmtId="0" fontId="30" fillId="0" borderId="81" xfId="0" applyFont="1" applyBorder="1"/>
    <xf numFmtId="3" fontId="30" fillId="0" borderId="66" xfId="0" applyNumberFormat="1" applyFont="1" applyFill="1" applyBorder="1"/>
    <xf numFmtId="3" fontId="25" fillId="0" borderId="67" xfId="0" applyNumberFormat="1" applyFont="1" applyBorder="1"/>
    <xf numFmtId="3" fontId="25" fillId="0" borderId="66" xfId="0" applyNumberFormat="1" applyFont="1" applyFill="1" applyBorder="1"/>
    <xf numFmtId="3" fontId="25" fillId="0" borderId="135" xfId="0" applyNumberFormat="1" applyFont="1" applyBorder="1"/>
    <xf numFmtId="0" fontId="30" fillId="0" borderId="88" xfId="0" applyFont="1" applyBorder="1"/>
    <xf numFmtId="3" fontId="30" fillId="0" borderId="136" xfId="0" applyNumberFormat="1" applyFont="1" applyBorder="1"/>
    <xf numFmtId="0" fontId="25" fillId="0" borderId="137" xfId="0" applyFont="1" applyBorder="1"/>
    <xf numFmtId="3" fontId="25" fillId="0" borderId="138" xfId="0" applyNumberFormat="1" applyFont="1" applyBorder="1"/>
    <xf numFmtId="3" fontId="25" fillId="0" borderId="136" xfId="0" applyNumberFormat="1" applyFont="1" applyBorder="1"/>
    <xf numFmtId="0" fontId="25" fillId="0" borderId="139" xfId="0" applyFont="1" applyBorder="1"/>
    <xf numFmtId="3" fontId="25" fillId="0" borderId="34" xfId="0" applyNumberFormat="1" applyFont="1" applyBorder="1"/>
    <xf numFmtId="3" fontId="34" fillId="0" borderId="0" xfId="0" applyNumberFormat="1" applyFont="1" applyBorder="1" applyAlignment="1">
      <alignment horizontal="right"/>
    </xf>
    <xf numFmtId="3" fontId="64" fillId="0" borderId="12" xfId="0" applyNumberFormat="1" applyFont="1" applyBorder="1" applyAlignment="1">
      <alignment horizontal="center" vertical="center"/>
    </xf>
    <xf numFmtId="3" fontId="64" fillId="0" borderId="29" xfId="0" applyNumberFormat="1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69" fillId="0" borderId="0" xfId="0" applyFont="1" applyBorder="1" applyAlignment="1">
      <alignment horizontal="center"/>
    </xf>
    <xf numFmtId="0" fontId="64" fillId="0" borderId="29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99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59" fillId="0" borderId="12" xfId="0" applyNumberFormat="1" applyFont="1" applyBorder="1" applyAlignment="1">
      <alignment horizontal="center" vertical="center"/>
    </xf>
    <xf numFmtId="3" fontId="59" fillId="0" borderId="29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right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30" fillId="0" borderId="100" xfId="0" applyNumberFormat="1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4" fillId="0" borderId="10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7" fillId="0" borderId="0" xfId="75" applyFont="1" applyAlignment="1">
      <alignment horizontal="right"/>
    </xf>
    <xf numFmtId="3" fontId="110" fillId="0" borderId="34" xfId="71" applyNumberFormat="1" applyFont="1" applyBorder="1" applyAlignment="1">
      <alignment horizontal="right" vertical="center"/>
    </xf>
    <xf numFmtId="3" fontId="110" fillId="0" borderId="59" xfId="71" applyNumberFormat="1" applyFont="1" applyBorder="1" applyAlignment="1">
      <alignment horizontal="right" vertical="center"/>
    </xf>
    <xf numFmtId="0" fontId="75" fillId="0" borderId="101" xfId="71" applyFont="1" applyFill="1" applyBorder="1" applyAlignment="1">
      <alignment horizontal="center" vertical="center"/>
    </xf>
    <xf numFmtId="0" fontId="75" fillId="0" borderId="102" xfId="7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/>
    </xf>
    <xf numFmtId="3" fontId="75" fillId="0" borderId="27" xfId="71" applyNumberFormat="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 wrapText="1"/>
    </xf>
    <xf numFmtId="3" fontId="75" fillId="0" borderId="27" xfId="71" applyNumberFormat="1" applyFont="1" applyFill="1" applyBorder="1" applyAlignment="1">
      <alignment horizontal="center" vertical="center" wrapText="1"/>
    </xf>
    <xf numFmtId="3" fontId="75" fillId="0" borderId="87" xfId="71" applyNumberFormat="1" applyFont="1" applyFill="1" applyBorder="1" applyAlignment="1">
      <alignment horizontal="center" vertical="center" wrapText="1"/>
    </xf>
    <xf numFmtId="0" fontId="117" fillId="0" borderId="0" xfId="71" applyFont="1" applyAlignment="1">
      <alignment horizontal="right" vertical="center"/>
    </xf>
    <xf numFmtId="0" fontId="29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32" fillId="0" borderId="0" xfId="71" applyFont="1" applyAlignment="1">
      <alignment horizontal="right" vertical="center"/>
    </xf>
    <xf numFmtId="3" fontId="27" fillId="0" borderId="0" xfId="0" applyNumberFormat="1" applyFont="1" applyBorder="1" applyAlignment="1">
      <alignment horizontal="right"/>
    </xf>
    <xf numFmtId="0" fontId="81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8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4" fillId="0" borderId="0" xfId="0" applyFont="1" applyBorder="1" applyAlignment="1">
      <alignment horizontal="right"/>
    </xf>
    <xf numFmtId="0" fontId="25" fillId="0" borderId="28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right"/>
    </xf>
    <xf numFmtId="0" fontId="67" fillId="0" borderId="14" xfId="0" applyFont="1" applyBorder="1" applyAlignment="1">
      <alignment horizontal="right"/>
    </xf>
    <xf numFmtId="0" fontId="28" fillId="0" borderId="24" xfId="0" applyFont="1" applyBorder="1" applyAlignment="1">
      <alignment horizontal="center" vertical="center" wrapText="1"/>
    </xf>
    <xf numFmtId="3" fontId="150" fillId="0" borderId="34" xfId="71" applyNumberFormat="1" applyFont="1" applyBorder="1" applyAlignment="1">
      <alignment horizontal="right" vertical="center"/>
    </xf>
    <xf numFmtId="3" fontId="150" fillId="0" borderId="59" xfId="71" applyNumberFormat="1" applyFont="1" applyBorder="1" applyAlignment="1">
      <alignment horizontal="right" vertical="center"/>
    </xf>
    <xf numFmtId="0" fontId="25" fillId="0" borderId="0" xfId="76" applyFont="1" applyBorder="1" applyAlignment="1">
      <alignment horizontal="center"/>
    </xf>
    <xf numFmtId="0" fontId="34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70" fillId="0" borderId="0" xfId="0" applyFont="1" applyBorder="1" applyAlignment="1">
      <alignment horizontal="right"/>
    </xf>
    <xf numFmtId="3" fontId="29" fillId="0" borderId="95" xfId="0" applyNumberFormat="1" applyFont="1" applyBorder="1" applyAlignment="1">
      <alignment horizontal="right"/>
    </xf>
    <xf numFmtId="0" fontId="0" fillId="0" borderId="95" xfId="0" applyBorder="1" applyAlignment="1"/>
    <xf numFmtId="0" fontId="29" fillId="0" borderId="24" xfId="0" applyFont="1" applyBorder="1" applyAlignment="1">
      <alignment horizontal="center" vertical="center" wrapText="1"/>
    </xf>
    <xf numFmtId="0" fontId="110" fillId="0" borderId="24" xfId="0" applyFont="1" applyBorder="1" applyAlignment="1">
      <alignment horizontal="center" vertical="center" wrapText="1"/>
    </xf>
    <xf numFmtId="3" fontId="110" fillId="0" borderId="24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/>
    </xf>
    <xf numFmtId="0" fontId="31" fillId="0" borderId="0" xfId="0" applyFont="1" applyAlignment="1"/>
    <xf numFmtId="3" fontId="34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103" xfId="78" applyNumberFormat="1" applyFont="1" applyBorder="1" applyAlignment="1">
      <alignment horizontal="center" vertical="center"/>
    </xf>
    <xf numFmtId="3" fontId="25" fillId="0" borderId="61" xfId="78" applyNumberFormat="1" applyFont="1" applyBorder="1" applyAlignment="1">
      <alignment horizontal="right"/>
    </xf>
    <xf numFmtId="0" fontId="0" fillId="0" borderId="61" xfId="0" applyBorder="1" applyAlignment="1"/>
    <xf numFmtId="49" fontId="25" fillId="0" borderId="104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5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6" xfId="0" applyNumberFormat="1" applyFont="1" applyBorder="1" applyAlignment="1">
      <alignment horizontal="center" vertical="center" wrapText="1"/>
    </xf>
    <xf numFmtId="3" fontId="25" fillId="0" borderId="107" xfId="0" applyNumberFormat="1" applyFont="1" applyBorder="1" applyAlignment="1">
      <alignment horizontal="center" vertical="center" wrapText="1"/>
    </xf>
    <xf numFmtId="0" fontId="30" fillId="0" borderId="0" xfId="78" applyFont="1" applyAlignment="1">
      <alignment horizontal="center"/>
    </xf>
    <xf numFmtId="3" fontId="25" fillId="0" borderId="108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3" fillId="0" borderId="95" xfId="0" applyFont="1" applyBorder="1" applyAlignment="1">
      <alignment horizontal="right"/>
    </xf>
    <xf numFmtId="0" fontId="0" fillId="0" borderId="95" xfId="0" applyBorder="1" applyAlignment="1">
      <alignment horizontal="right"/>
    </xf>
    <xf numFmtId="3" fontId="48" fillId="0" borderId="24" xfId="0" applyNumberFormat="1" applyFont="1" applyBorder="1" applyAlignment="1">
      <alignment horizontal="center" vertical="center" wrapText="1"/>
    </xf>
    <xf numFmtId="3" fontId="44" fillId="0" borderId="24" xfId="0" applyNumberFormat="1" applyFont="1" applyBorder="1" applyAlignment="1">
      <alignment horizontal="center"/>
    </xf>
    <xf numFmtId="0" fontId="47" fillId="0" borderId="24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64" fillId="0" borderId="109" xfId="0" applyFont="1" applyBorder="1" applyAlignment="1">
      <alignment horizontal="center" vertical="center"/>
    </xf>
    <xf numFmtId="3" fontId="25" fillId="0" borderId="100" xfId="0" applyNumberFormat="1" applyFont="1" applyBorder="1" applyAlignment="1">
      <alignment horizontal="center" vertical="center"/>
    </xf>
    <xf numFmtId="0" fontId="64" fillId="0" borderId="0" xfId="74" applyFont="1" applyBorder="1" applyAlignment="1">
      <alignment horizontal="center"/>
    </xf>
    <xf numFmtId="3" fontId="155" fillId="0" borderId="100" xfId="0" applyNumberFormat="1" applyFont="1" applyBorder="1" applyAlignment="1">
      <alignment horizontal="center" vertical="center"/>
    </xf>
    <xf numFmtId="0" fontId="64" fillId="0" borderId="49" xfId="0" applyFont="1" applyFill="1" applyBorder="1" applyAlignment="1"/>
    <xf numFmtId="0" fontId="78" fillId="0" borderId="87" xfId="0" applyFont="1" applyBorder="1" applyAlignment="1"/>
    <xf numFmtId="0" fontId="64" fillId="0" borderId="118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 wrapText="1"/>
    </xf>
    <xf numFmtId="3" fontId="64" fillId="0" borderId="12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108" xfId="0" applyNumberFormat="1" applyFont="1" applyBorder="1" applyAlignment="1">
      <alignment horizontal="center" vertical="center" wrapText="1"/>
    </xf>
    <xf numFmtId="3" fontId="64" fillId="0" borderId="110" xfId="0" applyNumberFormat="1" applyFont="1" applyBorder="1" applyAlignment="1">
      <alignment horizontal="center" vertical="center" wrapText="1"/>
    </xf>
    <xf numFmtId="3" fontId="57" fillId="0" borderId="111" xfId="0" applyNumberFormat="1" applyFont="1" applyBorder="1" applyAlignment="1">
      <alignment horizontal="center" vertical="center" wrapText="1"/>
    </xf>
    <xf numFmtId="3" fontId="57" fillId="0" borderId="112" xfId="0" applyNumberFormat="1" applyFont="1" applyBorder="1" applyAlignment="1">
      <alignment horizontal="center" vertical="center" wrapText="1"/>
    </xf>
    <xf numFmtId="0" fontId="57" fillId="0" borderId="113" xfId="0" applyFont="1" applyBorder="1" applyAlignment="1">
      <alignment horizontal="center" vertical="center" textRotation="255"/>
    </xf>
    <xf numFmtId="0" fontId="57" fillId="0" borderId="114" xfId="0" applyFont="1" applyBorder="1" applyAlignment="1">
      <alignment horizontal="center" vertical="center" textRotation="255"/>
    </xf>
    <xf numFmtId="0" fontId="0" fillId="0" borderId="115" xfId="0" applyBorder="1" applyAlignment="1"/>
    <xf numFmtId="3" fontId="64" fillId="0" borderId="116" xfId="0" applyNumberFormat="1" applyFont="1" applyBorder="1" applyAlignment="1">
      <alignment horizontal="center" vertical="center" wrapText="1"/>
    </xf>
    <xf numFmtId="3" fontId="64" fillId="0" borderId="117" xfId="0" applyNumberFormat="1" applyFont="1" applyBorder="1" applyAlignment="1">
      <alignment horizontal="center" vertical="center" wrapText="1"/>
    </xf>
    <xf numFmtId="3" fontId="64" fillId="0" borderId="16" xfId="0" applyNumberFormat="1" applyFont="1" applyBorder="1" applyAlignment="1">
      <alignment horizontal="center" vertical="center"/>
    </xf>
    <xf numFmtId="3" fontId="64" fillId="0" borderId="119" xfId="0" applyNumberFormat="1" applyFont="1" applyBorder="1" applyAlignment="1">
      <alignment horizontal="center" vertical="center"/>
    </xf>
    <xf numFmtId="3" fontId="64" fillId="0" borderId="121" xfId="0" applyNumberFormat="1" applyFont="1" applyBorder="1" applyAlignment="1">
      <alignment horizontal="center" vertical="center"/>
    </xf>
    <xf numFmtId="3" fontId="64" fillId="0" borderId="120" xfId="0" applyNumberFormat="1" applyFont="1" applyBorder="1" applyAlignment="1">
      <alignment horizontal="center" vertical="center"/>
    </xf>
    <xf numFmtId="3" fontId="64" fillId="0" borderId="122" xfId="0" applyNumberFormat="1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right"/>
    </xf>
    <xf numFmtId="3" fontId="64" fillId="0" borderId="10" xfId="0" applyNumberFormat="1" applyFont="1" applyBorder="1" applyAlignment="1">
      <alignment horizontal="center" vertical="center"/>
    </xf>
    <xf numFmtId="3" fontId="78" fillId="0" borderId="10" xfId="0" applyNumberFormat="1" applyFont="1" applyBorder="1" applyAlignment="1">
      <alignment horizontal="center" vertical="center"/>
    </xf>
    <xf numFmtId="3" fontId="78" fillId="0" borderId="123" xfId="0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124" xfId="0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78" fillId="0" borderId="0" xfId="0" applyFont="1" applyAlignment="1">
      <alignment horizontal="right"/>
    </xf>
    <xf numFmtId="0" fontId="78" fillId="0" borderId="0" xfId="0" applyFont="1" applyAlignment="1"/>
    <xf numFmtId="3" fontId="58" fillId="0" borderId="0" xfId="0" applyNumberFormat="1" applyFont="1" applyAlignment="1">
      <alignment horizontal="center"/>
    </xf>
    <xf numFmtId="3" fontId="64" fillId="0" borderId="61" xfId="0" applyNumberFormat="1" applyFont="1" applyBorder="1" applyAlignment="1">
      <alignment horizontal="right"/>
    </xf>
    <xf numFmtId="3" fontId="64" fillId="0" borderId="111" xfId="0" applyNumberFormat="1" applyFont="1" applyBorder="1" applyAlignment="1">
      <alignment horizontal="center" vertical="center" wrapText="1"/>
    </xf>
    <xf numFmtId="0" fontId="64" fillId="0" borderId="125" xfId="0" applyFont="1" applyBorder="1" applyAlignment="1">
      <alignment horizontal="center" vertical="center" readingOrder="2"/>
    </xf>
    <xf numFmtId="0" fontId="78" fillId="0" borderId="123" xfId="0" applyFont="1" applyBorder="1" applyAlignment="1">
      <alignment horizontal="center" vertical="center"/>
    </xf>
    <xf numFmtId="0" fontId="57" fillId="0" borderId="104" xfId="0" applyFont="1" applyBorder="1" applyAlignment="1">
      <alignment horizontal="center" vertical="center" textRotation="255"/>
    </xf>
    <xf numFmtId="3" fontId="64" fillId="0" borderId="17" xfId="0" applyNumberFormat="1" applyFont="1" applyBorder="1" applyAlignment="1">
      <alignment horizontal="center" vertical="center"/>
    </xf>
    <xf numFmtId="0" fontId="90" fillId="0" borderId="93" xfId="0" applyFont="1" applyBorder="1" applyAlignment="1">
      <alignment horizontal="center" vertical="center" wrapText="1"/>
    </xf>
    <xf numFmtId="0" fontId="90" fillId="0" borderId="68" xfId="0" applyFont="1" applyBorder="1" applyAlignment="1">
      <alignment horizontal="center" vertical="center" wrapText="1"/>
    </xf>
    <xf numFmtId="0" fontId="88" fillId="0" borderId="96" xfId="0" applyFont="1" applyBorder="1" applyAlignment="1">
      <alignment horizontal="center" vertical="center" wrapText="1"/>
    </xf>
    <xf numFmtId="0" fontId="59" fillId="0" borderId="49" xfId="0" applyFont="1" applyBorder="1" applyAlignment="1">
      <alignment horizontal="left"/>
    </xf>
    <xf numFmtId="0" fontId="59" fillId="0" borderId="74" xfId="0" applyFont="1" applyBorder="1" applyAlignment="1">
      <alignment horizontal="left"/>
    </xf>
    <xf numFmtId="3" fontId="64" fillId="0" borderId="126" xfId="0" applyNumberFormat="1" applyFont="1" applyBorder="1" applyAlignment="1">
      <alignment horizontal="center"/>
    </xf>
    <xf numFmtId="3" fontId="89" fillId="0" borderId="127" xfId="0" applyNumberFormat="1" applyFont="1" applyBorder="1" applyAlignment="1">
      <alignment horizontal="center"/>
    </xf>
    <xf numFmtId="3" fontId="90" fillId="0" borderId="126" xfId="0" applyNumberFormat="1" applyFont="1" applyBorder="1" applyAlignment="1">
      <alignment horizontal="center"/>
    </xf>
    <xf numFmtId="3" fontId="90" fillId="0" borderId="29" xfId="0" applyNumberFormat="1" applyFont="1" applyBorder="1" applyAlignment="1">
      <alignment horizontal="center" vertical="center" wrapText="1"/>
    </xf>
    <xf numFmtId="3" fontId="90" fillId="0" borderId="12" xfId="0" applyNumberFormat="1" applyFont="1" applyBorder="1" applyAlignment="1">
      <alignment horizontal="center" vertical="center" wrapText="1"/>
    </xf>
    <xf numFmtId="0" fontId="88" fillId="0" borderId="0" xfId="0" applyFont="1" applyBorder="1" applyAlignment="1"/>
    <xf numFmtId="0" fontId="90" fillId="0" borderId="0" xfId="0" applyFont="1" applyBorder="1" applyAlignment="1">
      <alignment horizontal="center"/>
    </xf>
    <xf numFmtId="0" fontId="88" fillId="0" borderId="0" xfId="0" applyFont="1" applyAlignment="1"/>
    <xf numFmtId="0" fontId="89" fillId="0" borderId="25" xfId="0" applyFont="1" applyBorder="1" applyAlignment="1">
      <alignment horizontal="center" vertical="center" textRotation="255"/>
    </xf>
    <xf numFmtId="0" fontId="89" fillId="0" borderId="26" xfId="0" applyFont="1" applyBorder="1" applyAlignment="1">
      <alignment horizontal="center" vertical="center" textRotation="255"/>
    </xf>
    <xf numFmtId="0" fontId="89" fillId="0" borderId="48" xfId="0" applyFont="1" applyBorder="1" applyAlignment="1">
      <alignment horizontal="center" vertical="center" textRotation="255"/>
    </xf>
    <xf numFmtId="3" fontId="90" fillId="0" borderId="28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08" xfId="0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3" fontId="90" fillId="0" borderId="128" xfId="0" applyNumberFormat="1" applyFont="1" applyBorder="1" applyAlignment="1">
      <alignment horizontal="center" vertical="center" wrapText="1"/>
    </xf>
    <xf numFmtId="3" fontId="90" fillId="0" borderId="63" xfId="0" applyNumberFormat="1" applyFont="1" applyBorder="1" applyAlignment="1">
      <alignment horizontal="center" vertical="center" wrapText="1"/>
    </xf>
    <xf numFmtId="0" fontId="88" fillId="0" borderId="129" xfId="0" applyFont="1" applyBorder="1" applyAlignment="1">
      <alignment horizontal="center" vertical="center" wrapText="1"/>
    </xf>
    <xf numFmtId="0" fontId="90" fillId="0" borderId="95" xfId="0" applyFont="1" applyBorder="1" applyAlignment="1">
      <alignment horizontal="right"/>
    </xf>
    <xf numFmtId="3" fontId="64" fillId="0" borderId="29" xfId="0" applyNumberFormat="1" applyFont="1" applyBorder="1" applyAlignment="1">
      <alignment horizontal="center"/>
    </xf>
    <xf numFmtId="0" fontId="88" fillId="0" borderId="10" xfId="0" applyFont="1" applyBorder="1" applyAlignment="1">
      <alignment horizontal="center"/>
    </xf>
    <xf numFmtId="0" fontId="88" fillId="0" borderId="109" xfId="0" applyFont="1" applyBorder="1" applyAlignment="1">
      <alignment horizontal="center"/>
    </xf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3" fillId="0" borderId="51" xfId="0" applyFont="1" applyBorder="1" applyAlignment="1">
      <alignment horizontal="center" textRotation="255"/>
    </xf>
    <xf numFmtId="0" fontId="43" fillId="0" borderId="23" xfId="0" applyFont="1" applyBorder="1" applyAlignment="1">
      <alignment horizontal="center" textRotation="255"/>
    </xf>
    <xf numFmtId="0" fontId="4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4" fillId="0" borderId="5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4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3" fontId="74" fillId="0" borderId="55" xfId="0" applyNumberFormat="1" applyFont="1" applyBorder="1" applyAlignment="1">
      <alignment horizontal="center" vertical="center"/>
    </xf>
    <xf numFmtId="3" fontId="74" fillId="0" borderId="110" xfId="0" applyNumberFormat="1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/>
    </xf>
    <xf numFmtId="3" fontId="59" fillId="0" borderId="10" xfId="0" applyNumberFormat="1" applyFont="1" applyBorder="1" applyAlignment="1">
      <alignment horizontal="center" vertical="center"/>
    </xf>
    <xf numFmtId="3" fontId="59" fillId="0" borderId="2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25" fillId="0" borderId="10" xfId="0" applyNumberFormat="1" applyFont="1" applyBorder="1" applyAlignment="1">
      <alignment horizontal="center" vertical="center"/>
    </xf>
    <xf numFmtId="3" fontId="39" fillId="0" borderId="0" xfId="0" applyNumberFormat="1" applyFont="1" applyBorder="1" applyAlignment="1">
      <alignment horizontal="right"/>
    </xf>
    <xf numFmtId="0" fontId="53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55" fillId="0" borderId="0" xfId="0" applyFont="1" applyBorder="1" applyAlignment="1">
      <alignment horizontal="right"/>
    </xf>
    <xf numFmtId="0" fontId="48" fillId="0" borderId="0" xfId="0" applyFont="1" applyBorder="1" applyAlignment="1">
      <alignment horizontal="center" wrapText="1"/>
    </xf>
    <xf numFmtId="0" fontId="54" fillId="0" borderId="0" xfId="0" applyFont="1" applyBorder="1" applyAlignment="1">
      <alignment horizontal="left" wrapText="1"/>
    </xf>
    <xf numFmtId="0" fontId="56" fillId="0" borderId="12" xfId="0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43" fillId="0" borderId="12" xfId="0" applyFont="1" applyBorder="1" applyAlignment="1">
      <alignment horizontal="center" textRotation="255"/>
    </xf>
    <xf numFmtId="0" fontId="48" fillId="0" borderId="12" xfId="0" applyFont="1" applyBorder="1" applyAlignment="1">
      <alignment horizontal="center"/>
    </xf>
    <xf numFmtId="0" fontId="48" fillId="0" borderId="28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 wrapText="1"/>
    </xf>
    <xf numFmtId="0" fontId="100" fillId="0" borderId="0" xfId="72" applyFont="1" applyAlignment="1">
      <alignment horizontal="center"/>
    </xf>
    <xf numFmtId="0" fontId="100" fillId="0" borderId="0" xfId="72" applyFont="1" applyAlignment="1">
      <alignment horizontal="right"/>
    </xf>
    <xf numFmtId="0" fontId="113" fillId="0" borderId="24" xfId="72" applyFont="1" applyBorder="1" applyAlignment="1">
      <alignment horizontal="center"/>
    </xf>
    <xf numFmtId="0" fontId="48" fillId="0" borderId="103" xfId="72" applyFont="1" applyBorder="1" applyAlignment="1">
      <alignment horizontal="center" wrapText="1"/>
    </xf>
    <xf numFmtId="0" fontId="48" fillId="0" borderId="24" xfId="72" applyFont="1" applyBorder="1" applyAlignment="1">
      <alignment horizontal="center" vertical="center"/>
    </xf>
    <xf numFmtId="0" fontId="48" fillId="0" borderId="24" xfId="72" applyFont="1" applyBorder="1" applyAlignment="1">
      <alignment horizontal="center"/>
    </xf>
    <xf numFmtId="0" fontId="48" fillId="0" borderId="95" xfId="72" applyFont="1" applyBorder="1" applyAlignment="1">
      <alignment horizontal="center"/>
    </xf>
    <xf numFmtId="0" fontId="48" fillId="0" borderId="96" xfId="72" applyFont="1" applyBorder="1" applyAlignment="1">
      <alignment horizontal="center"/>
    </xf>
    <xf numFmtId="0" fontId="99" fillId="0" borderId="0" xfId="0" applyFont="1" applyBorder="1" applyAlignment="1">
      <alignment horizontal="right"/>
    </xf>
    <xf numFmtId="0" fontId="98" fillId="0" borderId="24" xfId="72" applyFont="1" applyBorder="1" applyAlignment="1">
      <alignment horizontal="center"/>
    </xf>
    <xf numFmtId="0" fontId="100" fillId="0" borderId="103" xfId="72" applyFont="1" applyBorder="1" applyAlignment="1">
      <alignment horizontal="center" wrapText="1"/>
    </xf>
    <xf numFmtId="0" fontId="100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0" fillId="0" borderId="0" xfId="72" applyFont="1" applyAlignment="1"/>
    <xf numFmtId="0" fontId="100" fillId="0" borderId="45" xfId="72" applyFont="1" applyBorder="1" applyAlignment="1">
      <alignment horizontal="center"/>
    </xf>
    <xf numFmtId="0" fontId="100" fillId="0" borderId="98" xfId="72" applyFont="1" applyBorder="1" applyAlignment="1">
      <alignment horizontal="center"/>
    </xf>
    <xf numFmtId="0" fontId="100" fillId="0" borderId="103" xfId="72" applyFont="1" applyBorder="1" applyAlignment="1">
      <alignment horizontal="center"/>
    </xf>
    <xf numFmtId="0" fontId="99" fillId="0" borderId="0" xfId="72" applyFont="1" applyAlignment="1">
      <alignment horizontal="right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52" fillId="0" borderId="0" xfId="73" applyFont="1" applyAlignment="1">
      <alignment horizontal="right"/>
    </xf>
    <xf numFmtId="0" fontId="20" fillId="0" borderId="24" xfId="73" applyFont="1" applyBorder="1" applyAlignment="1">
      <alignment horizontal="center"/>
    </xf>
    <xf numFmtId="0" fontId="53" fillId="0" borderId="0" xfId="73" applyFont="1" applyAlignment="1">
      <alignment horizontal="center"/>
    </xf>
    <xf numFmtId="0" fontId="35" fillId="0" borderId="0" xfId="77" applyFont="1" applyAlignment="1">
      <alignment horizontal="right"/>
    </xf>
    <xf numFmtId="0" fontId="20" fillId="0" borderId="24" xfId="77" applyFont="1" applyBorder="1" applyAlignment="1">
      <alignment horizontal="center"/>
    </xf>
    <xf numFmtId="0" fontId="53" fillId="0" borderId="0" xfId="77" applyFont="1" applyAlignment="1">
      <alignment horizontal="center"/>
    </xf>
    <xf numFmtId="0" fontId="53" fillId="0" borderId="24" xfId="77" applyFont="1" applyBorder="1" applyAlignment="1">
      <alignment horizontal="center"/>
    </xf>
    <xf numFmtId="0" fontId="53" fillId="0" borderId="25" xfId="77" applyFont="1" applyBorder="1" applyAlignment="1">
      <alignment horizontal="center" vertical="center"/>
    </xf>
    <xf numFmtId="0" fontId="53" fillId="0" borderId="48" xfId="77" applyFont="1" applyBorder="1" applyAlignment="1">
      <alignment horizontal="center" vertical="center"/>
    </xf>
    <xf numFmtId="0" fontId="53" fillId="0" borderId="25" xfId="77" applyFont="1" applyBorder="1" applyAlignment="1">
      <alignment horizontal="center" vertical="center" wrapText="1"/>
    </xf>
    <xf numFmtId="0" fontId="53" fillId="0" borderId="48" xfId="77" applyFont="1" applyBorder="1" applyAlignment="1">
      <alignment horizontal="center" vertical="center" wrapText="1"/>
    </xf>
    <xf numFmtId="0" fontId="53" fillId="0" borderId="44" xfId="77" applyFont="1" applyBorder="1" applyAlignment="1">
      <alignment horizontal="center" vertical="center"/>
    </xf>
    <xf numFmtId="0" fontId="53" fillId="0" borderId="94" xfId="77" applyFont="1" applyBorder="1" applyAlignment="1">
      <alignment horizontal="center" vertical="center"/>
    </xf>
    <xf numFmtId="0" fontId="53" fillId="0" borderId="95" xfId="77" applyFont="1" applyBorder="1" applyAlignment="1">
      <alignment horizontal="right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5"/>
  <sheetViews>
    <sheetView tabSelected="1" zoomScale="120" workbookViewId="0">
      <selection activeCell="B3" sqref="B3:I3"/>
    </sheetView>
  </sheetViews>
  <sheetFormatPr defaultColWidth="9.140625" defaultRowHeight="11.25" x14ac:dyDescent="0.2"/>
  <cols>
    <col min="1" max="1" width="3.85546875" style="157" customWidth="1"/>
    <col min="2" max="2" width="36.28515625" style="157" customWidth="1"/>
    <col min="3" max="3" width="13.28515625" style="158" customWidth="1"/>
    <col min="4" max="4" width="11.140625" style="158" customWidth="1"/>
    <col min="5" max="5" width="13.42578125" style="158" customWidth="1"/>
    <col min="6" max="6" width="36.85546875" style="158" customWidth="1"/>
    <col min="7" max="8" width="12" style="158" customWidth="1"/>
    <col min="9" max="9" width="14" style="158" customWidth="1"/>
    <col min="10" max="12" width="0" style="157" hidden="1" customWidth="1"/>
    <col min="13" max="22" width="9.140625" style="157"/>
    <col min="23" max="16384" width="9.140625" style="10"/>
  </cols>
  <sheetData>
    <row r="1" spans="1:22" ht="12.75" customHeight="1" x14ac:dyDescent="0.2">
      <c r="A1" s="1141" t="s">
        <v>1224</v>
      </c>
      <c r="B1" s="1141"/>
      <c r="C1" s="1141"/>
      <c r="D1" s="1141"/>
      <c r="E1" s="1141"/>
      <c r="F1" s="1141"/>
      <c r="G1" s="1141"/>
      <c r="H1" s="1141"/>
      <c r="I1" s="1141"/>
    </row>
    <row r="2" spans="1:22" ht="20.25" x14ac:dyDescent="0.3">
      <c r="B2" s="972"/>
      <c r="I2" s="159"/>
    </row>
    <row r="3" spans="1:22" s="122" customFormat="1" x14ac:dyDescent="0.2">
      <c r="A3" s="160"/>
      <c r="B3" s="1144" t="s">
        <v>54</v>
      </c>
      <c r="C3" s="1144"/>
      <c r="D3" s="1144"/>
      <c r="E3" s="1144"/>
      <c r="F3" s="1144"/>
      <c r="G3" s="1144"/>
      <c r="H3" s="1144"/>
      <c r="I3" s="1144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146" t="s">
        <v>1118</v>
      </c>
      <c r="C4" s="1146"/>
      <c r="D4" s="1146"/>
      <c r="E4" s="1146"/>
      <c r="F4" s="1146"/>
      <c r="G4" s="1146"/>
      <c r="H4" s="1146"/>
      <c r="I4" s="1146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x14ac:dyDescent="0.2">
      <c r="A5" s="160"/>
      <c r="B5" s="1145" t="s">
        <v>326</v>
      </c>
      <c r="C5" s="1145"/>
      <c r="D5" s="1145"/>
      <c r="E5" s="1145"/>
      <c r="F5" s="1145"/>
      <c r="G5" s="1145"/>
      <c r="H5" s="1145"/>
      <c r="I5" s="1145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149" t="s">
        <v>56</v>
      </c>
      <c r="B6" s="1150" t="s">
        <v>57</v>
      </c>
      <c r="C6" s="1151" t="s">
        <v>58</v>
      </c>
      <c r="D6" s="1151"/>
      <c r="E6" s="1152"/>
      <c r="F6" s="1153" t="s">
        <v>59</v>
      </c>
      <c r="G6" s="1147" t="s">
        <v>60</v>
      </c>
      <c r="H6" s="1148"/>
      <c r="I6" s="1148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149"/>
      <c r="B7" s="1150"/>
      <c r="C7" s="1142" t="s">
        <v>1120</v>
      </c>
      <c r="D7" s="1142"/>
      <c r="E7" s="1143"/>
      <c r="F7" s="1154"/>
      <c r="G7" s="1142" t="s">
        <v>1120</v>
      </c>
      <c r="H7" s="1142"/>
      <c r="I7" s="1142"/>
      <c r="J7" s="160"/>
      <c r="K7" s="160"/>
      <c r="L7" s="160"/>
      <c r="M7" s="160"/>
      <c r="N7" s="160"/>
      <c r="O7" s="160"/>
      <c r="P7" s="160"/>
    </row>
    <row r="8" spans="1:22" s="123" customFormat="1" ht="36.6" customHeight="1" x14ac:dyDescent="0.2">
      <c r="A8" s="1149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188"/>
      <c r="K8" s="188"/>
      <c r="L8" s="188"/>
      <c r="M8" s="188"/>
      <c r="N8" s="188"/>
      <c r="O8" s="188"/>
      <c r="P8" s="188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58"/>
      <c r="J9" s="180"/>
      <c r="Q9" s="10"/>
      <c r="R9" s="10"/>
      <c r="S9" s="10"/>
      <c r="T9" s="10"/>
      <c r="U9" s="10"/>
      <c r="V9" s="10"/>
    </row>
    <row r="10" spans="1:22" x14ac:dyDescent="0.2">
      <c r="A10" s="164">
        <f t="shared" ref="A10:A53" si="0">A9+1</f>
        <v>2</v>
      </c>
      <c r="B10" s="167" t="s">
        <v>213</v>
      </c>
      <c r="C10" s="298"/>
      <c r="D10" s="298"/>
      <c r="E10" s="286">
        <f>SUM(C10:D10)</f>
        <v>0</v>
      </c>
      <c r="F10" s="511" t="s">
        <v>231</v>
      </c>
      <c r="G10" s="286">
        <f>'pü.mérleg Önkorm.'!G10+'pü.mérleg Hivatal'!H12+'püm. GAMESZ. '!G12+'püm-TASZII.'!G12+püm.Brunszvik!G12+'püm Festetics'!G12</f>
        <v>574562</v>
      </c>
      <c r="H10" s="286">
        <f>'pü.mérleg Önkorm.'!H10+'pü.mérleg Hivatal'!I12+'püm. GAMESZ. '!H12+'püm-TASZII.'!H12+püm.Brunszvik!H12+'püm Festetics'!H12</f>
        <v>341812</v>
      </c>
      <c r="I10" s="478">
        <f>SUM(G10:H10)</f>
        <v>916374</v>
      </c>
      <c r="J10" s="169" t="e">
        <f>'pü.mérleg Önkorm.'!#REF!+'pü.mérleg Hivatal'!#REF!+'püm. GAMESZ. '!#REF!+püm.Brunszvik!#REF!+'püm-TASZII.'!#REF!</f>
        <v>#REF!</v>
      </c>
      <c r="K10" s="158" t="e">
        <f>'pü.mérleg Önkorm.'!#REF!+'pü.mérleg Hivatal'!#REF!+'püm. GAMESZ. '!#REF!++'püm-TASZII.'!#REF!+püm.Brunszvik!#REF!</f>
        <v>#REF!</v>
      </c>
      <c r="L10" s="158" t="e">
        <f>'pü.mérleg Önkorm.'!#REF!+'pü.mérleg Hivatal'!#REF!+'püm. GAMESZ. '!#REF!+püm.Brunszvik!#REF!+'püm-TASZII.'!#REF!</f>
        <v>#REF!</v>
      </c>
      <c r="N10" s="158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206</v>
      </c>
      <c r="C11" s="298">
        <f>'tám, végl. pe.átv  '!C11+'tám, végl. pe.átv  '!C17+'tám, végl. pe.átv  '!C18</f>
        <v>740982</v>
      </c>
      <c r="D11" s="298">
        <f>'tám, végl. pe.átv  '!D11+'tám, végl. pe.átv  '!D17+'tám, végl. pe.átv  '!D18</f>
        <v>93769</v>
      </c>
      <c r="E11" s="298">
        <f>'tám, végl. pe.átv  '!E11+'tám, végl. pe.átv  '!E17+'tám, végl. pe.átv  '!E18</f>
        <v>834751</v>
      </c>
      <c r="F11" s="885" t="s">
        <v>232</v>
      </c>
      <c r="G11" s="286">
        <f>'pü.mérleg Önkorm.'!G11+'pü.mérleg Hivatal'!H13+'püm. GAMESZ. '!G13+püm.Brunszvik!G13+'püm-TASZII.'!G13+'püm Festetics'!G13</f>
        <v>127979</v>
      </c>
      <c r="H11" s="286">
        <f>'pü.mérleg Önkorm.'!H11+'pü.mérleg Hivatal'!I13+'püm. GAMESZ. '!H13+püm.Brunszvik!H13+'püm-TASZII.'!H13+'püm Festetics'!H13</f>
        <v>82755.320000000007</v>
      </c>
      <c r="I11" s="479">
        <f>SUM(G11:H11)</f>
        <v>210734.32</v>
      </c>
      <c r="J11" s="158" t="e">
        <f>'pü.mérleg Önkorm.'!#REF!+'pü.mérleg Hivatal'!#REF!+'püm. GAMESZ. '!#REF!+püm.Brunszvik!#REF!+'püm-TASZII.'!#REF!</f>
        <v>#REF!</v>
      </c>
      <c r="K11" s="158" t="e">
        <f>'pü.mérleg Önkorm.'!#REF!+'pü.mérleg Hivatal'!#REF!+'püm. GAMESZ. '!#REF!+püm.Brunszvik!#REF!+'püm-TASZII.'!#REF!</f>
        <v>#REF!</v>
      </c>
      <c r="L11" s="158" t="e">
        <f>'pü.mérleg Önkorm.'!#REF!+'pü.mérleg Hivatal'!#REF!+'püm. GAMESZ. '!#REF!+püm.Brunszvik!#REF!+'püm-TASZII.'!#REF!</f>
        <v>#REF!</v>
      </c>
      <c r="N11" s="158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67" t="s">
        <v>204</v>
      </c>
      <c r="C12" s="298">
        <f>'pü.mérleg Önkorm.'!C12</f>
        <v>0</v>
      </c>
      <c r="D12" s="298">
        <f>'pü.mérleg Önkorm.'!D12</f>
        <v>0</v>
      </c>
      <c r="E12" s="298">
        <f>'pü.mérleg Önkorm.'!E12</f>
        <v>0</v>
      </c>
      <c r="F12" s="511" t="s">
        <v>233</v>
      </c>
      <c r="G12" s="286">
        <f>'pü.mérleg Önkorm.'!G12+'pü.mérleg Hivatal'!H14+'püm. GAMESZ. '!G14+püm.Brunszvik!G14+'püm-TASZII.'!G14+'püm Festetics'!G14</f>
        <v>566793</v>
      </c>
      <c r="H12" s="286">
        <f>'pü.mérleg Önkorm.'!H12+'pü.mérleg Hivatal'!I14+'püm. GAMESZ. '!H14+püm.Brunszvik!H14+'püm-TASZII.'!H14+'püm Festetics'!H14</f>
        <v>486300</v>
      </c>
      <c r="I12" s="479">
        <f>SUM(G12:H12)</f>
        <v>1053093</v>
      </c>
      <c r="J12" s="158" t="e">
        <f>'pü.mérleg Önkorm.'!#REF!+'pü.mérleg Hivatal'!#REF!+'püm. GAMESZ. '!#REF!+püm.Brunszvik!#REF!+'püm-TASZII.'!#REF!</f>
        <v>#REF!</v>
      </c>
      <c r="K12" s="158" t="e">
        <f>'pü.mérleg Önkorm.'!#REF!+'pü.mérleg Hivatal'!#REF!+'püm. GAMESZ. '!#REF!+püm.Brunszvik!#REF!+'püm-TASZII.'!#REF!</f>
        <v>#REF!</v>
      </c>
      <c r="L12" s="158" t="e">
        <f>'pü.mérleg Önkorm.'!#REF!+'pü.mérleg Hivatal'!#REF!+'püm. GAMESZ. '!#REF!+püm.Brunszvik!#REF!+'püm-TASZII.'!#REF!</f>
        <v>#REF!</v>
      </c>
      <c r="N12" s="158"/>
      <c r="Q12" s="10"/>
      <c r="R12" s="10"/>
      <c r="S12" s="10"/>
      <c r="T12" s="10"/>
      <c r="U12" s="10"/>
      <c r="V12" s="10"/>
    </row>
    <row r="13" spans="1:22" ht="12" customHeight="1" x14ac:dyDescent="0.2">
      <c r="A13" s="164">
        <f t="shared" si="0"/>
        <v>5</v>
      </c>
      <c r="B13" s="553" t="s">
        <v>207</v>
      </c>
      <c r="C13" s="298">
        <f>'tám, végl. pe.átv  '!C36+'tám, végl. pe.átv  '!C50+'tám, végl. pe.átv  '!C56+'tám, végl. pe.átv  '!C66</f>
        <v>31477</v>
      </c>
      <c r="D13" s="298">
        <f>'tám, végl. pe.átv  '!D36+'tám, végl. pe.átv  '!D50+'tám, végl. pe.átv  '!D56+'tám, végl. pe.átv  '!D66</f>
        <v>5071</v>
      </c>
      <c r="E13" s="298">
        <f>'tám, végl. pe.átv  '!E36+'tám, végl. pe.átv  '!E50+'tám, végl. pe.átv  '!E56+'tám, végl. pe.átv  '!E66</f>
        <v>36548</v>
      </c>
      <c r="F13" s="511"/>
      <c r="G13" s="298"/>
      <c r="H13" s="298"/>
      <c r="I13" s="478"/>
      <c r="J13" s="180"/>
      <c r="O13" s="18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553" t="s">
        <v>208</v>
      </c>
      <c r="C14" s="298">
        <f>'pü.mérleg Önkorm.'!C14+'püm. GAMESZ. '!C16+püm.Brunszvik!C16+'püm-TASZII.'!C16+'pü.mérleg Hivatal'!D15+püm.Brunszvik!C16</f>
        <v>0</v>
      </c>
      <c r="D14" s="298">
        <f>'felh. bev.  '!E25</f>
        <v>93253</v>
      </c>
      <c r="E14" s="286">
        <f>SUM(C14:D14)</f>
        <v>93253</v>
      </c>
      <c r="F14" s="511" t="s">
        <v>234</v>
      </c>
      <c r="G14" s="286">
        <f>'pü.mérleg Önkorm.'!G14+'pü.mérleg Hivatal'!H16</f>
        <v>3150</v>
      </c>
      <c r="H14" s="286">
        <f>'pü.mérleg Önkorm.'!H14+'pü.mérleg Hivatal'!I16</f>
        <v>10950</v>
      </c>
      <c r="I14" s="479">
        <f>'pü.mérleg Önkorm.'!I14+'pü.mérleg Hivatal'!J16</f>
        <v>14100</v>
      </c>
      <c r="J14" s="158" t="e">
        <f>'pü.mérleg Önkorm.'!#REF!+'pü.mérleg Hivatal'!#REF!</f>
        <v>#REF!</v>
      </c>
      <c r="K14" s="158" t="e">
        <f>'pü.mérleg Önkorm.'!#REF!+'pü.mérleg Hivatal'!#REF!</f>
        <v>#REF!</v>
      </c>
      <c r="L14" s="158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64">
        <f t="shared" si="0"/>
        <v>7</v>
      </c>
      <c r="B15" s="167"/>
      <c r="C15" s="298"/>
      <c r="D15" s="298"/>
      <c r="E15" s="286"/>
      <c r="F15" s="511" t="s">
        <v>235</v>
      </c>
      <c r="G15" s="293"/>
      <c r="H15" s="293"/>
      <c r="I15" s="478"/>
      <c r="J15" s="180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67" t="s">
        <v>209</v>
      </c>
      <c r="C16" s="298">
        <f>'pü.mérleg Önkorm.'!C16+'püm. GAMESZ. '!C18+püm.Brunszvik!C18+'püm-TASZII.'!C18+'pü.mérleg Hivatal'!D17+püm.Brunszvik!C18</f>
        <v>456306</v>
      </c>
      <c r="D16" s="298">
        <f>'mük. bev.Önkor és Hivatal '!F40</f>
        <v>779014</v>
      </c>
      <c r="E16" s="286">
        <f>SUM(C16:D16)</f>
        <v>1235320</v>
      </c>
      <c r="F16" s="511" t="s">
        <v>236</v>
      </c>
      <c r="G16" s="286">
        <f>'pü.mérleg Önkorm.'!G16</f>
        <v>5750</v>
      </c>
      <c r="H16" s="286">
        <f>'pü.mérleg Önkorm.'!H16+'pü.mérleg Hivatal'!I18+'püm. GAMESZ. '!H18+püm.Brunszvik!H18+'püm-TASZII.'!H18</f>
        <v>45623</v>
      </c>
      <c r="I16" s="479">
        <f>'pü.mérleg Önkorm.'!I16+'pü.mérleg Hivatal'!J18</f>
        <v>51373</v>
      </c>
      <c r="J16" s="158" t="e">
        <f>'pü.mérleg Önkorm.'!#REF!</f>
        <v>#REF!</v>
      </c>
      <c r="K16" s="158" t="e">
        <f>'pü.mérleg Önkorm.'!#REF!</f>
        <v>#REF!</v>
      </c>
      <c r="L16" s="158" t="e">
        <f>'pü.mérleg Önkorm.'!#REF!</f>
        <v>#REF!</v>
      </c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70" t="s">
        <v>40</v>
      </c>
      <c r="C17" s="298">
        <f>'pü.mérleg Önkorm.'!C17+'püm. GAMESZ. '!C19+püm.Brunszvik!C19+'püm-TASZII.'!C19+'pü.mérleg Hivatal'!D18+püm.Brunszvik!C19</f>
        <v>0</v>
      </c>
      <c r="D17" s="363"/>
      <c r="E17" s="363"/>
      <c r="F17" s="511" t="s">
        <v>237</v>
      </c>
      <c r="G17" s="286">
        <f>'pü.mérleg Önkorm.'!G17</f>
        <v>116685</v>
      </c>
      <c r="H17" s="286">
        <f>'pü.mérleg Önkorm.'!H17</f>
        <v>170408</v>
      </c>
      <c r="I17" s="479">
        <f>'pü.mérleg Önkorm.'!I17</f>
        <v>287093</v>
      </c>
      <c r="J17" s="158" t="e">
        <f>'pü.mérleg Önkorm.'!#REF!</f>
        <v>#REF!</v>
      </c>
      <c r="K17" s="158" t="e">
        <f>'pü.mérleg Önkorm.'!#REF!</f>
        <v>#REF!</v>
      </c>
      <c r="L17" s="158" t="e">
        <f>'pü.mérleg Önkorm.'!#REF!</f>
        <v>#REF!</v>
      </c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70"/>
      <c r="C18" s="298"/>
      <c r="D18" s="363"/>
      <c r="E18" s="363"/>
      <c r="F18" s="511" t="s">
        <v>238</v>
      </c>
      <c r="G18" s="286">
        <f>'pü.mérleg Önkorm.'!G18+'pü.mérleg Hivatal'!H20+'püm. GAMESZ. '!G20+püm.Brunszvik!G20+'püm Festetics'!G20+'püm-TASZII.'!G20</f>
        <v>451</v>
      </c>
      <c r="H18" s="286">
        <f>'pü.mérleg Önkorm.'!H18+'pü.mérleg Hivatal'!I20+'püm. GAMESZ. '!H20+püm.Brunszvik!H20+'püm Festetics'!H20+'püm-TASZII.'!H20</f>
        <v>0</v>
      </c>
      <c r="I18" s="286">
        <f>'pü.mérleg Önkorm.'!I18+'pü.mérleg Hivatal'!J20+'püm. GAMESZ. '!I20+püm.Brunszvik!I20+'püm Festetics'!I20+'püm-TASZII.'!I20</f>
        <v>451</v>
      </c>
      <c r="J18" s="119">
        <f>'pü.mérleg Önkorm.'!J18+'pü.mérleg Hivatal'!K20+'püm. GAMESZ. '!J20+püm.Brunszvik!J20+'püm Festetics'!J20+'püm-TASZII.'!J20</f>
        <v>0</v>
      </c>
      <c r="K18" s="119">
        <f>'pü.mérleg Önkorm.'!K18+'pü.mérleg Hivatal'!L20+'püm. GAMESZ. '!K20+püm.Brunszvik!K20+'püm Festetics'!K20+'püm-TASZII.'!K20</f>
        <v>0</v>
      </c>
      <c r="L18" s="119">
        <f>'pü.mérleg Önkorm.'!L18+'pü.mérleg Hivatal'!M20+'püm. GAMESZ. '!L20+püm.Brunszvik!L20+'püm Festetics'!L20+'püm-TASZII.'!L20</f>
        <v>0</v>
      </c>
      <c r="M18" s="184"/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16" t="s">
        <v>210</v>
      </c>
      <c r="C19" s="298">
        <f>'pü.mérleg Önkorm.'!C19+'pü.mérleg Hivatal'!D20+'püm. GAMESZ. '!C20+püm.Brunszvik!C20+'püm-TASZII.'!C20+'püm Festetics'!C20</f>
        <v>164294</v>
      </c>
      <c r="D19" s="298">
        <f>'pü.mérleg Önkorm.'!D19+'pü.mérleg Hivatal'!E20+'püm. GAMESZ. '!D20+püm.Brunszvik!D20+'püm-TASZII.'!D20+'püm Festetics'!D20</f>
        <v>195202</v>
      </c>
      <c r="E19" s="298">
        <f>SUM(C19:D19)</f>
        <v>359496</v>
      </c>
      <c r="F19" s="511" t="s">
        <v>239</v>
      </c>
      <c r="G19" s="286"/>
      <c r="H19" s="286">
        <f>'pü.mérleg Önkorm.'!H19</f>
        <v>64029</v>
      </c>
      <c r="I19" s="478">
        <f>SUM(G19:H19)</f>
        <v>64029</v>
      </c>
      <c r="J19" s="180"/>
      <c r="Q19" s="10"/>
      <c r="R19" s="10"/>
      <c r="S19" s="10"/>
      <c r="T19" s="10"/>
      <c r="U19" s="10"/>
      <c r="V19" s="10"/>
    </row>
    <row r="20" spans="1:22" x14ac:dyDescent="0.2">
      <c r="A20" s="164">
        <f t="shared" si="0"/>
        <v>12</v>
      </c>
      <c r="C20" s="363"/>
      <c r="D20" s="363"/>
      <c r="E20" s="363"/>
      <c r="F20" s="511" t="s">
        <v>240</v>
      </c>
      <c r="G20" s="286">
        <f>'pü.mérleg Önkorm.'!G20</f>
        <v>4083</v>
      </c>
      <c r="H20" s="286">
        <f>'pü.mérleg Önkorm.'!H20</f>
        <v>152</v>
      </c>
      <c r="I20" s="478">
        <f>SUM(G20:H20)</f>
        <v>4235</v>
      </c>
      <c r="J20" s="180"/>
      <c r="Q20" s="10"/>
      <c r="R20" s="10"/>
      <c r="S20" s="10"/>
      <c r="T20" s="10"/>
      <c r="U20" s="10"/>
      <c r="V20" s="10"/>
    </row>
    <row r="21" spans="1:22" s="124" customFormat="1" x14ac:dyDescent="0.2">
      <c r="A21" s="164">
        <f t="shared" si="0"/>
        <v>13</v>
      </c>
      <c r="B21" s="157" t="s">
        <v>212</v>
      </c>
      <c r="C21" s="363"/>
      <c r="D21" s="363"/>
      <c r="E21" s="363"/>
      <c r="F21" s="621"/>
      <c r="G21" s="293"/>
      <c r="H21" s="293"/>
      <c r="I21" s="480"/>
      <c r="J21" s="645"/>
      <c r="K21" s="189"/>
      <c r="L21" s="189"/>
      <c r="M21" s="189"/>
      <c r="N21" s="189"/>
      <c r="O21" s="189"/>
      <c r="P21" s="189"/>
    </row>
    <row r="22" spans="1:22" s="124" customFormat="1" x14ac:dyDescent="0.2">
      <c r="A22" s="164">
        <f t="shared" si="0"/>
        <v>14</v>
      </c>
      <c r="B22" s="157" t="s">
        <v>211</v>
      </c>
      <c r="C22" s="363"/>
      <c r="D22" s="363"/>
      <c r="E22" s="363"/>
      <c r="F22" s="621"/>
      <c r="G22" s="293"/>
      <c r="H22" s="293"/>
      <c r="I22" s="480"/>
      <c r="J22" s="645"/>
      <c r="K22" s="189"/>
      <c r="L22" s="189"/>
      <c r="M22" s="189"/>
      <c r="N22" s="645"/>
      <c r="O22" s="189"/>
      <c r="P22" s="189"/>
    </row>
    <row r="23" spans="1:22" x14ac:dyDescent="0.2">
      <c r="A23" s="164">
        <f t="shared" si="0"/>
        <v>15</v>
      </c>
      <c r="B23" s="167" t="s">
        <v>214</v>
      </c>
      <c r="C23" s="886"/>
      <c r="D23" s="286">
        <f>'pü.mérleg Önkorm.'!D23+'pü.mérleg Hivatal'!E24+'püm. GAMESZ. '!D24+püm.Brunszvik!D24+'püm-TASZII.'!D24</f>
        <v>6740</v>
      </c>
      <c r="E23" s="363">
        <f>SUM(C23:D23)</f>
        <v>6740</v>
      </c>
      <c r="F23" s="887" t="s">
        <v>66</v>
      </c>
      <c r="G23" s="364">
        <f>SUM(G10:G21)</f>
        <v>1399453</v>
      </c>
      <c r="H23" s="364">
        <f>SUM(H10:H21)</f>
        <v>1202029.32</v>
      </c>
      <c r="I23" s="481">
        <f>SUM(I10:I21)</f>
        <v>2601482.3200000003</v>
      </c>
      <c r="J23" s="158" t="e">
        <f>'pü.mérleg Önkorm.'!#REF!+'pü.mérleg Hivatal'!#REF!+'püm. GAMESZ. '!#REF!+püm.Brunszvik!#REF!+'püm-TASZII.'!#REF!</f>
        <v>#REF!</v>
      </c>
      <c r="K23" s="158" t="e">
        <f>'pü.mérleg Önkorm.'!#REF!+'pü.mérleg Hivatal'!#REF!+'püm. GAMESZ. '!#REF!+püm.Brunszvik!#REF!+'püm-TASZII.'!#REF!</f>
        <v>#REF!</v>
      </c>
      <c r="L23" s="158" t="e">
        <f>'pü.mérleg Önkorm.'!#REF!+'pü.mérleg Hivatal'!#REF!+'püm. GAMESZ. '!#REF!+püm.Brunszvik!#REF!+'püm-TASZII.'!#REF!</f>
        <v>#REF!</v>
      </c>
      <c r="Q23" s="10"/>
      <c r="R23" s="10"/>
      <c r="S23" s="10"/>
      <c r="T23" s="10"/>
      <c r="U23" s="10"/>
      <c r="V23" s="10"/>
    </row>
    <row r="24" spans="1:22" x14ac:dyDescent="0.2">
      <c r="A24" s="164">
        <f t="shared" si="0"/>
        <v>16</v>
      </c>
      <c r="B24" s="167" t="s">
        <v>215</v>
      </c>
      <c r="C24" s="363">
        <f>'felh. bev.  '!D14</f>
        <v>0</v>
      </c>
      <c r="D24" s="363">
        <f>'felh. bev.  '!E14</f>
        <v>0</v>
      </c>
      <c r="E24" s="363">
        <f>'felh. bev.  '!F14</f>
        <v>0</v>
      </c>
      <c r="F24" s="621"/>
      <c r="G24" s="293"/>
      <c r="H24" s="293"/>
      <c r="I24" s="480"/>
      <c r="J24" s="180"/>
      <c r="Q24" s="10"/>
      <c r="R24" s="10"/>
      <c r="S24" s="10"/>
      <c r="T24" s="10"/>
      <c r="U24" s="10"/>
      <c r="V24" s="10"/>
    </row>
    <row r="25" spans="1:22" x14ac:dyDescent="0.2">
      <c r="A25" s="164">
        <f t="shared" si="0"/>
        <v>17</v>
      </c>
      <c r="B25" s="116" t="s">
        <v>216</v>
      </c>
      <c r="C25" s="648"/>
      <c r="D25" s="286">
        <f>'pü.mérleg Önkorm.'!D25</f>
        <v>0</v>
      </c>
      <c r="E25" s="363">
        <f>SUM(C25:D25)</f>
        <v>0</v>
      </c>
      <c r="F25" s="888" t="s">
        <v>241</v>
      </c>
      <c r="G25" s="366"/>
      <c r="H25" s="366"/>
      <c r="I25" s="480"/>
      <c r="J25" s="180"/>
      <c r="Q25" s="10"/>
      <c r="R25" s="10"/>
      <c r="S25" s="10"/>
      <c r="T25" s="10"/>
      <c r="U25" s="10"/>
      <c r="V25" s="10"/>
    </row>
    <row r="26" spans="1:22" x14ac:dyDescent="0.2">
      <c r="A26" s="164">
        <f t="shared" si="0"/>
        <v>18</v>
      </c>
      <c r="B26" s="167" t="s">
        <v>217</v>
      </c>
      <c r="C26" s="286"/>
      <c r="D26" s="286"/>
      <c r="E26" s="286"/>
      <c r="F26" s="511" t="s">
        <v>242</v>
      </c>
      <c r="G26" s="293">
        <f>'pü.mérleg Önkorm.'!G26+'pü.mérleg Hivatal'!H27+'püm. GAMESZ. '!G27+'püm-TASZII.'!G27+püm.Brunszvik!G27+'püm Festetics'!G27</f>
        <v>2015914</v>
      </c>
      <c r="H26" s="293">
        <f>'pü.mérleg Önkorm.'!H26+'pü.mérleg Hivatal'!I27+'püm. GAMESZ. '!H27+'püm-TASZII.'!H27+'püm Festetics'!H27</f>
        <v>156473</v>
      </c>
      <c r="I26" s="480">
        <f>SUM(G26:H26)</f>
        <v>2172387</v>
      </c>
      <c r="J26" s="158" t="e">
        <f>'pü.mérleg Önkorm.'!#REF!+'pü.mérleg Hivatal'!#REF!+'püm. GAMESZ. '!#REF!+püm.Brunszvik!#REF!+'püm-TASZII.'!#REF!</f>
        <v>#REF!</v>
      </c>
      <c r="K26" s="158" t="e">
        <f>'pü.mérleg Önkorm.'!#REF!+'pü.mérleg Hivatal'!#REF!+'püm. GAMESZ. '!#REF!+püm.Brunszvik!#REF!+'püm-TASZII.'!#REF!</f>
        <v>#REF!</v>
      </c>
      <c r="L26" s="158" t="e">
        <f>'pü.mérleg Önkorm.'!#REF!+'pü.mérleg Hivatal'!#REF!+'püm. GAMESZ. '!#REF!+püm.Brunszvik!#REF!+'püm-TASZII.'!#REF!</f>
        <v>#REF!</v>
      </c>
      <c r="M26" s="158"/>
      <c r="N26" s="158"/>
      <c r="Q26" s="10"/>
      <c r="R26" s="10"/>
      <c r="S26" s="10"/>
      <c r="T26" s="10"/>
      <c r="U26" s="10"/>
      <c r="V26" s="10"/>
    </row>
    <row r="27" spans="1:22" x14ac:dyDescent="0.2">
      <c r="A27" s="164">
        <f t="shared" si="0"/>
        <v>19</v>
      </c>
      <c r="B27" s="167"/>
      <c r="C27" s="286"/>
      <c r="D27" s="286"/>
      <c r="E27" s="286"/>
      <c r="F27" s="511" t="s">
        <v>243</v>
      </c>
      <c r="G27" s="293">
        <f>'felhalm. kiad.  '!G19</f>
        <v>10000</v>
      </c>
      <c r="H27" s="293">
        <f>'felhalm. kiad.  '!H19</f>
        <v>0</v>
      </c>
      <c r="I27" s="480">
        <f>SUM(G27:H27)</f>
        <v>10000</v>
      </c>
      <c r="J27" s="180"/>
      <c r="Q27" s="10"/>
      <c r="R27" s="10"/>
      <c r="S27" s="10"/>
      <c r="T27" s="10"/>
      <c r="U27" s="10"/>
      <c r="V27" s="10"/>
    </row>
    <row r="28" spans="1:22" x14ac:dyDescent="0.2">
      <c r="A28" s="164">
        <f t="shared" si="0"/>
        <v>20</v>
      </c>
      <c r="B28" s="157" t="s">
        <v>218</v>
      </c>
      <c r="C28" s="286">
        <f>'tám, végl. pe.átv  '!C44</f>
        <v>0</v>
      </c>
      <c r="D28" s="286">
        <f>'tám, végl. pe.átv  '!D44</f>
        <v>62024</v>
      </c>
      <c r="E28" s="286">
        <f>'tám, végl. pe.átv  '!E44</f>
        <v>62024</v>
      </c>
      <c r="F28" s="511" t="s">
        <v>244</v>
      </c>
      <c r="G28" s="293"/>
      <c r="H28" s="293"/>
      <c r="I28" s="480"/>
      <c r="J28" s="180"/>
      <c r="Q28" s="10"/>
      <c r="R28" s="10"/>
      <c r="S28" s="10"/>
      <c r="T28" s="10"/>
      <c r="U28" s="10"/>
      <c r="V28" s="10"/>
    </row>
    <row r="29" spans="1:22" s="124" customFormat="1" x14ac:dyDescent="0.2">
      <c r="A29" s="164">
        <f t="shared" si="0"/>
        <v>21</v>
      </c>
      <c r="B29" s="157" t="s">
        <v>219</v>
      </c>
      <c r="C29" s="286">
        <f>'felh. bev.  '!D29+'felh. bev.  '!D35</f>
        <v>0</v>
      </c>
      <c r="D29" s="286">
        <f>'felh. bev.  '!E29+'felh. bev.  '!E35</f>
        <v>2870</v>
      </c>
      <c r="E29" s="286">
        <f>'felh. bev.  '!F29+'felh. bev.  '!F35</f>
        <v>2870</v>
      </c>
      <c r="F29" s="885" t="s">
        <v>246</v>
      </c>
      <c r="G29" s="293">
        <f>'felhalm. kiad.  '!G75</f>
        <v>0</v>
      </c>
      <c r="H29" s="293">
        <f>'felhalm. kiad.  '!H75</f>
        <v>0</v>
      </c>
      <c r="I29" s="480">
        <f>SUM(G29:H29)</f>
        <v>0</v>
      </c>
      <c r="J29" s="645"/>
      <c r="K29" s="189"/>
      <c r="L29" s="189"/>
      <c r="M29" s="189"/>
      <c r="N29" s="189"/>
      <c r="O29" s="189"/>
      <c r="P29" s="189"/>
    </row>
    <row r="30" spans="1:22" x14ac:dyDescent="0.2">
      <c r="A30" s="164">
        <f t="shared" si="0"/>
        <v>22</v>
      </c>
      <c r="C30" s="286"/>
      <c r="D30" s="286"/>
      <c r="E30" s="286"/>
      <c r="F30" s="885" t="s">
        <v>297</v>
      </c>
      <c r="G30" s="293">
        <f>'pü.mérleg Önkorm.'!G30+'pü.mérleg Hivatal'!H31+'püm. GAMESZ. '!G31+'püm-TASZII.'!G31</f>
        <v>33252</v>
      </c>
      <c r="H30" s="293">
        <f>'pü.mérleg Önkorm.'!H30+'pü.mérleg Hivatal'!I31+'püm. GAMESZ. '!H31+'püm-TASZII.'!H31</f>
        <v>35820</v>
      </c>
      <c r="I30" s="480">
        <f>SUM(G30:H30)</f>
        <v>69072</v>
      </c>
      <c r="J30" s="158" t="e">
        <f>'pü.mérleg Önkorm.'!#REF!+'pü.mérleg Hivatal'!#REF!+'püm. GAMESZ. '!#REF!</f>
        <v>#REF!</v>
      </c>
      <c r="K30" s="158" t="e">
        <f>'pü.mérleg Önkorm.'!#REF!+'pü.mérleg Hivatal'!#REF!+'püm. GAMESZ. '!#REF!</f>
        <v>#REF!</v>
      </c>
      <c r="L30" s="158" t="e">
        <f>'pü.mérleg Önkorm.'!#REF!+'pü.mérleg Hivatal'!#REF!+'püm. GAMESZ. '!#REF!</f>
        <v>#REF!</v>
      </c>
      <c r="Q30" s="10"/>
      <c r="R30" s="10"/>
      <c r="S30" s="10"/>
      <c r="T30" s="10"/>
      <c r="U30" s="10"/>
      <c r="V30" s="10"/>
    </row>
    <row r="31" spans="1:22" s="11" customFormat="1" x14ac:dyDescent="0.2">
      <c r="A31" s="164">
        <f t="shared" si="0"/>
        <v>23</v>
      </c>
      <c r="B31" s="174" t="s">
        <v>52</v>
      </c>
      <c r="C31" s="363">
        <f>C12+C19+C11+C16+C13+C28</f>
        <v>1393059</v>
      </c>
      <c r="D31" s="363">
        <f>D12+D19+D11+D16+D13+D28</f>
        <v>1135080</v>
      </c>
      <c r="E31" s="363">
        <f>E12+E19+E11+E16+E13+E28</f>
        <v>2528139</v>
      </c>
      <c r="F31" s="511" t="s">
        <v>298</v>
      </c>
      <c r="G31" s="291">
        <f>tartalék!C19</f>
        <v>343892</v>
      </c>
      <c r="H31" s="291">
        <f>tartalék!D19</f>
        <v>0</v>
      </c>
      <c r="I31" s="480">
        <f>tartalék!E19</f>
        <v>343892</v>
      </c>
      <c r="J31" s="178"/>
      <c r="K31" s="183"/>
      <c r="L31" s="183"/>
      <c r="M31" s="183"/>
      <c r="N31" s="183"/>
      <c r="O31" s="183"/>
      <c r="P31" s="183"/>
    </row>
    <row r="32" spans="1:22" x14ac:dyDescent="0.2">
      <c r="A32" s="164">
        <f t="shared" si="0"/>
        <v>24</v>
      </c>
      <c r="B32" s="170" t="s">
        <v>67</v>
      </c>
      <c r="C32" s="889">
        <f>C14+C22+C23+C24+C25+C26+C29</f>
        <v>0</v>
      </c>
      <c r="D32" s="889">
        <f>D14+D22+D23+D24+D25+D26+D29</f>
        <v>102863</v>
      </c>
      <c r="E32" s="889">
        <f>E14+E22+E23+E24+E25+E26+E29</f>
        <v>102863</v>
      </c>
      <c r="F32" s="861" t="s">
        <v>68</v>
      </c>
      <c r="G32" s="364">
        <f>SUM(G26:G31)</f>
        <v>2403058</v>
      </c>
      <c r="H32" s="364">
        <f>SUM(H26:H31)</f>
        <v>192293</v>
      </c>
      <c r="I32" s="481">
        <f>SUM(I26:I31)</f>
        <v>2595351</v>
      </c>
      <c r="J32" s="158" t="e">
        <f>'pü.mérleg Önkorm.'!#REF!+'pü.mérleg Hivatal'!#REF!+'püm. GAMESZ. '!#REF!+püm.Brunszvik!#REF!+'püm-TASZII.'!#REF!</f>
        <v>#REF!</v>
      </c>
      <c r="K32" s="158" t="e">
        <f>'pü.mérleg Önkorm.'!#REF!+'pü.mérleg Hivatal'!#REF!+'püm. GAMESZ. '!#REF!+püm.Brunszvik!#REF!+'püm-TASZII.'!#REF!</f>
        <v>#REF!</v>
      </c>
      <c r="L32" s="158" t="e">
        <f>'pü.mérleg Önkorm.'!#REF!+'pü.mérleg Hivatal'!#REF!+'püm. GAMESZ. '!#REF!+püm.Brunszvik!#REF!+'püm-TASZII.'!#REF!</f>
        <v>#REF!</v>
      </c>
      <c r="Q32" s="10"/>
      <c r="R32" s="10"/>
      <c r="S32" s="10"/>
      <c r="T32" s="10"/>
      <c r="U32" s="10"/>
      <c r="V32" s="10"/>
    </row>
    <row r="33" spans="1:22" x14ac:dyDescent="0.2">
      <c r="A33" s="164">
        <f t="shared" si="0"/>
        <v>25</v>
      </c>
      <c r="B33" s="178" t="s">
        <v>51</v>
      </c>
      <c r="C33" s="648">
        <f>SUM(C31:C32)</f>
        <v>1393059</v>
      </c>
      <c r="D33" s="648">
        <f>SUM(D31:D32)</f>
        <v>1237943</v>
      </c>
      <c r="E33" s="648">
        <f>SUM(C33:D33)</f>
        <v>2631002</v>
      </c>
      <c r="F33" s="890" t="s">
        <v>69</v>
      </c>
      <c r="G33" s="366">
        <f>G23+G32</f>
        <v>3802511</v>
      </c>
      <c r="H33" s="366">
        <f>H23+H32</f>
        <v>1394322.32</v>
      </c>
      <c r="I33" s="454">
        <f>I23+I32</f>
        <v>5196833.32</v>
      </c>
      <c r="J33" s="180"/>
      <c r="Q33" s="10"/>
      <c r="R33" s="10"/>
      <c r="S33" s="10"/>
      <c r="T33" s="10"/>
      <c r="U33" s="10"/>
      <c r="V33" s="10"/>
    </row>
    <row r="34" spans="1:22" x14ac:dyDescent="0.2">
      <c r="A34" s="164">
        <f t="shared" si="0"/>
        <v>26</v>
      </c>
      <c r="B34" s="180"/>
      <c r="C34" s="286"/>
      <c r="D34" s="286"/>
      <c r="E34" s="286"/>
      <c r="F34" s="621"/>
      <c r="G34" s="293"/>
      <c r="H34" s="293"/>
      <c r="I34" s="480"/>
      <c r="J34" s="180"/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797" t="s">
        <v>23</v>
      </c>
      <c r="C35" s="286">
        <f>C33-G33</f>
        <v>-2409452</v>
      </c>
      <c r="D35" s="286">
        <f t="shared" ref="D35:E35" si="1">D33-H33</f>
        <v>-156379.32000000007</v>
      </c>
      <c r="E35" s="286">
        <f t="shared" si="1"/>
        <v>-2565831.3200000003</v>
      </c>
      <c r="F35" s="887"/>
      <c r="G35" s="364"/>
      <c r="H35" s="364"/>
      <c r="I35" s="481"/>
      <c r="J35" s="180"/>
      <c r="Q35" s="10"/>
      <c r="R35" s="10"/>
      <c r="S35" s="10"/>
      <c r="T35" s="10"/>
      <c r="U35" s="10"/>
      <c r="V35" s="10"/>
    </row>
    <row r="36" spans="1:22" s="11" customFormat="1" x14ac:dyDescent="0.2">
      <c r="A36" s="164">
        <f t="shared" si="0"/>
        <v>28</v>
      </c>
      <c r="B36" s="180"/>
      <c r="C36" s="286"/>
      <c r="D36" s="286"/>
      <c r="E36" s="286"/>
      <c r="F36" s="621"/>
      <c r="G36" s="293"/>
      <c r="H36" s="293"/>
      <c r="I36" s="480"/>
      <c r="J36" s="178"/>
      <c r="K36" s="183"/>
      <c r="L36" s="183"/>
      <c r="M36" s="183"/>
      <c r="N36" s="183"/>
      <c r="O36" s="183"/>
      <c r="P36" s="183"/>
    </row>
    <row r="37" spans="1:22" s="11" customFormat="1" x14ac:dyDescent="0.2">
      <c r="A37" s="798">
        <f t="shared" si="0"/>
        <v>29</v>
      </c>
      <c r="B37" s="126" t="s">
        <v>220</v>
      </c>
      <c r="C37" s="648"/>
      <c r="D37" s="648"/>
      <c r="E37" s="648"/>
      <c r="F37" s="888" t="s">
        <v>247</v>
      </c>
      <c r="G37" s="366"/>
      <c r="H37" s="366"/>
      <c r="I37" s="454"/>
      <c r="J37" s="178"/>
      <c r="K37" s="183"/>
      <c r="L37" s="183"/>
      <c r="M37" s="183"/>
      <c r="N37" s="183"/>
      <c r="O37" s="183"/>
      <c r="P37" s="183"/>
    </row>
    <row r="38" spans="1:22" s="11" customFormat="1" x14ac:dyDescent="0.2">
      <c r="A38" s="164">
        <f t="shared" si="0"/>
        <v>30</v>
      </c>
      <c r="B38" s="136" t="s">
        <v>221</v>
      </c>
      <c r="C38" s="648"/>
      <c r="D38" s="648"/>
      <c r="E38" s="648"/>
      <c r="F38" s="891" t="s">
        <v>248</v>
      </c>
      <c r="G38" s="190"/>
      <c r="I38" s="483"/>
      <c r="J38" s="178"/>
      <c r="K38" s="183"/>
      <c r="L38" s="183"/>
      <c r="M38" s="183"/>
      <c r="N38" s="183"/>
      <c r="O38" s="183"/>
      <c r="P38" s="183"/>
    </row>
    <row r="39" spans="1:22" s="11" customFormat="1" ht="21.75" x14ac:dyDescent="0.2">
      <c r="A39" s="335">
        <f t="shared" si="0"/>
        <v>31</v>
      </c>
      <c r="B39" s="14" t="s">
        <v>1076</v>
      </c>
      <c r="C39" s="286">
        <f>'pü.mérleg Önkorm.'!C39</f>
        <v>1243160</v>
      </c>
      <c r="D39" s="286">
        <f>'pü.mérleg Önkorm.'!D39</f>
        <v>0</v>
      </c>
      <c r="E39" s="286">
        <f>'pü.mérleg Önkorm.'!E39</f>
        <v>1243160</v>
      </c>
      <c r="F39" s="191" t="s">
        <v>1011</v>
      </c>
      <c r="G39" s="366"/>
      <c r="H39" s="366"/>
      <c r="I39" s="454"/>
      <c r="J39" s="178"/>
      <c r="K39" s="183"/>
      <c r="L39" s="183"/>
      <c r="M39" s="183"/>
      <c r="N39" s="183"/>
      <c r="O39" s="183"/>
      <c r="P39" s="183"/>
    </row>
    <row r="40" spans="1:22" x14ac:dyDescent="0.2">
      <c r="A40" s="164">
        <f t="shared" si="0"/>
        <v>32</v>
      </c>
      <c r="B40" s="118" t="s">
        <v>222</v>
      </c>
      <c r="C40" s="892"/>
      <c r="D40" s="893">
        <f>'pü.mérleg Önkorm.'!D40</f>
        <v>0</v>
      </c>
      <c r="E40" s="893">
        <f>SUM(C40:D40)</f>
        <v>0</v>
      </c>
      <c r="F40" s="511" t="s">
        <v>249</v>
      </c>
      <c r="G40" s="366"/>
      <c r="H40" s="366"/>
      <c r="I40" s="454"/>
      <c r="J40" s="180"/>
      <c r="Q40" s="10"/>
      <c r="R40" s="10"/>
      <c r="S40" s="10"/>
      <c r="T40" s="10"/>
      <c r="U40" s="10"/>
      <c r="V40" s="10"/>
    </row>
    <row r="41" spans="1:22" x14ac:dyDescent="0.2">
      <c r="A41" s="164">
        <f t="shared" si="0"/>
        <v>33</v>
      </c>
      <c r="B41" s="118" t="s">
        <v>223</v>
      </c>
      <c r="C41" s="286"/>
      <c r="D41" s="286"/>
      <c r="E41" s="286"/>
      <c r="F41" s="511" t="s">
        <v>250</v>
      </c>
      <c r="G41" s="190"/>
      <c r="H41" s="190"/>
      <c r="I41" s="454"/>
      <c r="J41" s="180"/>
      <c r="Q41" s="10"/>
      <c r="R41" s="10"/>
      <c r="S41" s="10"/>
      <c r="T41" s="10"/>
      <c r="U41" s="10"/>
      <c r="V41" s="10"/>
    </row>
    <row r="42" spans="1:22" x14ac:dyDescent="0.2">
      <c r="A42" s="164">
        <f t="shared" si="0"/>
        <v>34</v>
      </c>
      <c r="B42" s="587" t="s">
        <v>983</v>
      </c>
      <c r="C42" s="286">
        <f>'pü.mérleg Önkorm.'!C42+'pü.mérleg Hivatal'!D43+'püm. GAMESZ. '!C43+püm.Brunszvik!C43+'püm-TASZII.'!C43+'püm Festetics'!C43</f>
        <v>1193985</v>
      </c>
      <c r="D42" s="286">
        <f>'pü.mérleg Önkorm.'!D42+'pü.mérleg Hivatal'!E43+'püm. GAMESZ. '!D43+püm.Brunszvik!D43+'püm-TASZII.'!D43+'püm Festetics'!D43</f>
        <v>160130</v>
      </c>
      <c r="E42" s="286">
        <f>'pü.mérleg Önkorm.'!E42+'pü.mérleg Hivatal'!F43+'püm. GAMESZ. '!E43+püm.Brunszvik!E43+'püm-TASZII.'!E43+'püm Festetics'!E43</f>
        <v>1354115</v>
      </c>
      <c r="F42" s="511" t="s">
        <v>251</v>
      </c>
      <c r="G42" s="190"/>
      <c r="H42" s="190"/>
      <c r="I42" s="454"/>
      <c r="J42" s="180"/>
      <c r="Q42" s="10"/>
      <c r="R42" s="10"/>
      <c r="S42" s="10"/>
      <c r="T42" s="10"/>
      <c r="U42" s="10"/>
      <c r="V42" s="10"/>
    </row>
    <row r="43" spans="1:22" x14ac:dyDescent="0.2">
      <c r="A43" s="164">
        <f t="shared" si="0"/>
        <v>35</v>
      </c>
      <c r="B43" s="587" t="s">
        <v>1013</v>
      </c>
      <c r="C43" s="286">
        <f>'püm Festetics'!C44</f>
        <v>0</v>
      </c>
      <c r="D43" s="286">
        <f>'püm Festetics'!D44</f>
        <v>0</v>
      </c>
      <c r="E43" s="286">
        <f>'püm Festetics'!E44</f>
        <v>0</v>
      </c>
      <c r="F43" s="511"/>
      <c r="G43" s="190"/>
      <c r="H43" s="190"/>
      <c r="I43" s="454"/>
      <c r="J43" s="180"/>
      <c r="Q43" s="10"/>
      <c r="R43" s="10"/>
      <c r="S43" s="10"/>
      <c r="T43" s="10"/>
      <c r="U43" s="10"/>
      <c r="V43" s="10"/>
    </row>
    <row r="44" spans="1:22" x14ac:dyDescent="0.2">
      <c r="A44" s="164">
        <f t="shared" si="0"/>
        <v>36</v>
      </c>
      <c r="B44" s="119" t="s">
        <v>225</v>
      </c>
      <c r="C44" s="286"/>
      <c r="D44" s="286"/>
      <c r="E44" s="286"/>
      <c r="F44" s="511" t="s">
        <v>252</v>
      </c>
      <c r="G44" s="366"/>
      <c r="H44" s="366"/>
      <c r="I44" s="480"/>
      <c r="J44" s="180"/>
      <c r="Q44" s="10"/>
      <c r="R44" s="10"/>
      <c r="S44" s="10"/>
      <c r="T44" s="10"/>
      <c r="U44" s="10"/>
      <c r="V44" s="10"/>
    </row>
    <row r="45" spans="1:22" x14ac:dyDescent="0.2">
      <c r="A45" s="164">
        <f t="shared" si="0"/>
        <v>37</v>
      </c>
      <c r="B45" s="119" t="s">
        <v>226</v>
      </c>
      <c r="C45" s="648"/>
      <c r="D45" s="648"/>
      <c r="E45" s="648"/>
      <c r="F45" s="885" t="s">
        <v>253</v>
      </c>
      <c r="G45" s="293">
        <f>'pü.mérleg Önkorm.'!G45</f>
        <v>27693</v>
      </c>
      <c r="H45" s="293">
        <f>'pü.mérleg Önkorm.'!H45</f>
        <v>3751</v>
      </c>
      <c r="I45" s="480">
        <f>'pü.mérleg Önkorm.'!I45</f>
        <v>31444</v>
      </c>
      <c r="J45" s="180"/>
      <c r="Q45" s="10"/>
      <c r="R45" s="10"/>
      <c r="S45" s="10"/>
      <c r="T45" s="10"/>
      <c r="U45" s="10"/>
      <c r="V45" s="10"/>
    </row>
    <row r="46" spans="1:22" x14ac:dyDescent="0.2">
      <c r="A46" s="164">
        <f t="shared" si="0"/>
        <v>38</v>
      </c>
      <c r="B46" s="118" t="s">
        <v>227</v>
      </c>
      <c r="C46" s="286"/>
      <c r="D46" s="286"/>
      <c r="E46" s="286"/>
      <c r="F46" s="511" t="s">
        <v>254</v>
      </c>
      <c r="G46" s="293"/>
      <c r="H46" s="293"/>
      <c r="I46" s="480"/>
      <c r="J46" s="180"/>
      <c r="Q46" s="10"/>
      <c r="R46" s="10"/>
      <c r="S46" s="10"/>
      <c r="T46" s="10"/>
      <c r="U46" s="10"/>
      <c r="V46" s="10"/>
    </row>
    <row r="47" spans="1:22" x14ac:dyDescent="0.2">
      <c r="A47" s="164">
        <f t="shared" si="0"/>
        <v>39</v>
      </c>
      <c r="B47" s="550" t="s">
        <v>228</v>
      </c>
      <c r="C47" s="286"/>
      <c r="D47" s="286"/>
      <c r="E47" s="286"/>
      <c r="F47" s="511" t="s">
        <v>255</v>
      </c>
      <c r="G47" s="293"/>
      <c r="H47" s="293"/>
      <c r="I47" s="480"/>
      <c r="J47" s="180"/>
      <c r="Q47" s="10"/>
      <c r="R47" s="10"/>
      <c r="S47" s="10"/>
      <c r="T47" s="10"/>
      <c r="U47" s="10"/>
      <c r="V47" s="10"/>
    </row>
    <row r="48" spans="1:22" x14ac:dyDescent="0.2">
      <c r="A48" s="164">
        <f t="shared" si="0"/>
        <v>40</v>
      </c>
      <c r="B48" s="550" t="s">
        <v>229</v>
      </c>
      <c r="C48" s="286"/>
      <c r="D48" s="286"/>
      <c r="E48" s="286"/>
      <c r="F48" s="511" t="s">
        <v>256</v>
      </c>
      <c r="G48" s="293"/>
      <c r="H48" s="293"/>
      <c r="I48" s="480"/>
      <c r="J48" s="180"/>
      <c r="Q48" s="10"/>
      <c r="R48" s="10"/>
      <c r="S48" s="10"/>
      <c r="T48" s="10"/>
      <c r="U48" s="10"/>
      <c r="V48" s="10"/>
    </row>
    <row r="49" spans="1:22" x14ac:dyDescent="0.2">
      <c r="A49" s="164">
        <f t="shared" si="0"/>
        <v>41</v>
      </c>
      <c r="B49" s="118" t="s">
        <v>230</v>
      </c>
      <c r="C49" s="286">
        <f>'pü.mérleg Önkorm.'!C49</f>
        <v>0</v>
      </c>
      <c r="D49" s="286">
        <f>'pü.mérleg Önkorm.'!D49</f>
        <v>0</v>
      </c>
      <c r="E49" s="286">
        <f>SUM(C49:D49)</f>
        <v>0</v>
      </c>
      <c r="F49" s="511" t="s">
        <v>257</v>
      </c>
      <c r="G49" s="293"/>
      <c r="H49" s="293"/>
      <c r="I49" s="480"/>
      <c r="J49" s="180"/>
      <c r="Q49" s="10"/>
      <c r="R49" s="10"/>
      <c r="S49" s="10"/>
      <c r="T49" s="10"/>
      <c r="U49" s="10"/>
      <c r="V49" s="10"/>
    </row>
    <row r="50" spans="1:22" x14ac:dyDescent="0.2">
      <c r="A50" s="164">
        <f t="shared" si="0"/>
        <v>42</v>
      </c>
      <c r="B50" s="118"/>
      <c r="C50" s="286"/>
      <c r="D50" s="286"/>
      <c r="E50" s="286"/>
      <c r="F50" s="511" t="s">
        <v>258</v>
      </c>
      <c r="G50" s="293"/>
      <c r="H50" s="293"/>
      <c r="I50" s="480"/>
      <c r="J50" s="180"/>
      <c r="Q50" s="10"/>
      <c r="R50" s="10"/>
      <c r="S50" s="10"/>
      <c r="T50" s="10"/>
      <c r="U50" s="10"/>
      <c r="V50" s="10"/>
    </row>
    <row r="51" spans="1:22" x14ac:dyDescent="0.2">
      <c r="A51" s="164">
        <f t="shared" si="0"/>
        <v>43</v>
      </c>
      <c r="B51" s="118"/>
      <c r="C51" s="286"/>
      <c r="D51" s="286"/>
      <c r="E51" s="286"/>
      <c r="F51" s="511" t="s">
        <v>259</v>
      </c>
      <c r="G51" s="293"/>
      <c r="H51" s="293"/>
      <c r="I51" s="480"/>
      <c r="J51" s="180"/>
      <c r="Q51" s="10"/>
      <c r="R51" s="10"/>
      <c r="S51" s="10"/>
      <c r="T51" s="10"/>
      <c r="U51" s="10"/>
      <c r="V51" s="10"/>
    </row>
    <row r="52" spans="1:22" ht="12" thickBot="1" x14ac:dyDescent="0.25">
      <c r="A52" s="164">
        <f t="shared" si="0"/>
        <v>44</v>
      </c>
      <c r="B52" s="178" t="s">
        <v>474</v>
      </c>
      <c r="C52" s="648">
        <f>SUM(C38:C50)</f>
        <v>2437145</v>
      </c>
      <c r="D52" s="648">
        <f>SUM(D38:D50)</f>
        <v>160130</v>
      </c>
      <c r="E52" s="648">
        <f>SUM(E38:E50)</f>
        <v>2597275</v>
      </c>
      <c r="F52" s="888" t="s">
        <v>467</v>
      </c>
      <c r="G52" s="366">
        <f>SUM(G38:G51)</f>
        <v>27693</v>
      </c>
      <c r="H52" s="366">
        <f>SUM(H38:H51)</f>
        <v>3751</v>
      </c>
      <c r="I52" s="454">
        <f>SUM(I38:I51)</f>
        <v>31444</v>
      </c>
      <c r="J52" s="180"/>
      <c r="Q52" s="10"/>
      <c r="R52" s="10"/>
      <c r="S52" s="10"/>
      <c r="T52" s="10"/>
      <c r="U52" s="10"/>
      <c r="V52" s="10"/>
    </row>
    <row r="53" spans="1:22" ht="12" thickBot="1" x14ac:dyDescent="0.25">
      <c r="A53" s="962">
        <f t="shared" si="0"/>
        <v>45</v>
      </c>
      <c r="B53" s="305" t="s">
        <v>469</v>
      </c>
      <c r="C53" s="1135">
        <f>C33+C52</f>
        <v>3830204</v>
      </c>
      <c r="D53" s="935">
        <f>D33+D52</f>
        <v>1398073</v>
      </c>
      <c r="E53" s="936">
        <f>E33+E52</f>
        <v>5228277</v>
      </c>
      <c r="F53" s="518" t="s">
        <v>468</v>
      </c>
      <c r="G53" s="823">
        <f>G33+G52</f>
        <v>3830204</v>
      </c>
      <c r="H53" s="823">
        <f>H33+H52</f>
        <v>1398073.32</v>
      </c>
      <c r="I53" s="1128">
        <f>I33+I52</f>
        <v>5228277.32</v>
      </c>
      <c r="J53" s="180"/>
      <c r="Q53" s="10"/>
      <c r="R53" s="10"/>
      <c r="S53" s="10"/>
      <c r="T53" s="10"/>
      <c r="U53" s="10"/>
      <c r="V53" s="10"/>
    </row>
    <row r="54" spans="1:22" x14ac:dyDescent="0.2">
      <c r="B54" s="183"/>
      <c r="C54" s="182"/>
      <c r="D54" s="182"/>
      <c r="E54" s="182"/>
      <c r="F54" s="182"/>
      <c r="G54" s="182"/>
      <c r="H54" s="182"/>
      <c r="I54" s="182"/>
      <c r="T54" s="10"/>
      <c r="U54" s="10"/>
      <c r="V54" s="10"/>
    </row>
    <row r="55" spans="1:22" s="11" customFormat="1" ht="12.75" x14ac:dyDescent="0.2">
      <c r="A55" s="183"/>
      <c r="B55" s="178"/>
      <c r="C55" s="182"/>
      <c r="D55" s="182"/>
      <c r="E55" s="450">
        <f>E53-I53</f>
        <v>-0.32000000029802322</v>
      </c>
      <c r="F55" s="182"/>
      <c r="G55" s="182"/>
      <c r="H55" s="182"/>
      <c r="I55" s="182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6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65"/>
  <sheetViews>
    <sheetView topLeftCell="B1" workbookViewId="0">
      <selection activeCell="I48" sqref="I48"/>
    </sheetView>
  </sheetViews>
  <sheetFormatPr defaultColWidth="9.140625" defaultRowHeight="12" x14ac:dyDescent="0.2"/>
  <cols>
    <col min="1" max="1" width="3.7109375" style="148" hidden="1" customWidth="1"/>
    <col min="2" max="2" width="5.7109375" style="151" customWidth="1"/>
    <col min="3" max="3" width="53" style="146" customWidth="1"/>
    <col min="4" max="4" width="9" style="145" customWidth="1"/>
    <col min="5" max="5" width="9.140625" style="145"/>
    <col min="6" max="6" width="9.7109375" style="145" customWidth="1"/>
    <col min="7" max="16384" width="9.140625" style="13"/>
  </cols>
  <sheetData>
    <row r="1" spans="1:7" x14ac:dyDescent="0.2">
      <c r="B1" s="1208" t="s">
        <v>1237</v>
      </c>
      <c r="C1" s="1208"/>
      <c r="D1" s="1208"/>
      <c r="E1" s="1208"/>
      <c r="F1" s="1208"/>
    </row>
    <row r="2" spans="1:7" x14ac:dyDescent="0.2">
      <c r="B2" s="295"/>
      <c r="C2" s="295"/>
      <c r="D2" s="295"/>
      <c r="E2" s="295"/>
      <c r="F2" s="295"/>
    </row>
    <row r="3" spans="1:7" x14ac:dyDescent="0.2">
      <c r="B3" s="1214" t="s">
        <v>488</v>
      </c>
      <c r="C3" s="1215"/>
      <c r="D3" s="1215"/>
      <c r="E3" s="1215"/>
      <c r="F3" s="1215"/>
    </row>
    <row r="4" spans="1:7" x14ac:dyDescent="0.2">
      <c r="B4" s="1215" t="s">
        <v>1157</v>
      </c>
      <c r="C4" s="1215"/>
      <c r="D4" s="1215"/>
      <c r="E4" s="1216"/>
      <c r="F4" s="1216"/>
    </row>
    <row r="5" spans="1:7" x14ac:dyDescent="0.2">
      <c r="B5" s="144"/>
      <c r="C5" s="144"/>
      <c r="D5" s="144"/>
      <c r="E5" s="296"/>
      <c r="F5" s="296"/>
    </row>
    <row r="6" spans="1:7" x14ac:dyDescent="0.2">
      <c r="B6" s="144"/>
      <c r="C6" s="144"/>
      <c r="D6" s="144"/>
      <c r="E6" s="296"/>
      <c r="F6" s="296"/>
    </row>
    <row r="7" spans="1:7" ht="12.75" x14ac:dyDescent="0.2">
      <c r="B7" s="144"/>
      <c r="C7" s="1209" t="s">
        <v>321</v>
      </c>
      <c r="D7" s="1210"/>
      <c r="E7" s="1210"/>
      <c r="F7" s="1210"/>
    </row>
    <row r="8" spans="1:7" ht="19.149999999999999" customHeight="1" x14ac:dyDescent="0.2">
      <c r="B8" s="1211" t="s">
        <v>77</v>
      </c>
      <c r="C8" s="1212" t="s">
        <v>86</v>
      </c>
      <c r="D8" s="1213" t="s">
        <v>1120</v>
      </c>
      <c r="E8" s="1213"/>
      <c r="F8" s="1213"/>
    </row>
    <row r="9" spans="1:7" s="8" customFormat="1" ht="42.75" customHeight="1" x14ac:dyDescent="0.2">
      <c r="A9" s="149"/>
      <c r="B9" s="1211"/>
      <c r="C9" s="1212"/>
      <c r="D9" s="913" t="s">
        <v>62</v>
      </c>
      <c r="E9" s="913" t="s">
        <v>63</v>
      </c>
      <c r="F9" s="913" t="s">
        <v>64</v>
      </c>
    </row>
    <row r="10" spans="1:7" ht="14.25" customHeight="1" x14ac:dyDescent="0.2">
      <c r="B10" s="150" t="s">
        <v>508</v>
      </c>
      <c r="C10" s="914" t="s">
        <v>460</v>
      </c>
      <c r="D10" s="915"/>
      <c r="E10" s="147"/>
      <c r="F10" s="916"/>
      <c r="G10" s="614"/>
    </row>
    <row r="11" spans="1:7" ht="28.9" customHeight="1" x14ac:dyDescent="0.2">
      <c r="B11" s="963" t="s">
        <v>516</v>
      </c>
      <c r="C11" s="964" t="s">
        <v>480</v>
      </c>
      <c r="D11" s="925"/>
      <c r="E11" s="965"/>
      <c r="F11" s="925"/>
      <c r="G11" s="614"/>
    </row>
    <row r="12" spans="1:7" x14ac:dyDescent="0.2">
      <c r="B12" s="150" t="s">
        <v>517</v>
      </c>
      <c r="C12" s="918" t="s">
        <v>461</v>
      </c>
      <c r="D12" s="647"/>
      <c r="E12" s="147"/>
      <c r="F12" s="647"/>
      <c r="G12" s="614"/>
    </row>
    <row r="13" spans="1:7" x14ac:dyDescent="0.2">
      <c r="B13" s="150" t="s">
        <v>518</v>
      </c>
      <c r="C13" s="918" t="s">
        <v>1114</v>
      </c>
      <c r="D13" s="647"/>
      <c r="E13" s="147">
        <v>18116</v>
      </c>
      <c r="F13" s="647">
        <f t="shared" ref="F13:F21" si="0">SUM(D13:E13)</f>
        <v>18116</v>
      </c>
      <c r="G13" s="614"/>
    </row>
    <row r="14" spans="1:7" x14ac:dyDescent="0.2">
      <c r="B14" s="150" t="s">
        <v>519</v>
      </c>
      <c r="C14" s="918" t="s">
        <v>1113</v>
      </c>
      <c r="D14" s="647"/>
      <c r="E14" s="147">
        <v>24154</v>
      </c>
      <c r="F14" s="647">
        <f t="shared" si="0"/>
        <v>24154</v>
      </c>
      <c r="G14" s="614"/>
    </row>
    <row r="15" spans="1:7" x14ac:dyDescent="0.2">
      <c r="B15" s="150" t="s">
        <v>520</v>
      </c>
      <c r="C15" s="918" t="s">
        <v>955</v>
      </c>
      <c r="D15" s="647">
        <v>0</v>
      </c>
      <c r="E15" s="147"/>
      <c r="F15" s="647">
        <f t="shared" si="0"/>
        <v>0</v>
      </c>
      <c r="G15" s="614"/>
    </row>
    <row r="16" spans="1:7" x14ac:dyDescent="0.2">
      <c r="B16" s="150" t="s">
        <v>521</v>
      </c>
      <c r="C16" s="918" t="s">
        <v>462</v>
      </c>
      <c r="D16" s="647">
        <v>4500</v>
      </c>
      <c r="E16" s="147"/>
      <c r="F16" s="647">
        <f t="shared" si="0"/>
        <v>4500</v>
      </c>
      <c r="G16" s="614"/>
    </row>
    <row r="17" spans="1:7" x14ac:dyDescent="0.2">
      <c r="B17" s="150" t="s">
        <v>522</v>
      </c>
      <c r="C17" s="919" t="s">
        <v>463</v>
      </c>
      <c r="D17" s="647"/>
      <c r="E17" s="147">
        <v>2000</v>
      </c>
      <c r="F17" s="647">
        <f t="shared" si="0"/>
        <v>2000</v>
      </c>
      <c r="G17" s="614"/>
    </row>
    <row r="18" spans="1:7" ht="13.5" customHeight="1" x14ac:dyDescent="0.2">
      <c r="B18" s="150" t="s">
        <v>523</v>
      </c>
      <c r="C18" s="919" t="s">
        <v>496</v>
      </c>
      <c r="D18" s="647">
        <v>1250</v>
      </c>
      <c r="E18" s="647"/>
      <c r="F18" s="647">
        <f t="shared" si="0"/>
        <v>1250</v>
      </c>
      <c r="G18" s="614"/>
    </row>
    <row r="19" spans="1:7" ht="13.5" customHeight="1" x14ac:dyDescent="0.2">
      <c r="B19" s="150" t="s">
        <v>565</v>
      </c>
      <c r="C19" s="982" t="s">
        <v>328</v>
      </c>
      <c r="D19" s="983"/>
      <c r="E19" s="984">
        <v>50</v>
      </c>
      <c r="F19" s="983">
        <f t="shared" si="0"/>
        <v>50</v>
      </c>
      <c r="G19" s="614"/>
    </row>
    <row r="20" spans="1:7" ht="13.5" customHeight="1" x14ac:dyDescent="0.2">
      <c r="B20" s="150" t="s">
        <v>566</v>
      </c>
      <c r="C20" s="982" t="s">
        <v>1147</v>
      </c>
      <c r="D20" s="983"/>
      <c r="E20" s="984">
        <v>1112</v>
      </c>
      <c r="F20" s="983">
        <f t="shared" si="0"/>
        <v>1112</v>
      </c>
      <c r="G20" s="614"/>
    </row>
    <row r="21" spans="1:7" ht="13.5" customHeight="1" x14ac:dyDescent="0.2">
      <c r="B21" s="150" t="s">
        <v>567</v>
      </c>
      <c r="C21" s="982" t="s">
        <v>1238</v>
      </c>
      <c r="D21" s="983"/>
      <c r="E21" s="984">
        <v>191</v>
      </c>
      <c r="F21" s="983">
        <f t="shared" si="0"/>
        <v>191</v>
      </c>
      <c r="G21" s="614"/>
    </row>
    <row r="22" spans="1:7" ht="15" customHeight="1" x14ac:dyDescent="0.2">
      <c r="B22" s="150" t="s">
        <v>568</v>
      </c>
      <c r="C22" s="917" t="s">
        <v>481</v>
      </c>
      <c r="D22" s="921">
        <f>SUM(D13:D20)</f>
        <v>5750</v>
      </c>
      <c r="E22" s="921">
        <f>SUM(E13:E21)</f>
        <v>45623</v>
      </c>
      <c r="F22" s="921">
        <f>SUM(F13:F21)</f>
        <v>51373</v>
      </c>
      <c r="G22" s="614"/>
    </row>
    <row r="23" spans="1:7" x14ac:dyDescent="0.2">
      <c r="B23" s="150" t="s">
        <v>569</v>
      </c>
      <c r="C23" s="922"/>
      <c r="D23" s="647"/>
      <c r="E23" s="920"/>
      <c r="F23" s="647"/>
      <c r="G23" s="614"/>
    </row>
    <row r="24" spans="1:7" x14ac:dyDescent="0.2">
      <c r="B24" s="150" t="s">
        <v>570</v>
      </c>
      <c r="C24" s="923" t="s">
        <v>482</v>
      </c>
      <c r="D24" s="647"/>
      <c r="E24" s="920"/>
      <c r="F24" s="647"/>
      <c r="G24" s="614"/>
    </row>
    <row r="25" spans="1:7" s="8" customFormat="1" ht="15.6" customHeight="1" x14ac:dyDescent="0.2">
      <c r="A25" s="149"/>
      <c r="B25" s="150" t="s">
        <v>571</v>
      </c>
      <c r="C25" s="924" t="s">
        <v>497</v>
      </c>
      <c r="D25" s="647">
        <v>103258</v>
      </c>
      <c r="E25" s="920"/>
      <c r="F25" s="647">
        <f>D25</f>
        <v>103258</v>
      </c>
      <c r="G25" s="613"/>
    </row>
    <row r="26" spans="1:7" s="8" customFormat="1" ht="12" customHeight="1" x14ac:dyDescent="0.2">
      <c r="A26" s="149"/>
      <c r="B26" s="150" t="s">
        <v>572</v>
      </c>
      <c r="C26" s="924" t="s">
        <v>333</v>
      </c>
      <c r="D26" s="647">
        <v>12627</v>
      </c>
      <c r="E26" s="920"/>
      <c r="F26" s="647">
        <f t="shared" ref="F26:F31" si="1">SUM(D26:E26)</f>
        <v>12627</v>
      </c>
      <c r="G26" s="613"/>
    </row>
    <row r="27" spans="1:7" s="8" customFormat="1" ht="12" customHeight="1" x14ac:dyDescent="0.2">
      <c r="A27" s="149"/>
      <c r="B27" s="150" t="s">
        <v>574</v>
      </c>
      <c r="C27" s="924" t="s">
        <v>1027</v>
      </c>
      <c r="D27" s="647"/>
      <c r="E27" s="920"/>
      <c r="F27" s="647">
        <f t="shared" si="1"/>
        <v>0</v>
      </c>
      <c r="G27" s="613"/>
    </row>
    <row r="28" spans="1:7" s="8" customFormat="1" x14ac:dyDescent="0.2">
      <c r="A28" s="149"/>
      <c r="B28" s="150" t="s">
        <v>575</v>
      </c>
      <c r="C28" s="922" t="s">
        <v>1169</v>
      </c>
      <c r="D28" s="647"/>
      <c r="E28" s="920">
        <v>19500</v>
      </c>
      <c r="F28" s="647">
        <f t="shared" si="1"/>
        <v>19500</v>
      </c>
      <c r="G28" s="613"/>
    </row>
    <row r="29" spans="1:7" s="8" customFormat="1" x14ac:dyDescent="0.2">
      <c r="A29" s="149"/>
      <c r="B29" s="150" t="s">
        <v>576</v>
      </c>
      <c r="C29" s="922" t="s">
        <v>331</v>
      </c>
      <c r="D29" s="647"/>
      <c r="E29" s="920">
        <v>75000</v>
      </c>
      <c r="F29" s="647">
        <f t="shared" si="1"/>
        <v>75000</v>
      </c>
      <c r="G29" s="613"/>
    </row>
    <row r="30" spans="1:7" s="8" customFormat="1" x14ac:dyDescent="0.2">
      <c r="A30" s="149"/>
      <c r="B30" s="150" t="s">
        <v>577</v>
      </c>
      <c r="C30" s="922" t="s">
        <v>1165</v>
      </c>
      <c r="D30" s="647"/>
      <c r="E30" s="920">
        <v>5000</v>
      </c>
      <c r="F30" s="647">
        <f t="shared" si="1"/>
        <v>5000</v>
      </c>
      <c r="G30" s="613"/>
    </row>
    <row r="31" spans="1:7" s="8" customFormat="1" x14ac:dyDescent="0.2">
      <c r="A31" s="149"/>
      <c r="B31" s="150" t="s">
        <v>578</v>
      </c>
      <c r="C31" s="922" t="s">
        <v>72</v>
      </c>
      <c r="D31" s="647"/>
      <c r="E31" s="920">
        <v>50000</v>
      </c>
      <c r="F31" s="647">
        <f t="shared" si="1"/>
        <v>50000</v>
      </c>
      <c r="G31" s="613"/>
    </row>
    <row r="32" spans="1:7" s="8" customFormat="1" x14ac:dyDescent="0.2">
      <c r="A32" s="149"/>
      <c r="B32" s="150" t="s">
        <v>579</v>
      </c>
      <c r="C32" s="830" t="s">
        <v>193</v>
      </c>
      <c r="D32" s="925"/>
      <c r="E32" s="926">
        <v>3500</v>
      </c>
      <c r="F32" s="925">
        <f>D32+E32</f>
        <v>3500</v>
      </c>
      <c r="G32" s="613"/>
    </row>
    <row r="33" spans="1:7" s="8" customFormat="1" x14ac:dyDescent="0.2">
      <c r="A33" s="149"/>
      <c r="B33" s="150" t="s">
        <v>580</v>
      </c>
      <c r="C33" s="830" t="s">
        <v>332</v>
      </c>
      <c r="D33" s="925"/>
      <c r="E33" s="926">
        <v>3500</v>
      </c>
      <c r="F33" s="925">
        <f>D33+E33</f>
        <v>3500</v>
      </c>
      <c r="G33" s="613"/>
    </row>
    <row r="34" spans="1:7" s="8" customFormat="1" x14ac:dyDescent="0.2">
      <c r="A34" s="149"/>
      <c r="B34" s="150" t="s">
        <v>581</v>
      </c>
      <c r="C34" s="830" t="s">
        <v>334</v>
      </c>
      <c r="D34" s="925"/>
      <c r="E34" s="926">
        <v>250</v>
      </c>
      <c r="F34" s="925">
        <f>D34+E34</f>
        <v>250</v>
      </c>
      <c r="G34" s="613"/>
    </row>
    <row r="35" spans="1:7" s="8" customFormat="1" x14ac:dyDescent="0.2">
      <c r="A35" s="149"/>
      <c r="B35" s="150" t="s">
        <v>601</v>
      </c>
      <c r="C35" s="922" t="s">
        <v>335</v>
      </c>
      <c r="D35" s="925"/>
      <c r="E35" s="926">
        <v>1500</v>
      </c>
      <c r="F35" s="925">
        <f>E35</f>
        <v>1500</v>
      </c>
      <c r="G35" s="613"/>
    </row>
    <row r="36" spans="1:7" s="8" customFormat="1" x14ac:dyDescent="0.2">
      <c r="A36" s="149"/>
      <c r="B36" s="150" t="s">
        <v>602</v>
      </c>
      <c r="C36" s="922" t="s">
        <v>181</v>
      </c>
      <c r="D36" s="925"/>
      <c r="E36" s="926">
        <v>0</v>
      </c>
      <c r="F36" s="925">
        <f>SUM(D36:E36)</f>
        <v>0</v>
      </c>
      <c r="G36" s="1105"/>
    </row>
    <row r="37" spans="1:7" s="8" customFormat="1" x14ac:dyDescent="0.2">
      <c r="A37" s="149"/>
      <c r="B37" s="150" t="s">
        <v>603</v>
      </c>
      <c r="C37" s="922" t="s">
        <v>182</v>
      </c>
      <c r="D37" s="925"/>
      <c r="E37" s="926">
        <v>300</v>
      </c>
      <c r="F37" s="925">
        <f t="shared" ref="F37:F53" si="2">D37+E37</f>
        <v>300</v>
      </c>
      <c r="G37" s="613"/>
    </row>
    <row r="38" spans="1:7" s="8" customFormat="1" x14ac:dyDescent="0.2">
      <c r="A38" s="149"/>
      <c r="B38" s="150" t="s">
        <v>604</v>
      </c>
      <c r="C38" s="922" t="s">
        <v>183</v>
      </c>
      <c r="D38" s="925"/>
      <c r="E38" s="926">
        <v>2000</v>
      </c>
      <c r="F38" s="925">
        <f t="shared" si="2"/>
        <v>2000</v>
      </c>
      <c r="G38" s="613"/>
    </row>
    <row r="39" spans="1:7" s="8" customFormat="1" x14ac:dyDescent="0.2">
      <c r="A39" s="149"/>
      <c r="B39" s="150" t="s">
        <v>605</v>
      </c>
      <c r="C39" s="922" t="s">
        <v>304</v>
      </c>
      <c r="D39" s="925"/>
      <c r="E39" s="926">
        <v>1000</v>
      </c>
      <c r="F39" s="925">
        <f t="shared" si="2"/>
        <v>1000</v>
      </c>
      <c r="G39" s="613"/>
    </row>
    <row r="40" spans="1:7" s="8" customFormat="1" x14ac:dyDescent="0.2">
      <c r="A40" s="149"/>
      <c r="B40" s="150" t="s">
        <v>606</v>
      </c>
      <c r="C40" s="922" t="s">
        <v>305</v>
      </c>
      <c r="D40" s="925"/>
      <c r="E40" s="926">
        <v>2000</v>
      </c>
      <c r="F40" s="925">
        <f t="shared" si="2"/>
        <v>2000</v>
      </c>
      <c r="G40" s="613"/>
    </row>
    <row r="41" spans="1:7" s="8" customFormat="1" x14ac:dyDescent="0.2">
      <c r="A41" s="149"/>
      <c r="B41" s="150" t="s">
        <v>607</v>
      </c>
      <c r="C41" s="922" t="s">
        <v>988</v>
      </c>
      <c r="D41" s="925"/>
      <c r="E41" s="926">
        <v>1000</v>
      </c>
      <c r="F41" s="925">
        <f t="shared" si="2"/>
        <v>1000</v>
      </c>
      <c r="G41" s="613"/>
    </row>
    <row r="42" spans="1:7" s="8" customFormat="1" x14ac:dyDescent="0.2">
      <c r="A42" s="149"/>
      <c r="B42" s="150" t="s">
        <v>608</v>
      </c>
      <c r="C42" s="922" t="s">
        <v>989</v>
      </c>
      <c r="D42" s="925"/>
      <c r="E42" s="926">
        <v>400</v>
      </c>
      <c r="F42" s="925">
        <f t="shared" si="2"/>
        <v>400</v>
      </c>
      <c r="G42" s="613"/>
    </row>
    <row r="43" spans="1:7" s="8" customFormat="1" x14ac:dyDescent="0.2">
      <c r="A43" s="149"/>
      <c r="B43" s="150" t="s">
        <v>609</v>
      </c>
      <c r="C43" s="922" t="s">
        <v>1023</v>
      </c>
      <c r="D43" s="925"/>
      <c r="E43" s="926">
        <v>100</v>
      </c>
      <c r="F43" s="925">
        <f t="shared" si="2"/>
        <v>100</v>
      </c>
      <c r="G43" s="613"/>
    </row>
    <row r="44" spans="1:7" s="8" customFormat="1" ht="12.75" customHeight="1" x14ac:dyDescent="0.2">
      <c r="A44" s="149"/>
      <c r="B44" s="150" t="s">
        <v>664</v>
      </c>
      <c r="C44" s="922" t="s">
        <v>1168</v>
      </c>
      <c r="D44" s="925"/>
      <c r="E44" s="926">
        <v>900</v>
      </c>
      <c r="F44" s="925">
        <f t="shared" si="2"/>
        <v>900</v>
      </c>
      <c r="G44" s="613"/>
    </row>
    <row r="45" spans="1:7" s="8" customFormat="1" x14ac:dyDescent="0.2">
      <c r="A45" s="149"/>
      <c r="B45" s="150" t="s">
        <v>665</v>
      </c>
      <c r="C45" s="922" t="s">
        <v>1024</v>
      </c>
      <c r="D45" s="925"/>
      <c r="E45" s="926">
        <v>100</v>
      </c>
      <c r="F45" s="925">
        <f t="shared" si="2"/>
        <v>100</v>
      </c>
      <c r="G45" s="613"/>
    </row>
    <row r="46" spans="1:7" s="8" customFormat="1" x14ac:dyDescent="0.2">
      <c r="A46" s="149"/>
      <c r="B46" s="150" t="s">
        <v>666</v>
      </c>
      <c r="C46" s="985" t="s">
        <v>1025</v>
      </c>
      <c r="D46" s="986"/>
      <c r="E46" s="987">
        <v>50</v>
      </c>
      <c r="F46" s="986">
        <f t="shared" si="2"/>
        <v>50</v>
      </c>
      <c r="G46" s="613"/>
    </row>
    <row r="47" spans="1:7" s="8" customFormat="1" x14ac:dyDescent="0.2">
      <c r="A47" s="149"/>
      <c r="B47" s="150" t="s">
        <v>667</v>
      </c>
      <c r="C47" s="985" t="s">
        <v>1026</v>
      </c>
      <c r="D47" s="986"/>
      <c r="E47" s="987">
        <v>821</v>
      </c>
      <c r="F47" s="986">
        <f t="shared" si="2"/>
        <v>821</v>
      </c>
      <c r="G47" s="613"/>
    </row>
    <row r="48" spans="1:7" s="8" customFormat="1" x14ac:dyDescent="0.2">
      <c r="A48" s="149"/>
      <c r="B48" s="150" t="s">
        <v>125</v>
      </c>
      <c r="C48" s="985" t="s">
        <v>1166</v>
      </c>
      <c r="D48" s="986"/>
      <c r="E48" s="987">
        <v>50</v>
      </c>
      <c r="F48" s="986">
        <f t="shared" si="2"/>
        <v>50</v>
      </c>
      <c r="G48" s="613"/>
    </row>
    <row r="49" spans="1:7" s="8" customFormat="1" ht="24" x14ac:dyDescent="0.2">
      <c r="A49" s="149"/>
      <c r="B49" s="963" t="s">
        <v>693</v>
      </c>
      <c r="C49" s="985" t="s">
        <v>1167</v>
      </c>
      <c r="D49" s="986"/>
      <c r="E49" s="987">
        <v>150</v>
      </c>
      <c r="F49" s="986">
        <f t="shared" si="2"/>
        <v>150</v>
      </c>
      <c r="G49" s="613"/>
    </row>
    <row r="50" spans="1:7" s="8" customFormat="1" x14ac:dyDescent="0.2">
      <c r="A50" s="149"/>
      <c r="B50" s="150" t="s">
        <v>694</v>
      </c>
      <c r="C50" s="985" t="s">
        <v>1183</v>
      </c>
      <c r="D50" s="986"/>
      <c r="E50" s="987">
        <v>127</v>
      </c>
      <c r="F50" s="986">
        <f t="shared" si="2"/>
        <v>127</v>
      </c>
      <c r="G50" s="613"/>
    </row>
    <row r="51" spans="1:7" s="8" customFormat="1" x14ac:dyDescent="0.2">
      <c r="A51" s="149"/>
      <c r="B51" s="150" t="s">
        <v>128</v>
      </c>
      <c r="C51" s="985" t="s">
        <v>1239</v>
      </c>
      <c r="D51" s="986"/>
      <c r="E51" s="987">
        <v>1000</v>
      </c>
      <c r="F51" s="986">
        <f t="shared" si="2"/>
        <v>1000</v>
      </c>
      <c r="G51" s="613"/>
    </row>
    <row r="52" spans="1:7" s="8" customFormat="1" x14ac:dyDescent="0.2">
      <c r="A52" s="149"/>
      <c r="B52" s="150" t="s">
        <v>129</v>
      </c>
      <c r="C52" s="985" t="s">
        <v>1240</v>
      </c>
      <c r="D52" s="986"/>
      <c r="E52" s="987">
        <v>1000</v>
      </c>
      <c r="F52" s="986">
        <f t="shared" si="2"/>
        <v>1000</v>
      </c>
      <c r="G52" s="613"/>
    </row>
    <row r="53" spans="1:7" s="8" customFormat="1" ht="12.75" customHeight="1" x14ac:dyDescent="0.2">
      <c r="A53" s="149"/>
      <c r="B53" s="150" t="s">
        <v>130</v>
      </c>
      <c r="C53" s="985" t="s">
        <v>1241</v>
      </c>
      <c r="D53" s="986"/>
      <c r="E53" s="987">
        <v>1000</v>
      </c>
      <c r="F53" s="986">
        <f t="shared" si="2"/>
        <v>1000</v>
      </c>
      <c r="G53" s="613"/>
    </row>
    <row r="54" spans="1:7" s="8" customFormat="1" x14ac:dyDescent="0.2">
      <c r="A54" s="149"/>
      <c r="B54" s="150" t="s">
        <v>133</v>
      </c>
      <c r="C54" s="922" t="s">
        <v>1140</v>
      </c>
      <c r="D54" s="925">
        <v>800</v>
      </c>
      <c r="E54" s="926">
        <v>160</v>
      </c>
      <c r="F54" s="925">
        <f>SUM(D54:E54)</f>
        <v>960</v>
      </c>
      <c r="G54" s="613"/>
    </row>
    <row r="55" spans="1:7" s="8" customFormat="1" x14ac:dyDescent="0.2">
      <c r="A55" s="149"/>
      <c r="B55" s="150" t="s">
        <v>136</v>
      </c>
      <c r="C55" s="923" t="s">
        <v>483</v>
      </c>
      <c r="D55" s="921">
        <f>SUM(D24:D54)</f>
        <v>116685</v>
      </c>
      <c r="E55" s="921">
        <f>SUM(E28:E54)</f>
        <v>170408</v>
      </c>
      <c r="F55" s="921">
        <f>SUM(F24:F54)</f>
        <v>287093</v>
      </c>
      <c r="G55" s="613"/>
    </row>
    <row r="56" spans="1:7" x14ac:dyDescent="0.2">
      <c r="B56" s="150" t="s">
        <v>137</v>
      </c>
      <c r="C56" s="927"/>
      <c r="D56" s="647"/>
      <c r="E56" s="920"/>
      <c r="F56" s="647"/>
      <c r="G56" s="614"/>
    </row>
    <row r="57" spans="1:7" ht="14.25" customHeight="1" x14ac:dyDescent="0.2">
      <c r="B57" s="150" t="s">
        <v>138</v>
      </c>
      <c r="C57" s="917" t="s">
        <v>484</v>
      </c>
      <c r="D57" s="647">
        <f>D22</f>
        <v>5750</v>
      </c>
      <c r="E57" s="920">
        <f>E22</f>
        <v>45623</v>
      </c>
      <c r="F57" s="647">
        <f>F22</f>
        <v>51373</v>
      </c>
      <c r="G57" s="614"/>
    </row>
    <row r="58" spans="1:7" ht="14.25" customHeight="1" x14ac:dyDescent="0.2">
      <c r="B58" s="150" t="s">
        <v>139</v>
      </c>
      <c r="C58" s="923" t="s">
        <v>485</v>
      </c>
      <c r="D58" s="647">
        <f>D55</f>
        <v>116685</v>
      </c>
      <c r="E58" s="147">
        <f>E55</f>
        <v>170408</v>
      </c>
      <c r="F58" s="647">
        <f>F55</f>
        <v>287093</v>
      </c>
      <c r="G58" s="614"/>
    </row>
    <row r="59" spans="1:7" ht="12.75" thickBot="1" x14ac:dyDescent="0.25">
      <c r="B59" s="150" t="s">
        <v>142</v>
      </c>
      <c r="C59" s="918"/>
      <c r="D59" s="647"/>
      <c r="E59" s="147"/>
      <c r="F59" s="647"/>
      <c r="G59" s="614"/>
    </row>
    <row r="60" spans="1:7" ht="12.75" thickBot="1" x14ac:dyDescent="0.25">
      <c r="B60" s="150" t="s">
        <v>145</v>
      </c>
      <c r="C60" s="928" t="s">
        <v>670</v>
      </c>
      <c r="D60" s="929">
        <f>D57+D58</f>
        <v>122435</v>
      </c>
      <c r="E60" s="929">
        <f>E57+E58</f>
        <v>216031</v>
      </c>
      <c r="F60" s="930">
        <f>F57+F58</f>
        <v>338466</v>
      </c>
    </row>
    <row r="61" spans="1:7" x14ac:dyDescent="0.2">
      <c r="B61" s="150"/>
    </row>
    <row r="62" spans="1:7" x14ac:dyDescent="0.2">
      <c r="B62" s="150"/>
    </row>
    <row r="63" spans="1:7" x14ac:dyDescent="0.2">
      <c r="B63" s="150"/>
    </row>
    <row r="64" spans="1:7" x14ac:dyDescent="0.2">
      <c r="B64" s="150"/>
    </row>
    <row r="65" spans="2:2" x14ac:dyDescent="0.2">
      <c r="B65" s="150"/>
    </row>
  </sheetData>
  <sheetProtection selectLockedCells="1" selectUnlockedCells="1"/>
  <mergeCells count="7">
    <mergeCell ref="B1:F1"/>
    <mergeCell ref="C7:F7"/>
    <mergeCell ref="B8:B9"/>
    <mergeCell ref="C8:C9"/>
    <mergeCell ref="D8:F8"/>
    <mergeCell ref="B3:F3"/>
    <mergeCell ref="B4:F4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88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36"/>
  <sheetViews>
    <sheetView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activeCell="J41" sqref="J41"/>
    </sheetView>
  </sheetViews>
  <sheetFormatPr defaultColWidth="9.140625" defaultRowHeight="14.1" customHeight="1" x14ac:dyDescent="0.2"/>
  <cols>
    <col min="1" max="1" width="3.7109375" style="330" customWidth="1"/>
    <col min="2" max="2" width="41.42578125" style="344" customWidth="1"/>
    <col min="3" max="3" width="9.85546875" style="85" customWidth="1"/>
    <col min="4" max="4" width="8.7109375" style="85" customWidth="1"/>
    <col min="5" max="5" width="7.85546875" style="85" customWidth="1"/>
    <col min="6" max="6" width="8.42578125" style="98" customWidth="1"/>
    <col min="7" max="7" width="9.85546875" style="114" customWidth="1"/>
    <col min="8" max="8" width="7.28515625" style="114" customWidth="1"/>
    <col min="9" max="16384" width="9.140625" style="84"/>
  </cols>
  <sheetData>
    <row r="1" spans="1:9" ht="12.75" customHeight="1" x14ac:dyDescent="0.2">
      <c r="A1" s="1217" t="s">
        <v>1242</v>
      </c>
      <c r="B1" s="1217"/>
      <c r="C1" s="1217"/>
      <c r="D1" s="1217"/>
      <c r="E1" s="1217"/>
      <c r="F1" s="1217"/>
      <c r="G1" s="1189"/>
      <c r="H1" s="1189"/>
    </row>
    <row r="2" spans="1:9" ht="14.1" customHeight="1" x14ac:dyDescent="0.2">
      <c r="A2" s="1218" t="s">
        <v>78</v>
      </c>
      <c r="B2" s="1218"/>
      <c r="C2" s="1218"/>
      <c r="D2" s="1218"/>
      <c r="E2" s="1218"/>
      <c r="F2" s="1218"/>
      <c r="G2" s="1189"/>
      <c r="H2" s="1189"/>
    </row>
    <row r="3" spans="1:9" ht="14.1" customHeight="1" x14ac:dyDescent="0.2">
      <c r="A3" s="345"/>
      <c r="B3" s="1229" t="s">
        <v>1158</v>
      </c>
      <c r="C3" s="1229"/>
      <c r="D3" s="1229"/>
      <c r="E3" s="1229"/>
      <c r="F3" s="1229"/>
      <c r="G3" s="1229"/>
      <c r="H3" s="1229"/>
    </row>
    <row r="4" spans="1:9" ht="14.25" customHeight="1" thickBot="1" x14ac:dyDescent="0.25">
      <c r="A4" s="1221" t="s">
        <v>321</v>
      </c>
      <c r="B4" s="1221"/>
      <c r="C4" s="1221"/>
      <c r="D4" s="1221"/>
      <c r="E4" s="1221"/>
      <c r="F4" s="1221"/>
      <c r="G4" s="1222"/>
      <c r="H4" s="1222"/>
    </row>
    <row r="5" spans="1:9" ht="24" customHeight="1" thickBot="1" x14ac:dyDescent="0.25">
      <c r="A5" s="1223" t="s">
        <v>498</v>
      </c>
      <c r="B5" s="342" t="s">
        <v>57</v>
      </c>
      <c r="C5" s="87" t="s">
        <v>58</v>
      </c>
      <c r="D5" s="87" t="s">
        <v>59</v>
      </c>
      <c r="E5" s="87" t="s">
        <v>60</v>
      </c>
      <c r="F5" s="88" t="s">
        <v>499</v>
      </c>
      <c r="G5" s="88" t="s">
        <v>500</v>
      </c>
      <c r="H5" s="557" t="s">
        <v>501</v>
      </c>
    </row>
    <row r="6" spans="1:9" ht="1.9" hidden="1" customHeight="1" thickBot="1" x14ac:dyDescent="0.25">
      <c r="A6" s="1223"/>
      <c r="B6" s="343"/>
      <c r="C6" s="141"/>
      <c r="D6" s="141"/>
      <c r="E6" s="141"/>
      <c r="F6" s="142"/>
    </row>
    <row r="7" spans="1:9" s="271" customFormat="1" ht="23.25" customHeight="1" thickBot="1" x14ac:dyDescent="0.25">
      <c r="A7" s="1223"/>
      <c r="B7" s="343"/>
      <c r="C7" s="141"/>
      <c r="D7" s="1230" t="s">
        <v>337</v>
      </c>
      <c r="E7" s="1231"/>
      <c r="F7" s="1232"/>
      <c r="G7" s="1219" t="s">
        <v>1120</v>
      </c>
      <c r="H7" s="1220"/>
    </row>
    <row r="8" spans="1:9" s="83" customFormat="1" ht="30.75" customHeight="1" thickBot="1" x14ac:dyDescent="0.25">
      <c r="A8" s="1223"/>
      <c r="B8" s="1224" t="s">
        <v>86</v>
      </c>
      <c r="C8" s="1224" t="s">
        <v>502</v>
      </c>
      <c r="D8" s="1233" t="s">
        <v>503</v>
      </c>
      <c r="E8" s="1233" t="s">
        <v>504</v>
      </c>
      <c r="F8" s="1226" t="s">
        <v>505</v>
      </c>
      <c r="G8" s="1225" t="s">
        <v>62</v>
      </c>
      <c r="H8" s="1227" t="s">
        <v>63</v>
      </c>
    </row>
    <row r="9" spans="1:9" s="83" customFormat="1" ht="41.25" customHeight="1" thickBot="1" x14ac:dyDescent="0.25">
      <c r="A9" s="1223"/>
      <c r="B9" s="1224"/>
      <c r="C9" s="1224"/>
      <c r="D9" s="1233"/>
      <c r="E9" s="1233"/>
      <c r="F9" s="1226"/>
      <c r="G9" s="1226"/>
      <c r="H9" s="1228"/>
    </row>
    <row r="10" spans="1:9" ht="14.1" customHeight="1" x14ac:dyDescent="0.2">
      <c r="A10" s="130"/>
      <c r="B10" s="89" t="s">
        <v>78</v>
      </c>
      <c r="C10" s="90"/>
      <c r="D10" s="90"/>
      <c r="E10" s="90"/>
      <c r="F10" s="91"/>
      <c r="H10" s="631"/>
      <c r="I10" s="615"/>
    </row>
    <row r="11" spans="1:9" ht="14.1" customHeight="1" x14ac:dyDescent="0.2">
      <c r="A11" s="130"/>
      <c r="B11" s="89"/>
      <c r="C11" s="90"/>
      <c r="D11" s="90"/>
      <c r="E11" s="90"/>
      <c r="F11" s="91"/>
      <c r="H11" s="632"/>
      <c r="I11" s="615"/>
    </row>
    <row r="12" spans="1:9" ht="14.1" customHeight="1" x14ac:dyDescent="0.2">
      <c r="A12" s="326" t="s">
        <v>506</v>
      </c>
      <c r="B12" s="89" t="s">
        <v>507</v>
      </c>
      <c r="C12" s="90"/>
      <c r="D12" s="90"/>
      <c r="E12" s="90"/>
      <c r="F12" s="91"/>
      <c r="H12" s="632"/>
      <c r="I12" s="615"/>
    </row>
    <row r="13" spans="1:9" s="101" customFormat="1" ht="13.15" customHeight="1" thickBot="1" x14ac:dyDescent="0.25">
      <c r="A13" s="285"/>
      <c r="B13" s="92"/>
      <c r="C13" s="490"/>
      <c r="D13" s="128"/>
      <c r="E13" s="128"/>
      <c r="F13" s="107"/>
      <c r="G13" s="85"/>
      <c r="H13" s="90"/>
      <c r="I13" s="616"/>
    </row>
    <row r="14" spans="1:9" s="101" customFormat="1" ht="15" customHeight="1" thickBot="1" x14ac:dyDescent="0.25">
      <c r="A14" s="327"/>
      <c r="B14" s="93" t="s">
        <v>510</v>
      </c>
      <c r="C14" s="94"/>
      <c r="D14" s="831">
        <f>SUM(D13:D13)</f>
        <v>0</v>
      </c>
      <c r="E14" s="831">
        <f>SUM(E13:E13)</f>
        <v>0</v>
      </c>
      <c r="F14" s="831">
        <f>SUM(F13:F13)</f>
        <v>0</v>
      </c>
      <c r="G14" s="831">
        <f>SUM(G13:G13)</f>
        <v>0</v>
      </c>
      <c r="H14" s="831">
        <f>SUM(H13:H13)</f>
        <v>0</v>
      </c>
      <c r="I14" s="618"/>
    </row>
    <row r="15" spans="1:9" ht="14.1" customHeight="1" x14ac:dyDescent="0.2">
      <c r="A15" s="328"/>
      <c r="B15" s="92"/>
      <c r="C15" s="90"/>
      <c r="D15" s="90"/>
      <c r="E15" s="90"/>
      <c r="F15" s="91"/>
      <c r="H15" s="632"/>
      <c r="I15" s="615"/>
    </row>
    <row r="16" spans="1:9" ht="12" customHeight="1" x14ac:dyDescent="0.2">
      <c r="A16" s="328" t="s">
        <v>511</v>
      </c>
      <c r="B16" s="89" t="s">
        <v>512</v>
      </c>
      <c r="C16" s="90"/>
      <c r="D16" s="90"/>
      <c r="E16" s="90"/>
      <c r="F16" s="91"/>
      <c r="H16" s="632"/>
      <c r="I16" s="615"/>
    </row>
    <row r="17" spans="1:12" ht="26.25" customHeight="1" x14ac:dyDescent="0.2">
      <c r="A17" s="130" t="s">
        <v>508</v>
      </c>
      <c r="B17" s="92" t="s">
        <v>1280</v>
      </c>
      <c r="C17" s="490" t="s">
        <v>509</v>
      </c>
      <c r="D17" s="816">
        <v>7874</v>
      </c>
      <c r="E17" s="816">
        <v>2126</v>
      </c>
      <c r="F17" s="817">
        <f>D17+E17</f>
        <v>10000</v>
      </c>
      <c r="G17" s="491">
        <f>F17</f>
        <v>10000</v>
      </c>
      <c r="H17" s="816"/>
      <c r="I17" s="818"/>
    </row>
    <row r="18" spans="1:12" ht="13.5" customHeight="1" thickBot="1" x14ac:dyDescent="0.25">
      <c r="A18" s="130"/>
      <c r="B18" s="109"/>
      <c r="C18" s="90"/>
      <c r="D18" s="128"/>
      <c r="E18" s="128"/>
      <c r="F18" s="107"/>
      <c r="G18" s="86"/>
      <c r="H18" s="128"/>
      <c r="I18" s="818"/>
    </row>
    <row r="19" spans="1:12" ht="12" customHeight="1" thickBot="1" x14ac:dyDescent="0.25">
      <c r="A19" s="500"/>
      <c r="B19" s="493" t="s">
        <v>513</v>
      </c>
      <c r="C19" s="153"/>
      <c r="D19" s="832">
        <f>SUM(D17:D18)</f>
        <v>7874</v>
      </c>
      <c r="E19" s="832">
        <f>SUM(E17:E18)</f>
        <v>2126</v>
      </c>
      <c r="F19" s="832">
        <f>SUM(F17:F18)</f>
        <v>10000</v>
      </c>
      <c r="G19" s="832">
        <f>SUM(G17:G18)</f>
        <v>10000</v>
      </c>
      <c r="H19" s="832">
        <f>SUM(H17:H18)</f>
        <v>0</v>
      </c>
      <c r="I19" s="615"/>
    </row>
    <row r="20" spans="1:12" ht="12" customHeight="1" x14ac:dyDescent="0.2">
      <c r="A20" s="328"/>
      <c r="B20" s="95"/>
      <c r="C20" s="90"/>
      <c r="D20" s="90"/>
      <c r="E20" s="90"/>
      <c r="F20" s="91"/>
      <c r="H20" s="632"/>
      <c r="I20" s="615"/>
    </row>
    <row r="21" spans="1:12" ht="15.75" customHeight="1" x14ac:dyDescent="0.2">
      <c r="A21" s="589" t="s">
        <v>514</v>
      </c>
      <c r="B21" s="100" t="s">
        <v>515</v>
      </c>
      <c r="C21" s="97"/>
      <c r="D21" s="90"/>
      <c r="E21" s="90"/>
      <c r="F21" s="91"/>
      <c r="H21" s="632"/>
      <c r="I21" s="615"/>
    </row>
    <row r="22" spans="1:12" s="101" customFormat="1" ht="19.5" customHeight="1" x14ac:dyDescent="0.2">
      <c r="A22" s="1017" t="s">
        <v>508</v>
      </c>
      <c r="B22" s="96" t="s">
        <v>1141</v>
      </c>
      <c r="C22" s="816" t="s">
        <v>997</v>
      </c>
      <c r="D22" s="816">
        <v>3495</v>
      </c>
      <c r="E22" s="816">
        <v>945</v>
      </c>
      <c r="F22" s="817">
        <f>D22+E22</f>
        <v>4440</v>
      </c>
      <c r="G22" s="491">
        <f t="shared" ref="G22:G27" si="0">F22</f>
        <v>4440</v>
      </c>
      <c r="H22" s="128"/>
      <c r="I22" s="616"/>
    </row>
    <row r="23" spans="1:12" s="101" customFormat="1" ht="19.5" customHeight="1" x14ac:dyDescent="0.2">
      <c r="A23" s="1017" t="s">
        <v>1175</v>
      </c>
      <c r="B23" s="96" t="s">
        <v>1035</v>
      </c>
      <c r="C23" s="490" t="s">
        <v>509</v>
      </c>
      <c r="D23" s="816">
        <f>108835+10945</f>
        <v>119780</v>
      </c>
      <c r="E23" s="816">
        <f>29386+2954</f>
        <v>32340</v>
      </c>
      <c r="F23" s="817">
        <f>D23+E23</f>
        <v>152120</v>
      </c>
      <c r="G23" s="491">
        <f t="shared" si="0"/>
        <v>152120</v>
      </c>
      <c r="H23" s="128"/>
      <c r="I23" s="616"/>
    </row>
    <row r="24" spans="1:12" s="101" customFormat="1" ht="24.75" customHeight="1" x14ac:dyDescent="0.2">
      <c r="A24" s="1017" t="s">
        <v>1174</v>
      </c>
      <c r="B24" s="96" t="s">
        <v>1176</v>
      </c>
      <c r="C24" s="816" t="s">
        <v>997</v>
      </c>
      <c r="D24" s="816">
        <v>29528</v>
      </c>
      <c r="E24" s="816">
        <v>7972</v>
      </c>
      <c r="F24" s="817">
        <f>SUM(D24:E24)</f>
        <v>37500</v>
      </c>
      <c r="G24" s="491">
        <f t="shared" si="0"/>
        <v>37500</v>
      </c>
      <c r="H24" s="128"/>
      <c r="I24" s="616"/>
    </row>
    <row r="25" spans="1:12" s="101" customFormat="1" ht="23.25" customHeight="1" x14ac:dyDescent="0.2">
      <c r="A25" s="1017" t="s">
        <v>517</v>
      </c>
      <c r="B25" s="96" t="s">
        <v>1177</v>
      </c>
      <c r="C25" s="490" t="s">
        <v>509</v>
      </c>
      <c r="D25" s="816">
        <v>21870</v>
      </c>
      <c r="E25" s="816">
        <v>5905</v>
      </c>
      <c r="F25" s="817">
        <f t="shared" ref="F25:F38" si="1">D25+E25</f>
        <v>27775</v>
      </c>
      <c r="G25" s="491">
        <f t="shared" si="0"/>
        <v>27775</v>
      </c>
      <c r="H25" s="816"/>
      <c r="I25" s="616"/>
    </row>
    <row r="26" spans="1:12" s="101" customFormat="1" ht="24.75" customHeight="1" x14ac:dyDescent="0.2">
      <c r="A26" s="1017" t="s">
        <v>518</v>
      </c>
      <c r="B26" s="96" t="s">
        <v>1012</v>
      </c>
      <c r="C26" s="490" t="s">
        <v>509</v>
      </c>
      <c r="D26" s="816">
        <f>23622-15748</f>
        <v>7874</v>
      </c>
      <c r="E26" s="816">
        <f>6378-4252</f>
        <v>2126</v>
      </c>
      <c r="F26" s="817">
        <f t="shared" si="1"/>
        <v>10000</v>
      </c>
      <c r="G26" s="491">
        <f t="shared" si="0"/>
        <v>10000</v>
      </c>
      <c r="H26" s="128"/>
      <c r="I26" s="616"/>
    </row>
    <row r="27" spans="1:12" s="101" customFormat="1" ht="26.25" customHeight="1" x14ac:dyDescent="0.2">
      <c r="A27" s="1017" t="s">
        <v>519</v>
      </c>
      <c r="B27" s="92" t="s">
        <v>1253</v>
      </c>
      <c r="C27" s="490" t="s">
        <v>509</v>
      </c>
      <c r="D27" s="816">
        <v>723404</v>
      </c>
      <c r="E27" s="816">
        <v>195319</v>
      </c>
      <c r="F27" s="817">
        <f t="shared" si="1"/>
        <v>918723</v>
      </c>
      <c r="G27" s="491">
        <f t="shared" si="0"/>
        <v>918723</v>
      </c>
      <c r="H27" s="128"/>
      <c r="I27" s="616"/>
    </row>
    <row r="28" spans="1:12" s="101" customFormat="1" ht="21.75" customHeight="1" x14ac:dyDescent="0.2">
      <c r="A28" s="1017" t="s">
        <v>520</v>
      </c>
      <c r="B28" s="759" t="s">
        <v>194</v>
      </c>
      <c r="C28" s="490" t="s">
        <v>509</v>
      </c>
      <c r="D28" s="816">
        <v>5468</v>
      </c>
      <c r="E28" s="816">
        <v>1486</v>
      </c>
      <c r="F28" s="817">
        <f t="shared" si="1"/>
        <v>6954</v>
      </c>
      <c r="G28" s="491"/>
      <c r="H28" s="816">
        <f>F28</f>
        <v>6954</v>
      </c>
      <c r="I28" s="616"/>
    </row>
    <row r="29" spans="1:12" s="101" customFormat="1" ht="36.75" customHeight="1" x14ac:dyDescent="0.2">
      <c r="A29" s="1017" t="s">
        <v>1162</v>
      </c>
      <c r="B29" s="1021" t="s">
        <v>1145</v>
      </c>
      <c r="C29" s="816" t="s">
        <v>509</v>
      </c>
      <c r="D29" s="816">
        <v>141228</v>
      </c>
      <c r="E29" s="816">
        <v>38132</v>
      </c>
      <c r="F29" s="817">
        <f t="shared" si="1"/>
        <v>179360</v>
      </c>
      <c r="G29" s="491">
        <f>F29</f>
        <v>179360</v>
      </c>
      <c r="H29" s="816"/>
      <c r="I29" s="992"/>
      <c r="J29" s="993"/>
      <c r="K29" s="993"/>
      <c r="L29" s="993"/>
    </row>
    <row r="30" spans="1:12" s="101" customFormat="1" ht="27" customHeight="1" x14ac:dyDescent="0.2">
      <c r="A30" s="1017" t="s">
        <v>1163</v>
      </c>
      <c r="B30" s="759" t="s">
        <v>1254</v>
      </c>
      <c r="C30" s="490"/>
      <c r="D30" s="816">
        <v>118110</v>
      </c>
      <c r="E30" s="816">
        <v>31890</v>
      </c>
      <c r="F30" s="817">
        <f t="shared" si="1"/>
        <v>150000</v>
      </c>
      <c r="G30" s="491">
        <f>F30</f>
        <v>150000</v>
      </c>
      <c r="H30" s="816"/>
      <c r="I30" s="616"/>
    </row>
    <row r="31" spans="1:12" s="101" customFormat="1" ht="21.75" customHeight="1" x14ac:dyDescent="0.2">
      <c r="A31" s="1017" t="s">
        <v>1164</v>
      </c>
      <c r="B31" s="759" t="s">
        <v>999</v>
      </c>
      <c r="C31" s="490" t="s">
        <v>509</v>
      </c>
      <c r="D31" s="816">
        <v>80132</v>
      </c>
      <c r="E31" s="816">
        <v>21635</v>
      </c>
      <c r="F31" s="817">
        <f t="shared" ref="F31" si="2">D31+E31</f>
        <v>101767</v>
      </c>
      <c r="G31" s="491">
        <f t="shared" ref="G31" si="3">F31</f>
        <v>101767</v>
      </c>
      <c r="H31" s="816"/>
      <c r="I31" s="616"/>
    </row>
    <row r="32" spans="1:12" s="101" customFormat="1" ht="21.75" customHeight="1" x14ac:dyDescent="0.2">
      <c r="A32" s="1017" t="s">
        <v>522</v>
      </c>
      <c r="B32" s="759" t="s">
        <v>998</v>
      </c>
      <c r="C32" s="490" t="s">
        <v>509</v>
      </c>
      <c r="D32" s="816">
        <v>11616</v>
      </c>
      <c r="E32" s="816">
        <v>3137</v>
      </c>
      <c r="F32" s="817">
        <f t="shared" si="1"/>
        <v>14753</v>
      </c>
      <c r="G32" s="491">
        <f t="shared" ref="G32:G35" si="4">F32</f>
        <v>14753</v>
      </c>
      <c r="H32" s="816"/>
      <c r="I32" s="616"/>
    </row>
    <row r="33" spans="1:9" s="101" customFormat="1" ht="21.75" customHeight="1" x14ac:dyDescent="0.2">
      <c r="A33" s="1017" t="s">
        <v>523</v>
      </c>
      <c r="B33" s="759" t="s">
        <v>1130</v>
      </c>
      <c r="C33" s="490" t="s">
        <v>509</v>
      </c>
      <c r="D33" s="816">
        <v>10000</v>
      </c>
      <c r="E33" s="816">
        <v>2700</v>
      </c>
      <c r="F33" s="817">
        <f t="shared" si="1"/>
        <v>12700</v>
      </c>
      <c r="G33" s="491">
        <f t="shared" si="4"/>
        <v>12700</v>
      </c>
      <c r="H33" s="816"/>
      <c r="I33" s="818"/>
    </row>
    <row r="34" spans="1:9" s="101" customFormat="1" ht="21.75" customHeight="1" x14ac:dyDescent="0.2">
      <c r="A34" s="1017" t="s">
        <v>565</v>
      </c>
      <c r="B34" s="759" t="s">
        <v>996</v>
      </c>
      <c r="C34" s="490" t="s">
        <v>509</v>
      </c>
      <c r="D34" s="816">
        <v>3000</v>
      </c>
      <c r="E34" s="816">
        <v>810</v>
      </c>
      <c r="F34" s="817">
        <f t="shared" si="1"/>
        <v>3810</v>
      </c>
      <c r="G34" s="491">
        <f t="shared" si="4"/>
        <v>3810</v>
      </c>
      <c r="H34" s="816"/>
      <c r="I34" s="818"/>
    </row>
    <row r="35" spans="1:9" s="101" customFormat="1" ht="21.75" customHeight="1" x14ac:dyDescent="0.2">
      <c r="A35" s="1017" t="s">
        <v>566</v>
      </c>
      <c r="B35" s="759" t="s">
        <v>1000</v>
      </c>
      <c r="C35" s="490" t="s">
        <v>509</v>
      </c>
      <c r="D35" s="816">
        <v>12367</v>
      </c>
      <c r="E35" s="816">
        <v>3339</v>
      </c>
      <c r="F35" s="817">
        <f t="shared" si="1"/>
        <v>15706</v>
      </c>
      <c r="G35" s="491">
        <f t="shared" si="4"/>
        <v>15706</v>
      </c>
      <c r="H35" s="816"/>
      <c r="I35" s="818"/>
    </row>
    <row r="36" spans="1:9" s="101" customFormat="1" ht="21.75" customHeight="1" x14ac:dyDescent="0.2">
      <c r="A36" s="1106" t="s">
        <v>1243</v>
      </c>
      <c r="B36" s="759" t="s">
        <v>1034</v>
      </c>
      <c r="C36" s="490" t="s">
        <v>509</v>
      </c>
      <c r="D36" s="816">
        <v>2362</v>
      </c>
      <c r="E36" s="816">
        <v>638</v>
      </c>
      <c r="F36" s="817">
        <f t="shared" si="1"/>
        <v>3000</v>
      </c>
      <c r="G36" s="491"/>
      <c r="H36" s="816">
        <f>F36</f>
        <v>3000</v>
      </c>
      <c r="I36" s="818"/>
    </row>
    <row r="37" spans="1:9" s="101" customFormat="1" ht="27" customHeight="1" x14ac:dyDescent="0.2">
      <c r="A37" s="1106" t="s">
        <v>1244</v>
      </c>
      <c r="B37" s="759" t="s">
        <v>1245</v>
      </c>
      <c r="C37" s="816" t="s">
        <v>997</v>
      </c>
      <c r="D37" s="816">
        <v>60829</v>
      </c>
      <c r="E37" s="816">
        <v>16424</v>
      </c>
      <c r="F37" s="817">
        <f t="shared" si="1"/>
        <v>77253</v>
      </c>
      <c r="G37" s="491"/>
      <c r="H37" s="816">
        <f>F37</f>
        <v>77253</v>
      </c>
      <c r="I37" s="818"/>
    </row>
    <row r="38" spans="1:9" s="101" customFormat="1" ht="26.25" customHeight="1" x14ac:dyDescent="0.2">
      <c r="A38" s="1017" t="s">
        <v>568</v>
      </c>
      <c r="B38" s="759" t="s">
        <v>1255</v>
      </c>
      <c r="C38" s="490" t="s">
        <v>509</v>
      </c>
      <c r="D38" s="816">
        <v>41732</v>
      </c>
      <c r="E38" s="816">
        <v>11268</v>
      </c>
      <c r="F38" s="817">
        <f t="shared" si="1"/>
        <v>53000</v>
      </c>
      <c r="G38" s="491">
        <f>F38</f>
        <v>53000</v>
      </c>
      <c r="H38" s="816"/>
      <c r="I38" s="818"/>
    </row>
    <row r="39" spans="1:9" s="101" customFormat="1" ht="27.75" customHeight="1" x14ac:dyDescent="0.2">
      <c r="A39" s="1017" t="s">
        <v>569</v>
      </c>
      <c r="B39" s="966" t="s">
        <v>1246</v>
      </c>
      <c r="C39" s="490" t="s">
        <v>509</v>
      </c>
      <c r="D39" s="816">
        <v>0</v>
      </c>
      <c r="E39" s="816">
        <v>0</v>
      </c>
      <c r="F39" s="817">
        <f t="shared" ref="F39" si="5">D39+E39</f>
        <v>0</v>
      </c>
      <c r="G39" s="491">
        <f>F39</f>
        <v>0</v>
      </c>
      <c r="H39" s="816"/>
      <c r="I39" s="616"/>
    </row>
    <row r="40" spans="1:9" s="101" customFormat="1" ht="27.75" customHeight="1" x14ac:dyDescent="0.2">
      <c r="A40" s="1106" t="s">
        <v>1178</v>
      </c>
      <c r="B40" s="998" t="s">
        <v>1079</v>
      </c>
      <c r="C40" s="490" t="s">
        <v>509</v>
      </c>
      <c r="D40" s="816">
        <v>162251</v>
      </c>
      <c r="E40" s="816">
        <v>43808</v>
      </c>
      <c r="F40" s="817">
        <f>SUM(D40:E40)</f>
        <v>206059</v>
      </c>
      <c r="G40" s="491">
        <v>206059</v>
      </c>
      <c r="H40" s="816"/>
      <c r="I40" s="616"/>
    </row>
    <row r="41" spans="1:9" s="101" customFormat="1" ht="27.75" customHeight="1" x14ac:dyDescent="0.2">
      <c r="A41" s="1106" t="s">
        <v>1179</v>
      </c>
      <c r="B41" s="1081" t="s">
        <v>1180</v>
      </c>
      <c r="C41" s="816" t="s">
        <v>330</v>
      </c>
      <c r="D41" s="816">
        <v>3000</v>
      </c>
      <c r="E41" s="816">
        <v>810</v>
      </c>
      <c r="F41" s="817">
        <f>SUM(D41:E41)</f>
        <v>3810</v>
      </c>
      <c r="G41" s="491">
        <f>F41</f>
        <v>3810</v>
      </c>
      <c r="H41" s="816"/>
      <c r="I41" s="616"/>
    </row>
    <row r="42" spans="1:9" s="101" customFormat="1" ht="27.75" customHeight="1" x14ac:dyDescent="0.2">
      <c r="A42" s="1017" t="s">
        <v>571</v>
      </c>
      <c r="B42" s="1081" t="s">
        <v>1170</v>
      </c>
      <c r="C42" s="816" t="s">
        <v>330</v>
      </c>
      <c r="D42" s="816">
        <f>6938+197</f>
        <v>7135</v>
      </c>
      <c r="E42" s="816">
        <v>53</v>
      </c>
      <c r="F42" s="817">
        <f>SUM(D42:E42)</f>
        <v>7188</v>
      </c>
      <c r="G42" s="491">
        <f>F42</f>
        <v>7188</v>
      </c>
      <c r="H42" s="816"/>
      <c r="I42" s="616"/>
    </row>
    <row r="43" spans="1:9" s="101" customFormat="1" ht="27.75" customHeight="1" x14ac:dyDescent="0.2">
      <c r="A43" s="1017" t="s">
        <v>572</v>
      </c>
      <c r="B43" s="1081" t="s">
        <v>1247</v>
      </c>
      <c r="C43" s="816" t="s">
        <v>330</v>
      </c>
      <c r="D43" s="816">
        <v>7200</v>
      </c>
      <c r="E43" s="816">
        <v>1944</v>
      </c>
      <c r="F43" s="817">
        <f>SUM(D43:E43)</f>
        <v>9144</v>
      </c>
      <c r="G43" s="491"/>
      <c r="H43" s="816">
        <f>F43</f>
        <v>9144</v>
      </c>
      <c r="I43" s="616"/>
    </row>
    <row r="44" spans="1:9" s="101" customFormat="1" ht="10.5" customHeight="1" thickBot="1" x14ac:dyDescent="0.25">
      <c r="A44" s="1017"/>
      <c r="B44" s="1081"/>
      <c r="C44" s="816"/>
      <c r="D44" s="816"/>
      <c r="E44" s="816"/>
      <c r="F44" s="817"/>
      <c r="G44" s="491"/>
      <c r="H44" s="816"/>
      <c r="I44" s="616"/>
    </row>
    <row r="45" spans="1:9" ht="13.9" customHeight="1" thickBot="1" x14ac:dyDescent="0.25">
      <c r="A45" s="501"/>
      <c r="B45" s="93" t="s">
        <v>524</v>
      </c>
      <c r="C45" s="102"/>
      <c r="D45" s="831">
        <f>SUM(D22:D43)</f>
        <v>1572381</v>
      </c>
      <c r="E45" s="831">
        <f t="shared" ref="E45:H45" si="6">SUM(E22:E43)</f>
        <v>422681</v>
      </c>
      <c r="F45" s="831">
        <f t="shared" si="6"/>
        <v>1995062</v>
      </c>
      <c r="G45" s="831">
        <f t="shared" si="6"/>
        <v>1898711</v>
      </c>
      <c r="H45" s="831">
        <f t="shared" si="6"/>
        <v>96351</v>
      </c>
      <c r="I45" s="615"/>
    </row>
    <row r="46" spans="1:9" s="101" customFormat="1" ht="13.9" customHeight="1" x14ac:dyDescent="0.2">
      <c r="A46" s="285"/>
      <c r="B46" s="92"/>
      <c r="C46" s="97"/>
      <c r="D46" s="90"/>
      <c r="E46" s="90"/>
      <c r="F46" s="91"/>
      <c r="G46" s="85"/>
      <c r="H46" s="91"/>
      <c r="I46" s="616"/>
    </row>
    <row r="47" spans="1:9" s="101" customFormat="1" ht="13.9" customHeight="1" x14ac:dyDescent="0.2">
      <c r="A47" s="130"/>
      <c r="B47" s="92"/>
      <c r="C47" s="97"/>
      <c r="D47" s="90"/>
      <c r="E47" s="90"/>
      <c r="F47" s="91"/>
      <c r="G47" s="85"/>
      <c r="H47" s="90"/>
      <c r="I47" s="616"/>
    </row>
    <row r="48" spans="1:9" s="105" customFormat="1" ht="15.75" customHeight="1" x14ac:dyDescent="0.15">
      <c r="A48" s="328" t="s">
        <v>525</v>
      </c>
      <c r="B48" s="103" t="s">
        <v>526</v>
      </c>
      <c r="C48" s="104"/>
      <c r="D48" s="91"/>
      <c r="E48" s="91"/>
      <c r="F48" s="91"/>
      <c r="G48" s="115"/>
      <c r="H48" s="633"/>
      <c r="I48" s="617"/>
    </row>
    <row r="49" spans="1:9" s="105" customFormat="1" ht="15.75" customHeight="1" x14ac:dyDescent="0.15">
      <c r="A49" s="1017" t="s">
        <v>527</v>
      </c>
      <c r="B49" s="92" t="s">
        <v>583</v>
      </c>
      <c r="C49" s="489" t="s">
        <v>327</v>
      </c>
      <c r="D49" s="994">
        <v>5000</v>
      </c>
      <c r="E49" s="994">
        <f>D49*0.27</f>
        <v>1350</v>
      </c>
      <c r="F49" s="995">
        <f>D49+E49</f>
        <v>6350</v>
      </c>
      <c r="G49" s="996">
        <v>6350</v>
      </c>
      <c r="H49" s="994"/>
      <c r="I49" s="617"/>
    </row>
    <row r="50" spans="1:9" s="105" customFormat="1" ht="15.75" customHeight="1" x14ac:dyDescent="0.2">
      <c r="A50" s="1017" t="s">
        <v>706</v>
      </c>
      <c r="B50" s="106" t="s">
        <v>184</v>
      </c>
      <c r="C50" s="489" t="s">
        <v>327</v>
      </c>
      <c r="D50" s="490">
        <v>1000</v>
      </c>
      <c r="E50" s="490">
        <f>D50*0.27</f>
        <v>270</v>
      </c>
      <c r="F50" s="492">
        <f>SUM(D50:E50)</f>
        <v>1270</v>
      </c>
      <c r="G50" s="997"/>
      <c r="H50" s="490">
        <v>1270</v>
      </c>
      <c r="I50" s="617"/>
    </row>
    <row r="51" spans="1:9" s="105" customFormat="1" ht="27" customHeight="1" x14ac:dyDescent="0.15">
      <c r="A51" s="1017" t="s">
        <v>101</v>
      </c>
      <c r="B51" s="759" t="s">
        <v>1256</v>
      </c>
      <c r="C51" s="489" t="s">
        <v>327</v>
      </c>
      <c r="D51" s="490">
        <v>14961</v>
      </c>
      <c r="E51" s="490">
        <v>4039</v>
      </c>
      <c r="F51" s="492">
        <f t="shared" ref="F51:F55" si="7">D51+E51</f>
        <v>19000</v>
      </c>
      <c r="G51" s="950">
        <f>F51</f>
        <v>19000</v>
      </c>
      <c r="H51" s="490"/>
      <c r="I51" s="617"/>
    </row>
    <row r="52" spans="1:9" s="105" customFormat="1" ht="27" customHeight="1" x14ac:dyDescent="0.15">
      <c r="A52" s="1017" t="s">
        <v>322</v>
      </c>
      <c r="B52" s="759" t="s">
        <v>1080</v>
      </c>
      <c r="C52" s="489" t="s">
        <v>327</v>
      </c>
      <c r="D52" s="490">
        <v>35000</v>
      </c>
      <c r="E52" s="490">
        <v>9450</v>
      </c>
      <c r="F52" s="492">
        <f t="shared" si="7"/>
        <v>44450</v>
      </c>
      <c r="G52" s="950">
        <v>44450</v>
      </c>
      <c r="H52" s="490"/>
      <c r="I52" s="617"/>
    </row>
    <row r="53" spans="1:9" s="105" customFormat="1" ht="25.9" customHeight="1" x14ac:dyDescent="0.2">
      <c r="A53" s="1017" t="s">
        <v>1142</v>
      </c>
      <c r="B53" s="106" t="s">
        <v>1079</v>
      </c>
      <c r="C53" s="489" t="s">
        <v>327</v>
      </c>
      <c r="D53" s="490">
        <v>17970</v>
      </c>
      <c r="E53" s="490">
        <v>4852</v>
      </c>
      <c r="F53" s="492">
        <f t="shared" si="7"/>
        <v>22822</v>
      </c>
      <c r="G53" s="997">
        <v>22822</v>
      </c>
      <c r="H53" s="490"/>
      <c r="I53" s="617"/>
    </row>
    <row r="54" spans="1:9" s="105" customFormat="1" ht="25.9" customHeight="1" x14ac:dyDescent="0.2">
      <c r="A54" s="1017" t="s">
        <v>956</v>
      </c>
      <c r="B54" s="106" t="s">
        <v>1143</v>
      </c>
      <c r="C54" s="489" t="s">
        <v>327</v>
      </c>
      <c r="D54" s="490">
        <v>248</v>
      </c>
      <c r="E54" s="490">
        <v>67</v>
      </c>
      <c r="F54" s="492">
        <f t="shared" si="7"/>
        <v>315</v>
      </c>
      <c r="G54" s="997"/>
      <c r="H54" s="490">
        <f>F54</f>
        <v>315</v>
      </c>
      <c r="I54" s="617"/>
    </row>
    <row r="55" spans="1:9" s="105" customFormat="1" ht="31.5" customHeight="1" x14ac:dyDescent="0.15">
      <c r="A55" s="1017" t="s">
        <v>1248</v>
      </c>
      <c r="B55" s="759" t="s">
        <v>1249</v>
      </c>
      <c r="C55" s="489" t="s">
        <v>327</v>
      </c>
      <c r="D55" s="490">
        <v>12598</v>
      </c>
      <c r="E55" s="490">
        <v>3402</v>
      </c>
      <c r="F55" s="492">
        <f t="shared" si="7"/>
        <v>16000</v>
      </c>
      <c r="G55" s="997"/>
      <c r="H55" s="490">
        <f>F55</f>
        <v>16000</v>
      </c>
      <c r="I55" s="617"/>
    </row>
    <row r="56" spans="1:9" s="105" customFormat="1" ht="9.75" customHeight="1" thickBot="1" x14ac:dyDescent="0.2">
      <c r="A56" s="1017"/>
      <c r="B56" s="759"/>
      <c r="C56" s="489"/>
      <c r="D56" s="490"/>
      <c r="E56" s="490"/>
      <c r="F56" s="492"/>
      <c r="G56" s="997"/>
      <c r="H56" s="490"/>
      <c r="I56" s="617"/>
    </row>
    <row r="57" spans="1:9" s="105" customFormat="1" ht="12" customHeight="1" thickBot="1" x14ac:dyDescent="0.2">
      <c r="A57" s="329"/>
      <c r="B57" s="93" t="s">
        <v>528</v>
      </c>
      <c r="C57" s="102"/>
      <c r="D57" s="94">
        <f>SUM(D49:D55)</f>
        <v>86777</v>
      </c>
      <c r="E57" s="94">
        <f t="shared" ref="E57:H57" si="8">SUM(E49:E55)</f>
        <v>23430</v>
      </c>
      <c r="F57" s="94">
        <f t="shared" si="8"/>
        <v>110207</v>
      </c>
      <c r="G57" s="94">
        <f t="shared" si="8"/>
        <v>92622</v>
      </c>
      <c r="H57" s="94">
        <f t="shared" si="8"/>
        <v>17585</v>
      </c>
      <c r="I57" s="617"/>
    </row>
    <row r="58" spans="1:9" s="105" customFormat="1" ht="12" customHeight="1" x14ac:dyDescent="0.15">
      <c r="A58" s="328"/>
      <c r="B58" s="103"/>
      <c r="C58" s="104"/>
      <c r="D58" s="91"/>
      <c r="E58" s="91"/>
      <c r="F58" s="91"/>
      <c r="G58" s="91"/>
      <c r="H58" s="91"/>
      <c r="I58" s="617"/>
    </row>
    <row r="59" spans="1:9" s="105" customFormat="1" ht="12" customHeight="1" x14ac:dyDescent="0.15">
      <c r="A59" s="328"/>
      <c r="B59" s="103"/>
      <c r="C59" s="104"/>
      <c r="D59" s="91"/>
      <c r="E59" s="91"/>
      <c r="F59" s="91"/>
      <c r="G59" s="115"/>
      <c r="H59" s="633"/>
      <c r="I59" s="617"/>
    </row>
    <row r="60" spans="1:9" s="83" customFormat="1" ht="15" customHeight="1" x14ac:dyDescent="0.2">
      <c r="A60" s="328" t="s">
        <v>529</v>
      </c>
      <c r="B60" s="89" t="s">
        <v>530</v>
      </c>
      <c r="C60" s="91"/>
      <c r="D60" s="91"/>
      <c r="E60" s="91"/>
      <c r="F60" s="91"/>
      <c r="G60" s="86"/>
      <c r="H60" s="128"/>
      <c r="I60" s="618"/>
    </row>
    <row r="61" spans="1:9" s="83" customFormat="1" ht="15" customHeight="1" thickBot="1" x14ac:dyDescent="0.25">
      <c r="A61" s="328"/>
      <c r="B61" s="109"/>
      <c r="C61" s="97"/>
      <c r="D61" s="90"/>
      <c r="E61" s="90"/>
      <c r="F61" s="91"/>
      <c r="G61" s="86"/>
      <c r="H61" s="128"/>
      <c r="I61" s="618"/>
    </row>
    <row r="62" spans="1:9" s="83" customFormat="1" ht="13.5" customHeight="1" thickBot="1" x14ac:dyDescent="0.25">
      <c r="A62" s="329"/>
      <c r="B62" s="108" t="s">
        <v>531</v>
      </c>
      <c r="C62" s="94"/>
      <c r="D62" s="94">
        <f>SUM(D61)</f>
        <v>0</v>
      </c>
      <c r="E62" s="94">
        <f>SUM(E61)</f>
        <v>0</v>
      </c>
      <c r="F62" s="94">
        <f>SUM(F61)</f>
        <v>0</v>
      </c>
      <c r="G62" s="94">
        <f>SUM(G61)</f>
        <v>0</v>
      </c>
      <c r="H62" s="94">
        <f>SUM(H61)</f>
        <v>0</v>
      </c>
      <c r="I62" s="618"/>
    </row>
    <row r="63" spans="1:9" s="83" customFormat="1" ht="13.5" customHeight="1" x14ac:dyDescent="0.2">
      <c r="A63" s="328"/>
      <c r="B63" s="89"/>
      <c r="C63" s="91"/>
      <c r="D63" s="91"/>
      <c r="E63" s="91"/>
      <c r="F63" s="91"/>
      <c r="G63" s="91"/>
      <c r="H63" s="91"/>
      <c r="I63" s="618"/>
    </row>
    <row r="64" spans="1:9" s="83" customFormat="1" ht="13.5" customHeight="1" x14ac:dyDescent="0.2">
      <c r="A64" s="328"/>
      <c r="B64" s="89"/>
      <c r="C64" s="91"/>
      <c r="D64" s="91"/>
      <c r="E64" s="91"/>
      <c r="F64" s="91"/>
      <c r="G64" s="86"/>
      <c r="H64" s="128"/>
      <c r="I64" s="618"/>
    </row>
    <row r="65" spans="1:20" s="83" customFormat="1" ht="13.5" customHeight="1" x14ac:dyDescent="0.2">
      <c r="A65" s="328" t="s">
        <v>90</v>
      </c>
      <c r="B65" s="89" t="s">
        <v>185</v>
      </c>
      <c r="C65" s="91"/>
      <c r="F65" s="90"/>
      <c r="G65" s="86"/>
      <c r="H65" s="90"/>
      <c r="I65" s="618"/>
    </row>
    <row r="66" spans="1:20" s="83" customFormat="1" ht="20.25" customHeight="1" x14ac:dyDescent="0.2">
      <c r="A66" s="130" t="s">
        <v>527</v>
      </c>
      <c r="B66" s="109" t="s">
        <v>1081</v>
      </c>
      <c r="C66" s="91" t="s">
        <v>327</v>
      </c>
      <c r="D66" s="490">
        <v>8000</v>
      </c>
      <c r="E66" s="490">
        <f>D66*0.27</f>
        <v>2160</v>
      </c>
      <c r="F66" s="492">
        <f>SUM(D66:E66)</f>
        <v>10160</v>
      </c>
      <c r="G66" s="491"/>
      <c r="H66" s="490">
        <f>SUM(F66:G66)</f>
        <v>10160</v>
      </c>
      <c r="I66" s="618"/>
    </row>
    <row r="67" spans="1:20" s="83" customFormat="1" ht="25.5" customHeight="1" x14ac:dyDescent="0.2">
      <c r="A67" s="130" t="s">
        <v>706</v>
      </c>
      <c r="B67" s="949" t="s">
        <v>1138</v>
      </c>
      <c r="C67" s="489" t="s">
        <v>327</v>
      </c>
      <c r="D67" s="490">
        <v>5000</v>
      </c>
      <c r="E67" s="490">
        <v>972</v>
      </c>
      <c r="F67" s="492">
        <f>SUM(D67:E67)</f>
        <v>5972</v>
      </c>
      <c r="G67" s="491"/>
      <c r="H67" s="490">
        <f>F67</f>
        <v>5972</v>
      </c>
      <c r="I67" s="618"/>
    </row>
    <row r="68" spans="1:20" s="83" customFormat="1" ht="24" customHeight="1" x14ac:dyDescent="0.2">
      <c r="A68" s="130" t="s">
        <v>101</v>
      </c>
      <c r="B68" s="109" t="s">
        <v>1139</v>
      </c>
      <c r="C68" s="489" t="s">
        <v>327</v>
      </c>
      <c r="D68" s="490">
        <v>2000</v>
      </c>
      <c r="E68" s="490">
        <v>126</v>
      </c>
      <c r="F68" s="492">
        <f t="shared" ref="F68" si="9">SUM(D68:E68)</f>
        <v>2126</v>
      </c>
      <c r="G68" s="491">
        <f t="shared" ref="G68" si="10">F68</f>
        <v>2126</v>
      </c>
      <c r="H68" s="490"/>
      <c r="I68" s="818"/>
    </row>
    <row r="69" spans="1:20" s="83" customFormat="1" ht="24" customHeight="1" x14ac:dyDescent="0.2">
      <c r="A69" s="130" t="s">
        <v>322</v>
      </c>
      <c r="B69" s="109" t="s">
        <v>1148</v>
      </c>
      <c r="C69" s="489" t="s">
        <v>327</v>
      </c>
      <c r="D69" s="490">
        <v>10000</v>
      </c>
      <c r="E69" s="490">
        <v>2700</v>
      </c>
      <c r="F69" s="492">
        <f>SUM(D69:E69)</f>
        <v>12700</v>
      </c>
      <c r="G69" s="491"/>
      <c r="H69" s="490">
        <f>F69</f>
        <v>12700</v>
      </c>
      <c r="I69" s="818"/>
    </row>
    <row r="70" spans="1:20" s="83" customFormat="1" ht="13.5" customHeight="1" thickBot="1" x14ac:dyDescent="0.25">
      <c r="A70" s="499"/>
      <c r="B70" s="495"/>
      <c r="C70" s="91"/>
      <c r="D70" s="90"/>
      <c r="E70" s="90"/>
      <c r="F70" s="90"/>
      <c r="G70" s="86"/>
      <c r="H70" s="90"/>
      <c r="I70" s="618"/>
    </row>
    <row r="71" spans="1:20" s="83" customFormat="1" ht="12.75" customHeight="1" thickBot="1" x14ac:dyDescent="0.25">
      <c r="A71" s="496"/>
      <c r="B71" s="493" t="s">
        <v>186</v>
      </c>
      <c r="C71" s="153"/>
      <c r="D71" s="153">
        <f>SUM(D66:D70)</f>
        <v>25000</v>
      </c>
      <c r="E71" s="153">
        <f>SUM(E66:E70)</f>
        <v>5958</v>
      </c>
      <c r="F71" s="153">
        <f>SUM(F66:F70)</f>
        <v>30958</v>
      </c>
      <c r="G71" s="153">
        <f>SUM(G66:G70)</f>
        <v>2126</v>
      </c>
      <c r="H71" s="153">
        <f>SUM(H66:H70)</f>
        <v>28832</v>
      </c>
      <c r="I71" s="618"/>
    </row>
    <row r="72" spans="1:20" s="83" customFormat="1" ht="12.75" customHeight="1" x14ac:dyDescent="0.2">
      <c r="A72" s="130"/>
      <c r="B72" s="89"/>
      <c r="C72" s="91"/>
      <c r="D72" s="91"/>
      <c r="E72" s="91"/>
      <c r="F72" s="91"/>
      <c r="G72" s="86"/>
      <c r="H72" s="128"/>
      <c r="I72" s="618"/>
    </row>
    <row r="73" spans="1:20" s="83" customFormat="1" ht="24" customHeight="1" x14ac:dyDescent="0.2">
      <c r="A73" s="328" t="s">
        <v>91</v>
      </c>
      <c r="B73" s="89" t="s">
        <v>73</v>
      </c>
      <c r="C73" s="91"/>
      <c r="D73" s="91"/>
      <c r="E73" s="91"/>
      <c r="F73" s="91"/>
      <c r="G73" s="86"/>
      <c r="H73" s="128"/>
      <c r="I73" s="618"/>
    </row>
    <row r="74" spans="1:20" s="83" customFormat="1" ht="13.5" customHeight="1" thickBot="1" x14ac:dyDescent="0.25">
      <c r="A74" s="130"/>
      <c r="B74" s="92"/>
      <c r="C74" s="90"/>
      <c r="D74" s="91"/>
      <c r="E74" s="91"/>
      <c r="F74" s="90"/>
      <c r="G74" s="86"/>
      <c r="H74" s="128"/>
      <c r="I74" s="618"/>
    </row>
    <row r="75" spans="1:20" s="83" customFormat="1" ht="22.5" customHeight="1" thickBot="1" x14ac:dyDescent="0.25">
      <c r="A75" s="496"/>
      <c r="B75" s="497" t="s">
        <v>532</v>
      </c>
      <c r="C75" s="504"/>
      <c r="D75" s="94">
        <f>SUM(D74:D74)</f>
        <v>0</v>
      </c>
      <c r="E75" s="94">
        <f>SUM(E74:E74)</f>
        <v>0</v>
      </c>
      <c r="F75" s="94">
        <f>SUM(F74:F74)</f>
        <v>0</v>
      </c>
      <c r="G75" s="94">
        <f>SUM(G74:G74)</f>
        <v>0</v>
      </c>
      <c r="H75" s="94">
        <f>SUM(H74:H74)</f>
        <v>0</v>
      </c>
      <c r="I75" s="618"/>
    </row>
    <row r="76" spans="1:20" s="83" customFormat="1" ht="12.75" customHeight="1" x14ac:dyDescent="0.2">
      <c r="A76" s="130"/>
      <c r="B76" s="110"/>
      <c r="C76" s="90"/>
      <c r="D76" s="91"/>
      <c r="E76" s="91"/>
      <c r="F76" s="91"/>
      <c r="G76" s="86"/>
      <c r="H76" s="128"/>
      <c r="I76" s="618"/>
    </row>
    <row r="77" spans="1:20" s="83" customFormat="1" ht="12" customHeight="1" x14ac:dyDescent="0.2">
      <c r="A77" s="130"/>
      <c r="B77" s="109"/>
      <c r="C77" s="90"/>
      <c r="D77" s="90"/>
      <c r="E77" s="90"/>
      <c r="F77" s="91"/>
      <c r="G77" s="86"/>
      <c r="H77" s="128"/>
      <c r="I77" s="618"/>
    </row>
    <row r="78" spans="1:20" s="83" customFormat="1" ht="12.75" customHeight="1" x14ac:dyDescent="0.2">
      <c r="A78" s="328" t="s">
        <v>92</v>
      </c>
      <c r="B78" s="89" t="s">
        <v>320</v>
      </c>
      <c r="C78" s="90"/>
      <c r="D78" s="90"/>
      <c r="E78" s="90"/>
      <c r="F78" s="91"/>
      <c r="G78" s="86"/>
      <c r="H78" s="128"/>
      <c r="I78" s="618"/>
    </row>
    <row r="79" spans="1:20" s="111" customFormat="1" ht="13.5" customHeight="1" x14ac:dyDescent="0.2">
      <c r="A79" s="130" t="s">
        <v>508</v>
      </c>
      <c r="B79" s="109" t="s">
        <v>74</v>
      </c>
      <c r="C79" s="90"/>
      <c r="D79" s="90">
        <v>29582</v>
      </c>
      <c r="E79" s="90"/>
      <c r="F79" s="91">
        <f>SUM(D79:E79)</f>
        <v>29582</v>
      </c>
      <c r="G79" s="85">
        <f>F79</f>
        <v>29582</v>
      </c>
      <c r="H79" s="90"/>
      <c r="I79" s="619"/>
    </row>
    <row r="80" spans="1:20" s="111" customFormat="1" ht="13.5" customHeight="1" x14ac:dyDescent="0.2">
      <c r="A80" s="130" t="s">
        <v>516</v>
      </c>
      <c r="B80" s="109" t="s">
        <v>1036</v>
      </c>
      <c r="C80" s="90"/>
      <c r="D80" s="90">
        <v>3670</v>
      </c>
      <c r="E80" s="90"/>
      <c r="F80" s="91">
        <f>SUM(D80:E80)</f>
        <v>3670</v>
      </c>
      <c r="G80" s="85">
        <f>F80</f>
        <v>3670</v>
      </c>
      <c r="H80" s="90"/>
      <c r="I80" s="619"/>
      <c r="T80" s="1107"/>
    </row>
    <row r="81" spans="1:13" s="111" customFormat="1" ht="24.75" customHeight="1" x14ac:dyDescent="0.2">
      <c r="A81" s="130" t="s">
        <v>517</v>
      </c>
      <c r="B81" s="830" t="s">
        <v>1250</v>
      </c>
      <c r="C81" s="816"/>
      <c r="D81" s="816">
        <v>16000</v>
      </c>
      <c r="E81" s="816"/>
      <c r="F81" s="817">
        <f>D81+E81</f>
        <v>16000</v>
      </c>
      <c r="G81" s="491"/>
      <c r="H81" s="816">
        <f>F81</f>
        <v>16000</v>
      </c>
      <c r="I81" s="619"/>
    </row>
    <row r="82" spans="1:13" s="111" customFormat="1" ht="12.75" customHeight="1" x14ac:dyDescent="0.2">
      <c r="A82" s="130" t="s">
        <v>518</v>
      </c>
      <c r="B82" s="830" t="s">
        <v>305</v>
      </c>
      <c r="C82" s="816"/>
      <c r="D82" s="816">
        <v>15000</v>
      </c>
      <c r="E82" s="816"/>
      <c r="F82" s="817">
        <f>D82+E82</f>
        <v>15000</v>
      </c>
      <c r="G82" s="491"/>
      <c r="H82" s="816">
        <f>F82</f>
        <v>15000</v>
      </c>
      <c r="I82" s="619"/>
    </row>
    <row r="83" spans="1:13" s="111" customFormat="1" ht="12.75" customHeight="1" x14ac:dyDescent="0.2">
      <c r="A83" s="130" t="s">
        <v>519</v>
      </c>
      <c r="B83" s="830" t="s">
        <v>1146</v>
      </c>
      <c r="C83" s="816"/>
      <c r="D83" s="816">
        <v>1520</v>
      </c>
      <c r="E83" s="816"/>
      <c r="F83" s="817">
        <f>D83+E83</f>
        <v>1520</v>
      </c>
      <c r="G83" s="491"/>
      <c r="H83" s="816">
        <f>F83</f>
        <v>1520</v>
      </c>
      <c r="I83" s="619"/>
    </row>
    <row r="84" spans="1:13" s="111" customFormat="1" ht="12.75" customHeight="1" x14ac:dyDescent="0.2">
      <c r="A84" s="130" t="s">
        <v>520</v>
      </c>
      <c r="B84" s="830" t="s">
        <v>1251</v>
      </c>
      <c r="C84" s="816"/>
      <c r="D84" s="816">
        <v>300</v>
      </c>
      <c r="E84" s="816"/>
      <c r="F84" s="817">
        <f>D84+E84</f>
        <v>300</v>
      </c>
      <c r="G84" s="491"/>
      <c r="H84" s="816">
        <f>F84</f>
        <v>300</v>
      </c>
      <c r="I84" s="619"/>
    </row>
    <row r="85" spans="1:13" s="111" customFormat="1" ht="12" customHeight="1" thickBot="1" x14ac:dyDescent="0.25">
      <c r="A85" s="130"/>
      <c r="B85" s="830"/>
      <c r="C85" s="816"/>
      <c r="D85" s="816"/>
      <c r="E85" s="816"/>
      <c r="F85" s="817"/>
      <c r="G85" s="491"/>
      <c r="H85" s="816"/>
      <c r="I85" s="619"/>
    </row>
    <row r="86" spans="1:13" s="83" customFormat="1" ht="13.5" customHeight="1" thickBot="1" x14ac:dyDescent="0.25">
      <c r="A86" s="496"/>
      <c r="B86" s="108" t="s">
        <v>533</v>
      </c>
      <c r="C86" s="94"/>
      <c r="D86" s="94">
        <f>SUM(D79:D85)</f>
        <v>66072</v>
      </c>
      <c r="E86" s="94">
        <f>SUM(E79:E85)</f>
        <v>0</v>
      </c>
      <c r="F86" s="94">
        <f>SUM(F79:F85)</f>
        <v>66072</v>
      </c>
      <c r="G86" s="94">
        <f>SUM(G79:G85)</f>
        <v>33252</v>
      </c>
      <c r="H86" s="94">
        <f>SUM(H79:H85)</f>
        <v>32820</v>
      </c>
      <c r="I86" s="618"/>
    </row>
    <row r="87" spans="1:13" s="83" customFormat="1" ht="12.75" customHeight="1" x14ac:dyDescent="0.2">
      <c r="A87" s="130"/>
      <c r="B87" s="89"/>
      <c r="C87" s="90"/>
      <c r="D87" s="90"/>
      <c r="E87" s="90"/>
      <c r="F87" s="91"/>
      <c r="G87" s="86"/>
      <c r="H87" s="128"/>
      <c r="I87" s="618"/>
    </row>
    <row r="88" spans="1:13" ht="12.75" customHeight="1" x14ac:dyDescent="0.2">
      <c r="A88" s="328" t="s">
        <v>537</v>
      </c>
      <c r="B88" s="89" t="s">
        <v>1151</v>
      </c>
      <c r="C88" s="90"/>
      <c r="D88" s="90"/>
      <c r="E88" s="90"/>
      <c r="F88" s="91"/>
      <c r="H88" s="632"/>
      <c r="I88" s="615"/>
    </row>
    <row r="89" spans="1:13" s="111" customFormat="1" ht="21.75" customHeight="1" x14ac:dyDescent="0.2">
      <c r="A89" s="130" t="s">
        <v>527</v>
      </c>
      <c r="B89" s="109" t="s">
        <v>534</v>
      </c>
      <c r="C89" s="90"/>
      <c r="D89" s="90">
        <v>800</v>
      </c>
      <c r="E89" s="90"/>
      <c r="F89" s="91">
        <f>SUM(D89:E89)</f>
        <v>800</v>
      </c>
      <c r="G89" s="152"/>
      <c r="H89" s="90">
        <f>F89</f>
        <v>800</v>
      </c>
      <c r="I89" s="619"/>
    </row>
    <row r="90" spans="1:13" s="111" customFormat="1" ht="21.75" customHeight="1" x14ac:dyDescent="0.2">
      <c r="A90" s="130" t="s">
        <v>706</v>
      </c>
      <c r="B90" s="109" t="s">
        <v>535</v>
      </c>
      <c r="C90" s="90"/>
      <c r="D90" s="90">
        <v>2200</v>
      </c>
      <c r="E90" s="90"/>
      <c r="F90" s="91">
        <f>SUM(D90:E90)</f>
        <v>2200</v>
      </c>
      <c r="G90" s="152"/>
      <c r="H90" s="90">
        <f>F90</f>
        <v>2200</v>
      </c>
      <c r="I90" s="619"/>
      <c r="M90" s="1107"/>
    </row>
    <row r="91" spans="1:13" s="111" customFormat="1" ht="12" customHeight="1" thickBot="1" x14ac:dyDescent="0.25">
      <c r="A91" s="130"/>
      <c r="B91" s="109"/>
      <c r="C91" s="90"/>
      <c r="D91" s="90"/>
      <c r="E91" s="90"/>
      <c r="F91" s="91"/>
      <c r="G91" s="152"/>
      <c r="H91" s="90"/>
      <c r="I91" s="619"/>
    </row>
    <row r="92" spans="1:13" s="83" customFormat="1" ht="21.75" customHeight="1" thickBot="1" x14ac:dyDescent="0.25">
      <c r="A92" s="496"/>
      <c r="B92" s="108" t="s">
        <v>536</v>
      </c>
      <c r="C92" s="94"/>
      <c r="D92" s="94">
        <f>SUM(D88:D90)</f>
        <v>3000</v>
      </c>
      <c r="E92" s="94">
        <f>SUM(E88:E90)</f>
        <v>0</v>
      </c>
      <c r="F92" s="94">
        <f>SUM(F88:F90)</f>
        <v>3000</v>
      </c>
      <c r="G92" s="94">
        <f>SUM(G88:G90)</f>
        <v>0</v>
      </c>
      <c r="H92" s="94">
        <f>SUM(H88:H90)</f>
        <v>3000</v>
      </c>
      <c r="I92" s="618"/>
    </row>
    <row r="93" spans="1:13" s="83" customFormat="1" ht="13.5" customHeight="1" x14ac:dyDescent="0.2">
      <c r="A93" s="130"/>
      <c r="B93" s="89"/>
      <c r="C93" s="91"/>
      <c r="D93" s="91"/>
      <c r="E93" s="91"/>
      <c r="F93" s="91"/>
      <c r="G93" s="91"/>
      <c r="H93" s="91"/>
      <c r="I93" s="618"/>
    </row>
    <row r="94" spans="1:13" s="83" customFormat="1" ht="13.5" customHeight="1" thickBot="1" x14ac:dyDescent="0.25">
      <c r="A94" s="499"/>
      <c r="B94" s="494"/>
      <c r="C94" s="502"/>
      <c r="D94" s="502"/>
      <c r="E94" s="502"/>
      <c r="F94" s="502"/>
      <c r="G94" s="503"/>
      <c r="H94" s="503"/>
      <c r="I94" s="618"/>
    </row>
    <row r="95" spans="1:13" s="83" customFormat="1" ht="13.5" customHeight="1" thickBot="1" x14ac:dyDescent="0.25">
      <c r="A95" s="496"/>
      <c r="B95" s="493" t="s">
        <v>187</v>
      </c>
      <c r="C95" s="153"/>
      <c r="D95" s="153">
        <f>D14+D19+D45+D57+D62+D71+D75+D86+D92</f>
        <v>1761104</v>
      </c>
      <c r="E95" s="153">
        <f>E14+E19+E45+E57+E62+E71+E75+E86+E92</f>
        <v>454195</v>
      </c>
      <c r="F95" s="153">
        <f>F14+F19+F45+F57+F62+F71+F75+F86+F92</f>
        <v>2215299</v>
      </c>
      <c r="G95" s="153">
        <f>G14+G19+G45+G57+G62+G71+G75+G86+G92</f>
        <v>2036711</v>
      </c>
      <c r="H95" s="819">
        <f>H14+H19+H45+H57+H62+H71+H75+H86+H92</f>
        <v>178588</v>
      </c>
      <c r="I95" s="630"/>
    </row>
    <row r="96" spans="1:13" s="83" customFormat="1" ht="13.5" customHeight="1" x14ac:dyDescent="0.2">
      <c r="A96" s="130"/>
      <c r="B96" s="89"/>
      <c r="C96" s="91"/>
      <c r="D96" s="91"/>
      <c r="E96" s="91"/>
      <c r="F96" s="91"/>
      <c r="G96" s="128"/>
      <c r="H96" s="128"/>
      <c r="I96" s="618"/>
    </row>
    <row r="97" spans="1:19" s="112" customFormat="1" ht="13.5" customHeight="1" x14ac:dyDescent="0.15">
      <c r="A97" s="130"/>
      <c r="B97" s="89"/>
      <c r="C97" s="91"/>
      <c r="D97" s="91"/>
      <c r="E97" s="91"/>
      <c r="F97" s="91"/>
      <c r="G97" s="107"/>
      <c r="H97" s="107"/>
      <c r="I97" s="620"/>
    </row>
    <row r="98" spans="1:19" s="112" customFormat="1" ht="15.75" customHeight="1" x14ac:dyDescent="0.15">
      <c r="A98" s="328" t="s">
        <v>540</v>
      </c>
      <c r="B98" s="89" t="s">
        <v>538</v>
      </c>
      <c r="C98" s="91"/>
      <c r="D98" s="91"/>
      <c r="E98" s="91"/>
      <c r="F98" s="91"/>
      <c r="G98" s="107"/>
      <c r="H98" s="107"/>
      <c r="I98" s="620"/>
    </row>
    <row r="99" spans="1:19" s="952" customFormat="1" ht="21.75" customHeight="1" x14ac:dyDescent="0.2">
      <c r="A99" s="130" t="s">
        <v>508</v>
      </c>
      <c r="B99" s="109" t="s">
        <v>1216</v>
      </c>
      <c r="C99" s="490" t="s">
        <v>327</v>
      </c>
      <c r="D99" s="816">
        <f>3980+2362</f>
        <v>6342</v>
      </c>
      <c r="E99" s="816">
        <f>1075+638</f>
        <v>1713</v>
      </c>
      <c r="F99" s="817">
        <f>SUM(D99:E99)</f>
        <v>8055</v>
      </c>
      <c r="G99" s="491">
        <f>1905+3000</f>
        <v>4905</v>
      </c>
      <c r="H99" s="816">
        <v>3150</v>
      </c>
      <c r="I99" s="951"/>
    </row>
    <row r="100" spans="1:19" s="112" customFormat="1" ht="21.75" customHeight="1" x14ac:dyDescent="0.2">
      <c r="A100" s="130" t="s">
        <v>516</v>
      </c>
      <c r="B100" s="109" t="s">
        <v>1037</v>
      </c>
      <c r="C100" s="490" t="s">
        <v>327</v>
      </c>
      <c r="D100" s="490">
        <v>3000</v>
      </c>
      <c r="E100" s="490">
        <v>185</v>
      </c>
      <c r="F100" s="492">
        <f>SUM(D100:E100)</f>
        <v>3185</v>
      </c>
      <c r="G100" s="528"/>
      <c r="H100" s="128">
        <f>F100</f>
        <v>3185</v>
      </c>
      <c r="I100" s="620"/>
      <c r="S100" s="644"/>
    </row>
    <row r="101" spans="1:19" s="112" customFormat="1" ht="22.15" customHeight="1" x14ac:dyDescent="0.15">
      <c r="A101" s="130" t="s">
        <v>517</v>
      </c>
      <c r="B101" s="109" t="s">
        <v>1131</v>
      </c>
      <c r="C101" s="490" t="s">
        <v>327</v>
      </c>
      <c r="D101" s="490">
        <v>1000</v>
      </c>
      <c r="E101" s="490">
        <f>D101*0.27</f>
        <v>270</v>
      </c>
      <c r="F101" s="492">
        <f>SUM(D101:E101)</f>
        <v>1270</v>
      </c>
      <c r="G101" s="491">
        <v>1270</v>
      </c>
      <c r="H101" s="816"/>
      <c r="I101" s="620"/>
    </row>
    <row r="102" spans="1:19" s="112" customFormat="1" ht="12.75" customHeight="1" thickBot="1" x14ac:dyDescent="0.2">
      <c r="A102" s="499"/>
      <c r="B102" s="109"/>
      <c r="C102" s="490"/>
      <c r="D102" s="490"/>
      <c r="E102" s="490"/>
      <c r="F102" s="492"/>
      <c r="G102" s="491"/>
      <c r="H102" s="816"/>
      <c r="I102" s="620"/>
    </row>
    <row r="103" spans="1:19" s="112" customFormat="1" ht="21.75" customHeight="1" thickBot="1" x14ac:dyDescent="0.2">
      <c r="A103" s="496"/>
      <c r="B103" s="108" t="s">
        <v>539</v>
      </c>
      <c r="C103" s="94"/>
      <c r="D103" s="1082">
        <f>SUM(D99:D101)</f>
        <v>10342</v>
      </c>
      <c r="E103" s="1082">
        <f t="shared" ref="E103:F103" si="11">SUM(E99:E101)</f>
        <v>2168</v>
      </c>
      <c r="F103" s="1082">
        <f t="shared" si="11"/>
        <v>12510</v>
      </c>
      <c r="G103" s="1082">
        <f t="shared" ref="G103" si="12">SUM(G99:G101)</f>
        <v>6175</v>
      </c>
      <c r="H103" s="1082">
        <f t="shared" ref="H103" si="13">SUM(H99:H101)</f>
        <v>6335</v>
      </c>
      <c r="I103" s="620"/>
    </row>
    <row r="104" spans="1:19" s="112" customFormat="1" ht="13.5" customHeight="1" x14ac:dyDescent="0.15">
      <c r="A104" s="130"/>
      <c r="B104" s="89"/>
      <c r="C104" s="91"/>
      <c r="D104" s="91"/>
      <c r="E104" s="91"/>
      <c r="F104" s="91"/>
      <c r="G104" s="99"/>
      <c r="H104" s="107"/>
      <c r="I104" s="620"/>
    </row>
    <row r="105" spans="1:19" s="112" customFormat="1" ht="13.5" customHeight="1" x14ac:dyDescent="0.15">
      <c r="A105" s="328" t="s">
        <v>188</v>
      </c>
      <c r="B105" s="89" t="s">
        <v>76</v>
      </c>
      <c r="C105" s="91"/>
      <c r="D105" s="91"/>
      <c r="E105" s="91"/>
      <c r="F105" s="91"/>
      <c r="G105" s="99"/>
      <c r="H105" s="107"/>
      <c r="I105" s="620"/>
    </row>
    <row r="106" spans="1:19" s="83" customFormat="1" ht="21.75" customHeight="1" x14ac:dyDescent="0.2">
      <c r="A106" s="130" t="s">
        <v>508</v>
      </c>
      <c r="B106" s="109" t="s">
        <v>329</v>
      </c>
      <c r="C106" s="490" t="s">
        <v>330</v>
      </c>
      <c r="D106" s="490">
        <v>4725</v>
      </c>
      <c r="E106" s="490">
        <v>1275</v>
      </c>
      <c r="F106" s="492">
        <f>SUM(D106:E106)</f>
        <v>6000</v>
      </c>
      <c r="G106" s="491">
        <v>6000</v>
      </c>
      <c r="H106" s="816"/>
      <c r="I106" s="618"/>
    </row>
    <row r="107" spans="1:19" s="83" customFormat="1" ht="12.75" customHeight="1" thickBot="1" x14ac:dyDescent="0.25">
      <c r="A107" s="130"/>
      <c r="B107" s="109"/>
      <c r="C107" s="490"/>
      <c r="D107" s="490"/>
      <c r="E107" s="490"/>
      <c r="F107" s="492"/>
      <c r="G107" s="491"/>
      <c r="H107" s="816"/>
      <c r="I107" s="618"/>
    </row>
    <row r="108" spans="1:19" s="83" customFormat="1" ht="21.75" customHeight="1" thickBot="1" x14ac:dyDescent="0.25">
      <c r="A108" s="496"/>
      <c r="B108" s="493" t="s">
        <v>75</v>
      </c>
      <c r="C108" s="872"/>
      <c r="D108" s="872">
        <f>SUM(D106:D107)</f>
        <v>4725</v>
      </c>
      <c r="E108" s="872">
        <f>SUM(E106:E107)</f>
        <v>1275</v>
      </c>
      <c r="F108" s="872">
        <f>SUM(F106:F107)</f>
        <v>6000</v>
      </c>
      <c r="G108" s="872">
        <f>SUM(G106:G107)</f>
        <v>6000</v>
      </c>
      <c r="H108" s="872">
        <f>SUM(H106:H107)</f>
        <v>0</v>
      </c>
      <c r="I108" s="618"/>
    </row>
    <row r="109" spans="1:19" s="83" customFormat="1" ht="13.5" customHeight="1" x14ac:dyDescent="0.2">
      <c r="A109" s="130"/>
      <c r="B109" s="109"/>
      <c r="C109" s="90"/>
      <c r="D109" s="90"/>
      <c r="E109" s="90"/>
      <c r="F109" s="90"/>
      <c r="G109" s="86"/>
      <c r="H109" s="128"/>
      <c r="I109" s="618"/>
    </row>
    <row r="110" spans="1:19" s="112" customFormat="1" ht="26.45" customHeight="1" x14ac:dyDescent="0.2">
      <c r="A110" s="130"/>
      <c r="B110" s="89" t="s">
        <v>1003</v>
      </c>
      <c r="C110" s="91"/>
      <c r="D110" s="90"/>
      <c r="E110" s="90"/>
      <c r="F110" s="91"/>
      <c r="G110" s="99"/>
      <c r="H110" s="107"/>
      <c r="I110" s="620"/>
    </row>
    <row r="111" spans="1:19" s="112" customFormat="1" ht="33" customHeight="1" x14ac:dyDescent="0.15">
      <c r="A111" s="130" t="s">
        <v>508</v>
      </c>
      <c r="B111" s="820" t="s">
        <v>1117</v>
      </c>
      <c r="C111" s="490" t="s">
        <v>327</v>
      </c>
      <c r="D111" s="816">
        <v>3070</v>
      </c>
      <c r="E111" s="816">
        <v>830</v>
      </c>
      <c r="F111" s="817">
        <f>SUM(D111:E111)</f>
        <v>3900</v>
      </c>
      <c r="G111" s="528"/>
      <c r="H111" s="816">
        <f>F111</f>
        <v>3900</v>
      </c>
      <c r="I111" s="620"/>
    </row>
    <row r="112" spans="1:19" s="112" customFormat="1" ht="33" customHeight="1" x14ac:dyDescent="0.15">
      <c r="A112" s="130" t="s">
        <v>516</v>
      </c>
      <c r="B112" s="820" t="s">
        <v>1252</v>
      </c>
      <c r="C112" s="490" t="s">
        <v>327</v>
      </c>
      <c r="D112" s="816">
        <v>2732</v>
      </c>
      <c r="E112" s="816">
        <v>738</v>
      </c>
      <c r="F112" s="817">
        <f>SUM(D112:E112)</f>
        <v>3470</v>
      </c>
      <c r="G112" s="528"/>
      <c r="H112" s="816">
        <f>F112</f>
        <v>3470</v>
      </c>
      <c r="I112" s="620"/>
    </row>
    <row r="113" spans="1:14" s="112" customFormat="1" ht="12" customHeight="1" thickBot="1" x14ac:dyDescent="0.25">
      <c r="A113" s="130"/>
      <c r="B113" s="758"/>
      <c r="C113" s="755"/>
      <c r="D113" s="128"/>
      <c r="E113" s="128"/>
      <c r="F113" s="128"/>
      <c r="G113" s="99"/>
      <c r="H113" s="128"/>
      <c r="I113" s="620"/>
    </row>
    <row r="114" spans="1:14" s="112" customFormat="1" ht="21.75" customHeight="1" thickBot="1" x14ac:dyDescent="0.2">
      <c r="A114" s="500"/>
      <c r="B114" s="498" t="s">
        <v>1002</v>
      </c>
      <c r="C114" s="871"/>
      <c r="D114" s="872">
        <f>SUM(D111:D113)</f>
        <v>5802</v>
      </c>
      <c r="E114" s="872">
        <f>SUM(E111:E113)</f>
        <v>1568</v>
      </c>
      <c r="F114" s="872">
        <f>SUM(F111:F113)</f>
        <v>7370</v>
      </c>
      <c r="G114" s="872">
        <f>SUM(G111:G113)</f>
        <v>0</v>
      </c>
      <c r="H114" s="872">
        <f>SUM(H111:H113)</f>
        <v>7370</v>
      </c>
      <c r="I114" s="620"/>
    </row>
    <row r="115" spans="1:14" s="112" customFormat="1" ht="13.5" customHeight="1" x14ac:dyDescent="0.15">
      <c r="A115" s="328"/>
      <c r="B115" s="89"/>
      <c r="C115" s="91"/>
      <c r="D115" s="91"/>
      <c r="E115" s="91"/>
      <c r="F115" s="91"/>
      <c r="G115" s="91"/>
      <c r="H115" s="91"/>
      <c r="I115" s="620"/>
    </row>
    <row r="116" spans="1:14" s="112" customFormat="1" ht="13.5" customHeight="1" x14ac:dyDescent="0.15">
      <c r="A116" s="328"/>
      <c r="B116" s="89" t="s">
        <v>735</v>
      </c>
      <c r="C116" s="91"/>
      <c r="D116" s="91"/>
      <c r="E116" s="91"/>
      <c r="F116" s="91"/>
      <c r="G116" s="91"/>
      <c r="H116" s="91"/>
      <c r="I116" s="620"/>
    </row>
    <row r="117" spans="1:14" s="952" customFormat="1" ht="26.25" customHeight="1" x14ac:dyDescent="0.2">
      <c r="A117" s="130" t="s">
        <v>508</v>
      </c>
      <c r="B117" s="820" t="s">
        <v>1150</v>
      </c>
      <c r="C117" s="490" t="s">
        <v>327</v>
      </c>
      <c r="D117" s="816">
        <v>4000</v>
      </c>
      <c r="E117" s="816">
        <v>1080</v>
      </c>
      <c r="F117" s="817">
        <f>SUM(D117:E117)</f>
        <v>5080</v>
      </c>
      <c r="G117" s="816">
        <f>F117</f>
        <v>5080</v>
      </c>
      <c r="H117" s="492"/>
      <c r="I117" s="951"/>
    </row>
    <row r="118" spans="1:14" s="952" customFormat="1" ht="21.75" customHeight="1" x14ac:dyDescent="0.2">
      <c r="A118" s="130" t="s">
        <v>516</v>
      </c>
      <c r="B118" s="109" t="s">
        <v>1116</v>
      </c>
      <c r="C118" s="490" t="s">
        <v>327</v>
      </c>
      <c r="D118" s="490">
        <v>2205</v>
      </c>
      <c r="E118" s="490">
        <v>595</v>
      </c>
      <c r="F118" s="492">
        <f>SUM(D118:E118)</f>
        <v>2800</v>
      </c>
      <c r="G118" s="490">
        <v>2800</v>
      </c>
      <c r="H118" s="490"/>
      <c r="I118" s="951"/>
    </row>
    <row r="119" spans="1:14" s="952" customFormat="1" ht="21.75" customHeight="1" x14ac:dyDescent="0.2">
      <c r="A119" s="130" t="s">
        <v>517</v>
      </c>
      <c r="B119" s="109" t="s">
        <v>1149</v>
      </c>
      <c r="C119" s="490" t="s">
        <v>327</v>
      </c>
      <c r="D119" s="490">
        <v>787</v>
      </c>
      <c r="E119" s="490">
        <v>213</v>
      </c>
      <c r="F119" s="492">
        <f>SUM(D119:E119)</f>
        <v>1000</v>
      </c>
      <c r="G119" s="490">
        <v>1000</v>
      </c>
      <c r="H119" s="490"/>
      <c r="I119" s="951"/>
    </row>
    <row r="120" spans="1:14" s="952" customFormat="1" ht="11.25" customHeight="1" thickBot="1" x14ac:dyDescent="0.25">
      <c r="A120" s="130"/>
      <c r="B120" s="109"/>
      <c r="C120" s="490"/>
      <c r="D120" s="490"/>
      <c r="E120" s="490"/>
      <c r="F120" s="492"/>
      <c r="G120" s="490"/>
      <c r="H120" s="490"/>
      <c r="I120" s="951"/>
    </row>
    <row r="121" spans="1:14" s="112" customFormat="1" ht="21.75" customHeight="1" thickBot="1" x14ac:dyDescent="0.2">
      <c r="A121" s="500"/>
      <c r="B121" s="493" t="s">
        <v>16</v>
      </c>
      <c r="C121" s="872"/>
      <c r="D121" s="872">
        <f>SUM(D117:D119)</f>
        <v>6992</v>
      </c>
      <c r="E121" s="872">
        <f>SUM(E117:E119)</f>
        <v>1888</v>
      </c>
      <c r="F121" s="872">
        <f>SUM(F117:F119)</f>
        <v>8880</v>
      </c>
      <c r="G121" s="872">
        <f>SUM(G117:G119)</f>
        <v>8880</v>
      </c>
      <c r="H121" s="872">
        <f>SUM(H117:H119)</f>
        <v>0</v>
      </c>
      <c r="I121" s="620"/>
    </row>
    <row r="122" spans="1:14" s="112" customFormat="1" ht="13.5" customHeight="1" x14ac:dyDescent="0.15">
      <c r="A122" s="328"/>
      <c r="B122" s="89"/>
      <c r="C122" s="91"/>
      <c r="D122" s="91"/>
      <c r="E122" s="91"/>
      <c r="F122" s="91"/>
      <c r="G122" s="91"/>
      <c r="H122" s="91"/>
      <c r="I122" s="620"/>
    </row>
    <row r="123" spans="1:14" s="112" customFormat="1" ht="13.5" customHeight="1" x14ac:dyDescent="0.15">
      <c r="A123" s="328"/>
      <c r="B123" s="89" t="s">
        <v>199</v>
      </c>
      <c r="C123" s="91"/>
      <c r="D123" s="91"/>
      <c r="E123" s="91"/>
      <c r="F123" s="91"/>
      <c r="G123" s="91"/>
      <c r="H123" s="91"/>
      <c r="I123" s="620"/>
    </row>
    <row r="124" spans="1:14" s="952" customFormat="1" ht="21.75" customHeight="1" x14ac:dyDescent="0.2">
      <c r="A124" s="130" t="s">
        <v>508</v>
      </c>
      <c r="B124" s="109" t="s">
        <v>198</v>
      </c>
      <c r="C124" s="490" t="s">
        <v>327</v>
      </c>
      <c r="D124" s="490">
        <v>394</v>
      </c>
      <c r="E124" s="490">
        <v>106</v>
      </c>
      <c r="F124" s="492">
        <v>500</v>
      </c>
      <c r="G124" s="490">
        <v>500</v>
      </c>
      <c r="H124" s="1000"/>
      <c r="I124" s="951"/>
    </row>
    <row r="125" spans="1:14" s="952" customFormat="1" ht="21.75" customHeight="1" thickBot="1" x14ac:dyDescent="0.25">
      <c r="A125" s="499" t="s">
        <v>516</v>
      </c>
      <c r="B125" s="495" t="s">
        <v>1115</v>
      </c>
      <c r="C125" s="953" t="s">
        <v>327</v>
      </c>
      <c r="D125" s="953">
        <v>709</v>
      </c>
      <c r="E125" s="953">
        <v>191</v>
      </c>
      <c r="F125" s="954">
        <f>SUM(D125:E125)</f>
        <v>900</v>
      </c>
      <c r="G125" s="953">
        <v>900</v>
      </c>
      <c r="H125" s="954"/>
      <c r="I125" s="951"/>
    </row>
    <row r="126" spans="1:14" s="952" customFormat="1" ht="12" customHeight="1" thickBot="1" x14ac:dyDescent="0.25">
      <c r="A126" s="499"/>
      <c r="B126" s="495"/>
      <c r="C126" s="953"/>
      <c r="D126" s="953"/>
      <c r="E126" s="953"/>
      <c r="F126" s="954"/>
      <c r="G126" s="953"/>
      <c r="H126" s="954"/>
      <c r="I126" s="951"/>
    </row>
    <row r="127" spans="1:14" s="952" customFormat="1" ht="21.75" customHeight="1" thickBot="1" x14ac:dyDescent="0.25">
      <c r="A127" s="500"/>
      <c r="B127" s="493" t="s">
        <v>200</v>
      </c>
      <c r="C127" s="872"/>
      <c r="D127" s="872">
        <f>SUM(D124:D125)</f>
        <v>1103</v>
      </c>
      <c r="E127" s="872">
        <f>SUM(E124:E125)</f>
        <v>297</v>
      </c>
      <c r="F127" s="872">
        <f>SUM(F124:F125)</f>
        <v>1400</v>
      </c>
      <c r="G127" s="872">
        <f>SUM(G124:G125)</f>
        <v>1400</v>
      </c>
      <c r="H127" s="872"/>
      <c r="I127" s="951"/>
    </row>
    <row r="128" spans="1:14" s="112" customFormat="1" ht="13.5" customHeight="1" x14ac:dyDescent="0.2">
      <c r="A128" s="130"/>
      <c r="B128" s="109"/>
      <c r="C128" s="90"/>
      <c r="D128" s="90"/>
      <c r="E128" s="90"/>
      <c r="F128" s="91"/>
      <c r="G128" s="99"/>
      <c r="H128" s="107"/>
      <c r="I128" s="620"/>
      <c r="N128" s="644"/>
    </row>
    <row r="129" spans="1:9" s="112" customFormat="1" ht="13.5" customHeight="1" x14ac:dyDescent="0.15">
      <c r="A129" s="328" t="s">
        <v>541</v>
      </c>
      <c r="B129" s="89" t="s">
        <v>542</v>
      </c>
      <c r="C129" s="91"/>
      <c r="D129" s="91"/>
      <c r="E129" s="91"/>
      <c r="F129" s="91"/>
      <c r="G129" s="99"/>
      <c r="H129" s="107"/>
      <c r="I129" s="620"/>
    </row>
    <row r="130" spans="1:9" s="112" customFormat="1" ht="11.25" customHeight="1" thickBot="1" x14ac:dyDescent="0.25">
      <c r="A130" s="499"/>
      <c r="B130" s="109"/>
      <c r="C130" s="90"/>
      <c r="D130" s="90"/>
      <c r="E130" s="90"/>
      <c r="F130" s="91"/>
      <c r="G130" s="86"/>
      <c r="H130" s="634"/>
      <c r="I130" s="620"/>
    </row>
    <row r="131" spans="1:9" s="112" customFormat="1" ht="21.75" customHeight="1" thickBot="1" x14ac:dyDescent="0.25">
      <c r="A131" s="496"/>
      <c r="B131" s="108" t="s">
        <v>543</v>
      </c>
      <c r="C131" s="113"/>
      <c r="D131" s="94">
        <f>D129</f>
        <v>0</v>
      </c>
      <c r="E131" s="94">
        <f t="shared" ref="E131:G131" si="14">E129</f>
        <v>0</v>
      </c>
      <c r="F131" s="94">
        <f t="shared" si="14"/>
        <v>0</v>
      </c>
      <c r="G131" s="94">
        <f t="shared" si="14"/>
        <v>0</v>
      </c>
      <c r="H131" s="94"/>
      <c r="I131" s="620"/>
    </row>
    <row r="132" spans="1:9" s="83" customFormat="1" ht="13.5" customHeight="1" thickBot="1" x14ac:dyDescent="0.25">
      <c r="A132" s="130"/>
      <c r="B132" s="109"/>
      <c r="C132" s="90"/>
      <c r="D132" s="90"/>
      <c r="E132" s="90"/>
      <c r="F132" s="91"/>
      <c r="G132" s="86"/>
      <c r="H132" s="128"/>
      <c r="I132" s="618"/>
    </row>
    <row r="133" spans="1:9" s="112" customFormat="1" ht="20.25" customHeight="1" thickBot="1" x14ac:dyDescent="0.2">
      <c r="A133" s="496"/>
      <c r="B133" s="108" t="s">
        <v>544</v>
      </c>
      <c r="C133" s="529"/>
      <c r="D133" s="529">
        <f>D14+D19+D45+D57+D62+D71+D75+D86+D92+D103+D108+D114+D121+D131+D127</f>
        <v>1790068</v>
      </c>
      <c r="E133" s="529">
        <f>E14+E19+E45+E57+E62+E71+E75+E86+E92+E103+E108+E114+E121+E131+E127</f>
        <v>461391</v>
      </c>
      <c r="F133" s="529">
        <f>F14+F19+F45+F57+F62+F71+F75+F86+F92+F103+F108+F114+F121+F131+F127</f>
        <v>2251459</v>
      </c>
      <c r="G133" s="529">
        <f>G14+G19+G45+G57+G62+G71+G75+G86+G92+G103+G108+G114+G121+G131+G127</f>
        <v>2059166</v>
      </c>
      <c r="H133" s="529">
        <f>H14+H19+H45+H57+H62+H71+H75+H86+H92+H103+H108+H114+H121+H131+H127</f>
        <v>192293</v>
      </c>
      <c r="I133" s="620"/>
    </row>
    <row r="136" spans="1:9" ht="14.1" customHeight="1" x14ac:dyDescent="0.2">
      <c r="E136" s="114"/>
      <c r="F136" s="115"/>
    </row>
  </sheetData>
  <sheetProtection selectLockedCells="1" selectUnlockedCells="1"/>
  <mergeCells count="14">
    <mergeCell ref="A1:H1"/>
    <mergeCell ref="A2:H2"/>
    <mergeCell ref="G7:H7"/>
    <mergeCell ref="A4:H4"/>
    <mergeCell ref="A5:A9"/>
    <mergeCell ref="B8:B9"/>
    <mergeCell ref="C8:C9"/>
    <mergeCell ref="G8:G9"/>
    <mergeCell ref="H8:H9"/>
    <mergeCell ref="B3:H3"/>
    <mergeCell ref="D7:F7"/>
    <mergeCell ref="E8:E9"/>
    <mergeCell ref="F8:F9"/>
    <mergeCell ref="D8:D9"/>
  </mergeCells>
  <phoneticPr fontId="33" type="noConversion"/>
  <pageMargins left="0" right="0" top="0.39370078740157483" bottom="0.39370078740157483" header="0.51181102362204722" footer="0.51181102362204722"/>
  <pageSetup paperSize="9" scale="97" firstPageNumber="0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40"/>
  <sheetViews>
    <sheetView workbookViewId="0">
      <selection activeCell="I25" sqref="I25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5" x14ac:dyDescent="0.25">
      <c r="B1" s="17"/>
      <c r="C1" s="25"/>
    </row>
    <row r="2" spans="1:5" x14ac:dyDescent="0.25">
      <c r="A2" s="1235" t="s">
        <v>1261</v>
      </c>
      <c r="B2" s="1235"/>
      <c r="C2" s="1235"/>
      <c r="D2" s="1235"/>
      <c r="E2" s="1235"/>
    </row>
    <row r="3" spans="1:5" x14ac:dyDescent="0.25">
      <c r="B3" s="18"/>
      <c r="C3" s="338"/>
    </row>
    <row r="4" spans="1:5" ht="15" customHeight="1" x14ac:dyDescent="0.25">
      <c r="A4" s="1236" t="s">
        <v>78</v>
      </c>
      <c r="B4" s="1236"/>
      <c r="C4" s="1236"/>
      <c r="D4" s="1236"/>
      <c r="E4" s="1236"/>
    </row>
    <row r="5" spans="1:5" ht="15" customHeight="1" x14ac:dyDescent="0.25">
      <c r="A5" s="1237" t="s">
        <v>1124</v>
      </c>
      <c r="B5" s="1237"/>
      <c r="C5" s="1237"/>
      <c r="D5" s="1237"/>
      <c r="E5" s="1237"/>
    </row>
    <row r="6" spans="1:5" ht="15" customHeight="1" x14ac:dyDescent="0.25">
      <c r="A6" s="1237" t="s">
        <v>554</v>
      </c>
      <c r="B6" s="1237"/>
      <c r="C6" s="1237"/>
      <c r="D6" s="1237"/>
      <c r="E6" s="1237"/>
    </row>
    <row r="7" spans="1:5" ht="15" customHeight="1" x14ac:dyDescent="0.25">
      <c r="B7" s="1237"/>
      <c r="C7" s="1237"/>
    </row>
    <row r="8" spans="1:5" s="19" customFormat="1" ht="20.100000000000001" customHeight="1" x14ac:dyDescent="0.25">
      <c r="A8" s="1238" t="s">
        <v>321</v>
      </c>
      <c r="B8" s="1239"/>
      <c r="C8" s="1239"/>
      <c r="D8" s="1239"/>
      <c r="E8" s="1239"/>
    </row>
    <row r="9" spans="1:5" s="19" customFormat="1" ht="20.100000000000001" customHeight="1" x14ac:dyDescent="0.25">
      <c r="A9" s="1242" t="s">
        <v>77</v>
      </c>
      <c r="B9" s="506" t="s">
        <v>57</v>
      </c>
      <c r="C9" s="1241" t="s">
        <v>58</v>
      </c>
      <c r="D9" s="1241"/>
      <c r="E9" s="1241"/>
    </row>
    <row r="10" spans="1:5" ht="46.5" customHeight="1" x14ac:dyDescent="0.25">
      <c r="A10" s="1242"/>
      <c r="B10" s="1234" t="s">
        <v>86</v>
      </c>
      <c r="C10" s="1240" t="s">
        <v>1188</v>
      </c>
      <c r="D10" s="1240"/>
      <c r="E10" s="1240"/>
    </row>
    <row r="11" spans="1:5" ht="20.100000000000001" customHeight="1" x14ac:dyDescent="0.25">
      <c r="A11" s="1242"/>
      <c r="B11" s="1234"/>
      <c r="C11" s="505" t="s">
        <v>189</v>
      </c>
      <c r="D11" s="507" t="s">
        <v>190</v>
      </c>
      <c r="E11" s="508" t="s">
        <v>191</v>
      </c>
    </row>
    <row r="12" spans="1:5" ht="20.100000000000001" customHeight="1" x14ac:dyDescent="0.25">
      <c r="A12" s="21" t="s">
        <v>508</v>
      </c>
      <c r="B12" s="22" t="s">
        <v>555</v>
      </c>
      <c r="C12" s="635"/>
      <c r="D12" s="636"/>
      <c r="E12" s="637"/>
    </row>
    <row r="13" spans="1:5" ht="20.100000000000001" customHeight="1" x14ac:dyDescent="0.25">
      <c r="A13" s="21" t="s">
        <v>516</v>
      </c>
      <c r="B13" s="23" t="s">
        <v>671</v>
      </c>
      <c r="C13" s="638"/>
      <c r="D13" s="639"/>
      <c r="E13" s="640"/>
    </row>
    <row r="14" spans="1:5" ht="30.75" customHeight="1" x14ac:dyDescent="0.25">
      <c r="A14" s="1108" t="s">
        <v>517</v>
      </c>
      <c r="B14" s="800" t="s">
        <v>323</v>
      </c>
      <c r="C14" s="1112"/>
      <c r="D14" s="1113">
        <v>0</v>
      </c>
      <c r="E14" s="1114">
        <f t="shared" ref="E14:E19" si="0">C14+D14</f>
        <v>0</v>
      </c>
    </row>
    <row r="15" spans="1:5" ht="24.6" customHeight="1" x14ac:dyDescent="0.25">
      <c r="A15" s="1108" t="s">
        <v>518</v>
      </c>
      <c r="B15" s="800" t="s">
        <v>680</v>
      </c>
      <c r="C15" s="1112">
        <v>0</v>
      </c>
      <c r="D15" s="1113">
        <v>0</v>
      </c>
      <c r="E15" s="1114">
        <f t="shared" si="0"/>
        <v>0</v>
      </c>
    </row>
    <row r="16" spans="1:5" ht="36" customHeight="1" x14ac:dyDescent="0.25">
      <c r="A16" s="1108" t="s">
        <v>519</v>
      </c>
      <c r="B16" s="1001" t="s">
        <v>1258</v>
      </c>
      <c r="C16" s="1112">
        <v>78232</v>
      </c>
      <c r="D16" s="642"/>
      <c r="E16" s="1114">
        <f t="shared" si="0"/>
        <v>78232</v>
      </c>
    </row>
    <row r="17" spans="1:5" ht="36.75" customHeight="1" x14ac:dyDescent="0.25">
      <c r="A17" s="1108" t="s">
        <v>520</v>
      </c>
      <c r="B17" s="1111" t="s">
        <v>1262</v>
      </c>
      <c r="C17" s="931">
        <v>110160</v>
      </c>
      <c r="D17" s="642"/>
      <c r="E17" s="1114">
        <f t="shared" si="0"/>
        <v>110160</v>
      </c>
    </row>
    <row r="18" spans="1:5" ht="24" customHeight="1" x14ac:dyDescent="0.25">
      <c r="A18" s="1108" t="s">
        <v>521</v>
      </c>
      <c r="B18" s="800" t="s">
        <v>1257</v>
      </c>
      <c r="C18" s="931">
        <v>155500</v>
      </c>
      <c r="D18" s="642"/>
      <c r="E18" s="1114">
        <f t="shared" si="0"/>
        <v>155500</v>
      </c>
    </row>
    <row r="19" spans="1:5" s="15" customFormat="1" ht="19.5" customHeight="1" x14ac:dyDescent="0.25">
      <c r="A19" s="21" t="s">
        <v>522</v>
      </c>
      <c r="B19" s="26" t="s">
        <v>49</v>
      </c>
      <c r="C19" s="1115">
        <f>SUM(C14:C18)</f>
        <v>343892</v>
      </c>
      <c r="D19" s="1116">
        <f>SUM(D14:D16)</f>
        <v>0</v>
      </c>
      <c r="E19" s="1114">
        <f t="shared" si="0"/>
        <v>343892</v>
      </c>
    </row>
    <row r="20" spans="1:5" s="15" customFormat="1" ht="20.25" customHeight="1" x14ac:dyDescent="0.25">
      <c r="A20" s="21" t="s">
        <v>523</v>
      </c>
      <c r="B20" s="26"/>
      <c r="C20" s="1115"/>
      <c r="D20" s="1117"/>
      <c r="E20" s="1118"/>
    </row>
    <row r="21" spans="1:5" ht="19.5" customHeight="1" x14ac:dyDescent="0.25">
      <c r="A21" s="21" t="s">
        <v>565</v>
      </c>
      <c r="B21" s="26" t="s">
        <v>672</v>
      </c>
      <c r="C21" s="1112"/>
      <c r="D21" s="1119"/>
      <c r="E21" s="1120"/>
    </row>
    <row r="22" spans="1:5" ht="21" customHeight="1" x14ac:dyDescent="0.25">
      <c r="A22" s="21" t="s">
        <v>566</v>
      </c>
      <c r="B22" s="17" t="s">
        <v>556</v>
      </c>
      <c r="C22" s="1112"/>
      <c r="D22" s="1113">
        <v>60000</v>
      </c>
      <c r="E22" s="1114">
        <f>C22+D22</f>
        <v>60000</v>
      </c>
    </row>
    <row r="23" spans="1:5" ht="21.75" customHeight="1" x14ac:dyDescent="0.25">
      <c r="A23" s="21" t="s">
        <v>567</v>
      </c>
      <c r="B23" s="24" t="s">
        <v>557</v>
      </c>
      <c r="C23" s="1112"/>
      <c r="D23" s="1113">
        <v>3941</v>
      </c>
      <c r="E23" s="1114">
        <f>C23+D23</f>
        <v>3941</v>
      </c>
    </row>
    <row r="24" spans="1:5" ht="41.25" customHeight="1" x14ac:dyDescent="0.25">
      <c r="A24" s="1108" t="s">
        <v>568</v>
      </c>
      <c r="B24" s="948" t="s">
        <v>1028</v>
      </c>
      <c r="C24" s="945"/>
      <c r="D24" s="946">
        <v>88</v>
      </c>
      <c r="E24" s="947">
        <f>C24+D24</f>
        <v>88</v>
      </c>
    </row>
    <row r="25" spans="1:5" s="15" customFormat="1" ht="21" customHeight="1" x14ac:dyDescent="0.25">
      <c r="A25" s="21" t="s">
        <v>569</v>
      </c>
      <c r="B25" s="26" t="s">
        <v>673</v>
      </c>
      <c r="C25" s="1115">
        <f>SUM(C22:C23)</f>
        <v>0</v>
      </c>
      <c r="D25" s="1116">
        <f>SUM(D22:D24)</f>
        <v>64029</v>
      </c>
      <c r="E25" s="1114">
        <f>C25+D25</f>
        <v>64029</v>
      </c>
    </row>
    <row r="26" spans="1:5" s="15" customFormat="1" ht="22.5" customHeight="1" x14ac:dyDescent="0.25">
      <c r="A26" s="21" t="s">
        <v>570</v>
      </c>
      <c r="B26" s="28" t="s">
        <v>558</v>
      </c>
      <c r="C26" s="1121">
        <f>C19+C25</f>
        <v>343892</v>
      </c>
      <c r="D26" s="1122">
        <f>D19+D25</f>
        <v>64029</v>
      </c>
      <c r="E26" s="1114">
        <f>C26+D26</f>
        <v>407921</v>
      </c>
    </row>
    <row r="27" spans="1:5" ht="20.100000000000001" customHeight="1" x14ac:dyDescent="0.25">
      <c r="A27" s="21" t="s">
        <v>571</v>
      </c>
      <c r="B27" s="24"/>
      <c r="C27" s="931"/>
      <c r="D27" s="642"/>
      <c r="E27" s="1120"/>
    </row>
    <row r="28" spans="1:5" ht="20.100000000000001" customHeight="1" x14ac:dyDescent="0.25">
      <c r="A28" s="21" t="s">
        <v>572</v>
      </c>
      <c r="B28" s="22" t="s">
        <v>559</v>
      </c>
      <c r="C28" s="931"/>
      <c r="D28" s="642"/>
      <c r="E28" s="1120"/>
    </row>
    <row r="29" spans="1:5" ht="20.100000000000001" customHeight="1" x14ac:dyDescent="0.25">
      <c r="A29" s="21" t="s">
        <v>574</v>
      </c>
      <c r="B29" s="17" t="s">
        <v>560</v>
      </c>
      <c r="C29" s="931">
        <v>22</v>
      </c>
      <c r="D29" s="642">
        <v>152</v>
      </c>
      <c r="E29" s="643">
        <f>C29+D29</f>
        <v>174</v>
      </c>
    </row>
    <row r="30" spans="1:5" ht="20.100000000000001" customHeight="1" x14ac:dyDescent="0.25">
      <c r="A30" s="21" t="s">
        <v>575</v>
      </c>
      <c r="B30" s="28" t="s">
        <v>201</v>
      </c>
      <c r="C30" s="931"/>
      <c r="D30" s="642"/>
      <c r="E30" s="643"/>
    </row>
    <row r="31" spans="1:5" ht="32.25" customHeight="1" x14ac:dyDescent="0.25">
      <c r="A31" s="1108" t="s">
        <v>576</v>
      </c>
      <c r="B31" s="800" t="s">
        <v>1259</v>
      </c>
      <c r="C31" s="931">
        <v>1838</v>
      </c>
      <c r="D31" s="642"/>
      <c r="E31" s="643">
        <f>SUM(C31:D31)</f>
        <v>1838</v>
      </c>
    </row>
    <row r="32" spans="1:5" ht="32.25" customHeight="1" x14ac:dyDescent="0.25">
      <c r="A32" s="1108" t="s">
        <v>577</v>
      </c>
      <c r="B32" s="1109" t="s">
        <v>1260</v>
      </c>
      <c r="C32" s="642">
        <v>2223</v>
      </c>
      <c r="D32" s="642"/>
      <c r="E32" s="643">
        <f>SUM(C32:D32)</f>
        <v>2223</v>
      </c>
    </row>
    <row r="33" spans="1:15" s="15" customFormat="1" ht="20.100000000000001" customHeight="1" x14ac:dyDescent="0.25">
      <c r="A33" s="21" t="s">
        <v>578</v>
      </c>
      <c r="B33" s="999" t="s">
        <v>561</v>
      </c>
      <c r="C33" s="1122">
        <f>C29+C31+C32</f>
        <v>4083</v>
      </c>
      <c r="D33" s="1122">
        <f t="shared" ref="D33:E33" si="1">D29+D31+D32</f>
        <v>152</v>
      </c>
      <c r="E33" s="1114">
        <f t="shared" si="1"/>
        <v>4235</v>
      </c>
      <c r="O33" s="1110"/>
    </row>
    <row r="34" spans="1:15" s="15" customFormat="1" ht="20.100000000000001" customHeight="1" x14ac:dyDescent="0.25">
      <c r="A34" s="21" t="s">
        <v>579</v>
      </c>
      <c r="B34" s="29" t="s">
        <v>324</v>
      </c>
      <c r="C34" s="1123">
        <f>C26+C33</f>
        <v>347975</v>
      </c>
      <c r="D34" s="1124">
        <f>D26+D33</f>
        <v>64181</v>
      </c>
      <c r="E34" s="1125">
        <f>E26+E33</f>
        <v>412156</v>
      </c>
      <c r="O34" s="1110"/>
    </row>
    <row r="35" spans="1:15" s="15" customFormat="1" ht="20.100000000000001" customHeight="1" x14ac:dyDescent="0.25">
      <c r="A35" s="16"/>
      <c r="B35" s="29"/>
      <c r="C35" s="27"/>
      <c r="D35" s="370"/>
    </row>
    <row r="36" spans="1:15" ht="19.5" customHeight="1" x14ac:dyDescent="0.25">
      <c r="B36" s="30"/>
      <c r="C36" s="25"/>
    </row>
    <row r="37" spans="1:15" ht="15" customHeight="1" x14ac:dyDescent="0.25">
      <c r="B37" s="17"/>
      <c r="C37" s="25"/>
      <c r="H37" s="524"/>
    </row>
    <row r="38" spans="1:15" x14ac:dyDescent="0.25">
      <c r="B38" s="17"/>
      <c r="C38" s="25"/>
    </row>
    <row r="39" spans="1:15" x14ac:dyDescent="0.25">
      <c r="B39" s="17"/>
      <c r="C39" s="25"/>
    </row>
    <row r="40" spans="1:15" x14ac:dyDescent="0.25">
      <c r="B40" s="17"/>
      <c r="C40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0"/>
  <sheetViews>
    <sheetView zoomScale="120" workbookViewId="0">
      <selection activeCell="N24" sqref="N24"/>
    </sheetView>
  </sheetViews>
  <sheetFormatPr defaultColWidth="9.140625" defaultRowHeight="11.25" x14ac:dyDescent="0.2"/>
  <cols>
    <col min="1" max="1" width="3.7109375" style="157" customWidth="1"/>
    <col min="2" max="2" width="37.28515625" style="157" customWidth="1"/>
    <col min="3" max="3" width="12" style="158" customWidth="1"/>
    <col min="4" max="4" width="11.140625" style="158" customWidth="1"/>
    <col min="5" max="5" width="12.140625" style="158" customWidth="1"/>
    <col min="6" max="6" width="38.7109375" style="158" customWidth="1"/>
    <col min="7" max="7" width="11.5703125" style="158" customWidth="1"/>
    <col min="8" max="8" width="11.7109375" style="158" customWidth="1"/>
    <col min="9" max="9" width="14.5703125" style="158" customWidth="1"/>
    <col min="10" max="10" width="7.7109375" style="331" hidden="1" customWidth="1"/>
    <col min="11" max="11" width="7.140625" style="331" hidden="1" customWidth="1"/>
    <col min="12" max="12" width="7.85546875" style="331" hidden="1" customWidth="1"/>
    <col min="13" max="16384" width="9.140625" style="10"/>
  </cols>
  <sheetData>
    <row r="1" spans="1:13" ht="12.75" x14ac:dyDescent="0.2">
      <c r="C1" s="1141" t="s">
        <v>1275</v>
      </c>
      <c r="D1" s="1189"/>
      <c r="E1" s="1189"/>
      <c r="F1" s="1189"/>
      <c r="G1" s="1189"/>
      <c r="H1" s="1189"/>
      <c r="I1" s="1189"/>
      <c r="J1" s="1189"/>
      <c r="K1" s="1189"/>
      <c r="L1" s="1189"/>
    </row>
    <row r="2" spans="1:13" x14ac:dyDescent="0.2">
      <c r="I2" s="159"/>
    </row>
    <row r="3" spans="1:13" s="122" customFormat="1" ht="12.75" x14ac:dyDescent="0.2">
      <c r="A3" s="160"/>
      <c r="B3" s="1144" t="s">
        <v>78</v>
      </c>
      <c r="C3" s="1144"/>
      <c r="D3" s="1144"/>
      <c r="E3" s="1144"/>
      <c r="F3" s="1144"/>
      <c r="G3" s="1144"/>
      <c r="H3" s="1144"/>
      <c r="I3" s="1144"/>
      <c r="J3" s="1189"/>
      <c r="K3" s="1189"/>
      <c r="L3" s="1189"/>
    </row>
    <row r="4" spans="1:13" s="122" customFormat="1" x14ac:dyDescent="0.2">
      <c r="A4" s="160"/>
      <c r="B4" s="1243" t="s">
        <v>1125</v>
      </c>
      <c r="C4" s="1243"/>
      <c r="D4" s="1243"/>
      <c r="E4" s="1243"/>
      <c r="F4" s="1243"/>
      <c r="G4" s="1243"/>
      <c r="H4" s="1243"/>
      <c r="I4" s="1243"/>
    </row>
    <row r="5" spans="1:13" s="122" customFormat="1" ht="12.75" x14ac:dyDescent="0.2">
      <c r="A5" s="1145" t="s">
        <v>321</v>
      </c>
      <c r="B5" s="1191"/>
      <c r="C5" s="1191"/>
      <c r="D5" s="1191"/>
      <c r="E5" s="1191"/>
      <c r="F5" s="1191"/>
      <c r="G5" s="1191"/>
      <c r="H5" s="1191"/>
      <c r="I5" s="1191"/>
      <c r="J5" s="1191"/>
      <c r="K5" s="1191"/>
      <c r="L5" s="1191"/>
    </row>
    <row r="6" spans="1:13" s="122" customFormat="1" ht="12.75" customHeight="1" x14ac:dyDescent="0.2">
      <c r="A6" s="1149" t="s">
        <v>56</v>
      </c>
      <c r="B6" s="1150" t="s">
        <v>57</v>
      </c>
      <c r="C6" s="1165" t="s">
        <v>58</v>
      </c>
      <c r="D6" s="1165"/>
      <c r="E6" s="1166"/>
      <c r="F6" s="1245" t="s">
        <v>59</v>
      </c>
      <c r="G6" s="1147" t="s">
        <v>60</v>
      </c>
      <c r="H6" s="1148"/>
      <c r="I6" s="1244"/>
      <c r="M6" s="622"/>
    </row>
    <row r="7" spans="1:13" s="122" customFormat="1" ht="12.75" customHeight="1" x14ac:dyDescent="0.2">
      <c r="A7" s="1149"/>
      <c r="B7" s="1150"/>
      <c r="C7" s="1142" t="s">
        <v>1120</v>
      </c>
      <c r="D7" s="1142"/>
      <c r="E7" s="1143"/>
      <c r="F7" s="1245"/>
      <c r="G7" s="1142" t="s">
        <v>1120</v>
      </c>
      <c r="H7" s="1142"/>
      <c r="I7" s="1142"/>
      <c r="M7" s="622"/>
    </row>
    <row r="8" spans="1:13" s="123" customFormat="1" ht="36.6" customHeight="1" x14ac:dyDescent="0.2">
      <c r="A8" s="1149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M8" s="623"/>
    </row>
    <row r="9" spans="1:13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58"/>
      <c r="J9" s="10"/>
      <c r="K9" s="10"/>
      <c r="L9" s="10"/>
      <c r="M9" s="191"/>
    </row>
    <row r="10" spans="1:13" x14ac:dyDescent="0.2">
      <c r="A10" s="164">
        <f t="shared" ref="A10:A53" si="0">A9+1</f>
        <v>2</v>
      </c>
      <c r="B10" s="167" t="s">
        <v>35</v>
      </c>
      <c r="C10" s="298"/>
      <c r="D10" s="298"/>
      <c r="E10" s="286">
        <f>SUM(C10:D10)</f>
        <v>0</v>
      </c>
      <c r="F10" s="511" t="s">
        <v>231</v>
      </c>
      <c r="G10" s="286">
        <f>'műk. kiad. szakf Önkorm. '!D63</f>
        <v>60378</v>
      </c>
      <c r="H10" s="286">
        <f>'műk. kiad. szakf Önkorm. '!E63</f>
        <v>47841</v>
      </c>
      <c r="I10" s="478">
        <f>SUM(G10:H10)</f>
        <v>108219</v>
      </c>
      <c r="J10" s="10"/>
      <c r="K10" s="10"/>
      <c r="L10" s="10"/>
      <c r="M10" s="191"/>
    </row>
    <row r="11" spans="1:13" x14ac:dyDescent="0.2">
      <c r="A11" s="164">
        <f t="shared" si="0"/>
        <v>3</v>
      </c>
      <c r="B11" s="167" t="s">
        <v>206</v>
      </c>
      <c r="C11" s="298">
        <f>'tám, végl. pe.átv  '!C11+'tám, végl. pe.átv  '!C17+'tám, végl. pe.átv  '!C18</f>
        <v>740982</v>
      </c>
      <c r="D11" s="298">
        <f>'tám, végl. pe.átv  '!D11+'tám, végl. pe.átv  '!D17+'tám, végl. pe.átv  '!D18</f>
        <v>93769</v>
      </c>
      <c r="E11" s="298">
        <f>'tám, végl. pe.átv  '!E11+'tám, végl. pe.átv  '!E17+'tám, végl. pe.átv  '!E18</f>
        <v>834751</v>
      </c>
      <c r="F11" s="511" t="s">
        <v>232</v>
      </c>
      <c r="G11" s="286">
        <f>'műk. kiad. szakf Önkorm. '!F63</f>
        <v>18106</v>
      </c>
      <c r="H11" s="286">
        <f>'műk. kiad. szakf Önkorm. '!G63</f>
        <v>16376.32</v>
      </c>
      <c r="I11" s="478">
        <f>SUM(G11:H11)</f>
        <v>34482.32</v>
      </c>
      <c r="J11" s="10"/>
      <c r="K11" s="10"/>
      <c r="L11" s="10"/>
      <c r="M11" s="191"/>
    </row>
    <row r="12" spans="1:13" x14ac:dyDescent="0.2">
      <c r="A12" s="164">
        <f t="shared" si="0"/>
        <v>4</v>
      </c>
      <c r="B12" s="167" t="s">
        <v>203</v>
      </c>
      <c r="C12" s="298"/>
      <c r="D12" s="298">
        <v>0</v>
      </c>
      <c r="E12" s="298">
        <f>C12+D12</f>
        <v>0</v>
      </c>
      <c r="F12" s="511" t="s">
        <v>233</v>
      </c>
      <c r="G12" s="286">
        <f>'műk. kiad. szakf Önkorm. '!H63</f>
        <v>280679</v>
      </c>
      <c r="H12" s="286">
        <f>'műk. kiad. szakf Önkorm. '!I63</f>
        <v>182582</v>
      </c>
      <c r="I12" s="478">
        <f>SUM(G12:H12)</f>
        <v>463261</v>
      </c>
      <c r="J12" s="10"/>
      <c r="K12" s="10"/>
      <c r="L12" s="10"/>
      <c r="M12" s="191"/>
    </row>
    <row r="13" spans="1:13" ht="12" customHeight="1" x14ac:dyDescent="0.2">
      <c r="A13" s="164">
        <f t="shared" si="0"/>
        <v>5</v>
      </c>
      <c r="B13" s="553" t="s">
        <v>207</v>
      </c>
      <c r="C13" s="298">
        <f>'tám, végl. pe.átv  '!C36</f>
        <v>10228</v>
      </c>
      <c r="D13" s="298">
        <f>'tám, végl. pe.átv  '!D36</f>
        <v>2450</v>
      </c>
      <c r="E13" s="298">
        <f>'tám, végl. pe.átv  '!E36</f>
        <v>12678</v>
      </c>
      <c r="F13" s="511"/>
      <c r="G13" s="298"/>
      <c r="H13" s="298"/>
      <c r="I13" s="478"/>
      <c r="J13" s="10"/>
      <c r="K13" s="10"/>
      <c r="L13" s="10"/>
      <c r="M13" s="191"/>
    </row>
    <row r="14" spans="1:13" x14ac:dyDescent="0.2">
      <c r="A14" s="164">
        <f t="shared" si="0"/>
        <v>6</v>
      </c>
      <c r="B14" s="167" t="s">
        <v>208</v>
      </c>
      <c r="C14" s="298">
        <f>'felh. bev.  '!D25</f>
        <v>0</v>
      </c>
      <c r="D14" s="298">
        <f>'felh. bev.  '!E25</f>
        <v>93253</v>
      </c>
      <c r="E14" s="286">
        <f>SUM(C14:D14)</f>
        <v>93253</v>
      </c>
      <c r="F14" s="511" t="s">
        <v>234</v>
      </c>
      <c r="G14" s="293">
        <f>'műk. kiad. szakf Önkorm. '!P63</f>
        <v>2800</v>
      </c>
      <c r="H14" s="293">
        <f>'ellátottak önk.'!F32</f>
        <v>10950</v>
      </c>
      <c r="I14" s="478">
        <f>SUM(G14:H14)</f>
        <v>13750</v>
      </c>
      <c r="J14" s="10"/>
      <c r="K14" s="10"/>
      <c r="L14" s="10"/>
      <c r="M14" s="191"/>
    </row>
    <row r="15" spans="1:13" x14ac:dyDescent="0.2">
      <c r="A15" s="164">
        <f t="shared" si="0"/>
        <v>7</v>
      </c>
      <c r="B15" s="167"/>
      <c r="C15" s="298"/>
      <c r="D15" s="298"/>
      <c r="E15" s="286"/>
      <c r="F15" s="511" t="s">
        <v>235</v>
      </c>
      <c r="G15" s="293"/>
      <c r="H15" s="293"/>
      <c r="I15" s="478"/>
      <c r="J15" s="10"/>
      <c r="K15" s="10"/>
      <c r="L15" s="10"/>
      <c r="M15" s="191"/>
    </row>
    <row r="16" spans="1:13" x14ac:dyDescent="0.2">
      <c r="A16" s="164">
        <f t="shared" si="0"/>
        <v>8</v>
      </c>
      <c r="B16" s="167" t="s">
        <v>209</v>
      </c>
      <c r="C16" s="298">
        <f>'közhatalmi bevételek'!D31</f>
        <v>456306</v>
      </c>
      <c r="D16" s="298">
        <f>'közhatalmi bevételek'!E31</f>
        <v>779014</v>
      </c>
      <c r="E16" s="298">
        <f>'közhatalmi bevételek'!F31</f>
        <v>1235320</v>
      </c>
      <c r="F16" s="511" t="s">
        <v>236</v>
      </c>
      <c r="G16" s="293">
        <f>mc.pe.átad!D22</f>
        <v>5750</v>
      </c>
      <c r="H16" s="293">
        <f>mc.pe.átad!E22</f>
        <v>45623</v>
      </c>
      <c r="I16" s="293">
        <f>mc.pe.átad!F22</f>
        <v>51373</v>
      </c>
      <c r="J16" s="10"/>
      <c r="K16" s="10"/>
      <c r="L16" s="10"/>
      <c r="M16" s="191"/>
    </row>
    <row r="17" spans="1:14" x14ac:dyDescent="0.2">
      <c r="A17" s="164">
        <f t="shared" si="0"/>
        <v>9</v>
      </c>
      <c r="B17" s="170" t="s">
        <v>40</v>
      </c>
      <c r="C17" s="363"/>
      <c r="D17" s="363"/>
      <c r="E17" s="363"/>
      <c r="F17" s="511" t="s">
        <v>237</v>
      </c>
      <c r="G17" s="293">
        <f>mc.pe.átad!D55</f>
        <v>116685</v>
      </c>
      <c r="H17" s="293">
        <f>mc.pe.átad!E55</f>
        <v>170408</v>
      </c>
      <c r="I17" s="293">
        <f>mc.pe.átad!F55</f>
        <v>287093</v>
      </c>
      <c r="J17" s="10"/>
      <c r="K17" s="10"/>
      <c r="L17" s="10"/>
      <c r="M17" s="191"/>
    </row>
    <row r="18" spans="1:14" x14ac:dyDescent="0.2">
      <c r="A18" s="164">
        <f t="shared" si="0"/>
        <v>10</v>
      </c>
      <c r="B18" s="170"/>
      <c r="C18" s="363"/>
      <c r="D18" s="363"/>
      <c r="E18" s="363"/>
      <c r="F18" s="511" t="s">
        <v>285</v>
      </c>
      <c r="G18" s="293">
        <f>'műk. kiad. szakf Önkorm. '!N63</f>
        <v>451</v>
      </c>
      <c r="H18" s="293">
        <f>'műk. kiad. szakf Önkorm. '!O63</f>
        <v>0</v>
      </c>
      <c r="I18" s="293">
        <f>G18+H18</f>
        <v>451</v>
      </c>
      <c r="J18" s="10"/>
      <c r="K18" s="10"/>
      <c r="L18" s="10"/>
      <c r="M18" s="191"/>
    </row>
    <row r="19" spans="1:14" x14ac:dyDescent="0.2">
      <c r="A19" s="164">
        <f t="shared" si="0"/>
        <v>11</v>
      </c>
      <c r="B19" s="116" t="s">
        <v>210</v>
      </c>
      <c r="C19" s="363">
        <v>40369</v>
      </c>
      <c r="D19" s="363">
        <v>48340</v>
      </c>
      <c r="E19" s="363">
        <f>SUM(C19:D19)</f>
        <v>88709</v>
      </c>
      <c r="F19" s="511" t="s">
        <v>239</v>
      </c>
      <c r="G19" s="293">
        <f>tartalék!C25</f>
        <v>0</v>
      </c>
      <c r="H19" s="293">
        <f>tartalék!D25</f>
        <v>64029</v>
      </c>
      <c r="I19" s="932">
        <f>SUM(G19:H19)</f>
        <v>64029</v>
      </c>
      <c r="J19" s="10"/>
      <c r="K19" s="10"/>
      <c r="L19" s="10"/>
      <c r="M19" s="191"/>
    </row>
    <row r="20" spans="1:14" x14ac:dyDescent="0.2">
      <c r="A20" s="164">
        <f t="shared" si="0"/>
        <v>12</v>
      </c>
      <c r="C20" s="363"/>
      <c r="D20" s="363"/>
      <c r="E20" s="363"/>
      <c r="F20" s="511" t="s">
        <v>286</v>
      </c>
      <c r="G20" s="293">
        <f>tartalék!C33</f>
        <v>4083</v>
      </c>
      <c r="H20" s="293">
        <f>tartalék!D33</f>
        <v>152</v>
      </c>
      <c r="I20" s="293">
        <f>tartalék!E33</f>
        <v>4235</v>
      </c>
      <c r="J20" s="10"/>
      <c r="K20" s="10"/>
      <c r="L20" s="10"/>
      <c r="M20" s="191"/>
    </row>
    <row r="21" spans="1:14" s="124" customFormat="1" x14ac:dyDescent="0.2">
      <c r="A21" s="164">
        <f t="shared" si="0"/>
        <v>13</v>
      </c>
      <c r="B21" s="157" t="s">
        <v>42</v>
      </c>
      <c r="C21" s="363"/>
      <c r="D21" s="363"/>
      <c r="E21" s="363"/>
      <c r="F21" s="621"/>
      <c r="G21" s="293"/>
      <c r="H21" s="293"/>
      <c r="I21" s="480"/>
      <c r="M21" s="624"/>
    </row>
    <row r="22" spans="1:14" s="124" customFormat="1" x14ac:dyDescent="0.2">
      <c r="A22" s="164">
        <f t="shared" si="0"/>
        <v>14</v>
      </c>
      <c r="B22" s="157" t="s">
        <v>981</v>
      </c>
      <c r="C22" s="363"/>
      <c r="D22" s="363"/>
      <c r="E22" s="363"/>
      <c r="F22" s="621"/>
      <c r="G22" s="293"/>
      <c r="H22" s="293"/>
      <c r="I22" s="480"/>
      <c r="M22" s="624"/>
    </row>
    <row r="23" spans="1:14" x14ac:dyDescent="0.2">
      <c r="A23" s="164">
        <f t="shared" si="0"/>
        <v>15</v>
      </c>
      <c r="B23" s="167" t="s">
        <v>980</v>
      </c>
      <c r="C23" s="886"/>
      <c r="D23" s="286">
        <f>'felh. bev.  '!E13</f>
        <v>6740</v>
      </c>
      <c r="E23" s="363">
        <f>SUM(C23:D23)</f>
        <v>6740</v>
      </c>
      <c r="F23" s="887" t="s">
        <v>66</v>
      </c>
      <c r="G23" s="364">
        <f t="shared" ref="G23:L23" si="1">SUM(G10:G21)</f>
        <v>488932</v>
      </c>
      <c r="H23" s="364">
        <f t="shared" si="1"/>
        <v>537961.32000000007</v>
      </c>
      <c r="I23" s="481">
        <f t="shared" si="1"/>
        <v>1026893.3200000001</v>
      </c>
      <c r="J23" s="125">
        <f t="shared" si="1"/>
        <v>0</v>
      </c>
      <c r="K23" s="125">
        <f t="shared" si="1"/>
        <v>0</v>
      </c>
      <c r="L23" s="452">
        <f t="shared" si="1"/>
        <v>0</v>
      </c>
      <c r="M23" s="191"/>
    </row>
    <row r="24" spans="1:14" x14ac:dyDescent="0.2">
      <c r="A24" s="164">
        <f t="shared" si="0"/>
        <v>16</v>
      </c>
      <c r="B24" s="167" t="s">
        <v>215</v>
      </c>
      <c r="C24" s="363">
        <f>'felh. bev.  '!D14+'felh. bev.  '!D15</f>
        <v>0</v>
      </c>
      <c r="D24" s="363">
        <f>'felh. bev.  '!E14+'felh. bev.  '!E15</f>
        <v>0</v>
      </c>
      <c r="E24" s="363">
        <f>SUM(C24:D24)</f>
        <v>0</v>
      </c>
      <c r="F24" s="621"/>
      <c r="G24" s="293"/>
      <c r="H24" s="293"/>
      <c r="I24" s="480"/>
      <c r="J24" s="10"/>
      <c r="K24" s="10"/>
      <c r="L24" s="10"/>
      <c r="M24" s="191"/>
    </row>
    <row r="25" spans="1:14" x14ac:dyDescent="0.2">
      <c r="A25" s="164">
        <f t="shared" si="0"/>
        <v>17</v>
      </c>
      <c r="B25" s="116" t="s">
        <v>216</v>
      </c>
      <c r="C25" s="286">
        <f>'felh. bev.  '!D21</f>
        <v>0</v>
      </c>
      <c r="D25" s="286">
        <f>'felh. bev.  '!E21</f>
        <v>0</v>
      </c>
      <c r="E25" s="286">
        <f>'felh. bev.  '!F21</f>
        <v>0</v>
      </c>
      <c r="F25" s="888" t="s">
        <v>34</v>
      </c>
      <c r="G25" s="366"/>
      <c r="H25" s="366"/>
      <c r="I25" s="480"/>
      <c r="J25" s="10"/>
      <c r="K25" s="10"/>
      <c r="L25" s="10"/>
      <c r="M25" s="191"/>
    </row>
    <row r="26" spans="1:14" x14ac:dyDescent="0.2">
      <c r="A26" s="164">
        <f t="shared" si="0"/>
        <v>18</v>
      </c>
      <c r="B26" s="167" t="s">
        <v>217</v>
      </c>
      <c r="C26" s="286"/>
      <c r="D26" s="286"/>
      <c r="E26" s="286"/>
      <c r="F26" s="511" t="s">
        <v>288</v>
      </c>
      <c r="G26" s="293">
        <f>'felhalm. kiad.  '!G14+'felhalm. kiad.  '!G45+'felhalm. kiad.  '!G57+'felhalm. kiad.  '!G71</f>
        <v>1993459</v>
      </c>
      <c r="H26" s="293">
        <f>'felhalm. kiad.  '!H14+'felhalm. kiad.  '!H45+'felhalm. kiad.  '!H57+'felhalm. kiad.  '!H62+'felhalm. kiad.  '!H71+'felhalm. kiad.  '!H131</f>
        <v>142768</v>
      </c>
      <c r="I26" s="480">
        <f>SUM(G26:H26)</f>
        <v>2136227</v>
      </c>
      <c r="J26" s="10"/>
      <c r="K26" s="10"/>
      <c r="L26" s="10"/>
      <c r="M26" s="621"/>
      <c r="N26" s="884"/>
    </row>
    <row r="27" spans="1:14" x14ac:dyDescent="0.2">
      <c r="A27" s="164">
        <f t="shared" si="0"/>
        <v>19</v>
      </c>
      <c r="B27" s="167"/>
      <c r="C27" s="286"/>
      <c r="D27" s="286"/>
      <c r="E27" s="286"/>
      <c r="F27" s="511" t="s">
        <v>243</v>
      </c>
      <c r="G27" s="293">
        <f>'felhalm. kiad.  '!G19</f>
        <v>10000</v>
      </c>
      <c r="H27" s="293">
        <f>'felhalm. kiad.  '!H19</f>
        <v>0</v>
      </c>
      <c r="I27" s="480">
        <f>SUM(G27:H27)</f>
        <v>10000</v>
      </c>
      <c r="J27" s="10"/>
      <c r="K27" s="10"/>
      <c r="L27" s="10"/>
      <c r="M27" s="191"/>
    </row>
    <row r="28" spans="1:14" x14ac:dyDescent="0.2">
      <c r="A28" s="164">
        <f t="shared" si="0"/>
        <v>20</v>
      </c>
      <c r="B28" s="157" t="s">
        <v>218</v>
      </c>
      <c r="C28" s="286">
        <f>'tám, végl. pe.átv  '!C44</f>
        <v>0</v>
      </c>
      <c r="D28" s="286">
        <f>'tám, végl. pe.átv  '!D44</f>
        <v>62024</v>
      </c>
      <c r="E28" s="286">
        <f>'tám, végl. pe.átv  '!E44</f>
        <v>62024</v>
      </c>
      <c r="F28" s="511" t="s">
        <v>244</v>
      </c>
      <c r="G28" s="293"/>
      <c r="H28" s="293"/>
      <c r="I28" s="480">
        <f>SUM(G28:H28)</f>
        <v>0</v>
      </c>
      <c r="J28" s="10"/>
      <c r="K28" s="10"/>
      <c r="L28" s="10"/>
      <c r="M28" s="191"/>
    </row>
    <row r="29" spans="1:14" s="124" customFormat="1" x14ac:dyDescent="0.2">
      <c r="A29" s="164">
        <f t="shared" si="0"/>
        <v>21</v>
      </c>
      <c r="B29" s="157" t="s">
        <v>284</v>
      </c>
      <c r="C29" s="286">
        <f>'felh. bev.  '!D29+'felh. bev.  '!D35</f>
        <v>0</v>
      </c>
      <c r="D29" s="286">
        <f>'felh. bev.  '!E29+'felh. bev.  '!E35</f>
        <v>2870</v>
      </c>
      <c r="E29" s="286">
        <f>'felh. bev.  '!F29+'felh. bev.  '!F35</f>
        <v>2870</v>
      </c>
      <c r="F29" s="511" t="s">
        <v>246</v>
      </c>
      <c r="G29" s="293">
        <f>'felhalm. kiad.  '!G75</f>
        <v>0</v>
      </c>
      <c r="H29" s="293">
        <f>'felhalm. kiad.  '!H75</f>
        <v>0</v>
      </c>
      <c r="I29" s="480">
        <f>SUM(G29:H29)</f>
        <v>0</v>
      </c>
      <c r="M29" s="624"/>
    </row>
    <row r="30" spans="1:14" x14ac:dyDescent="0.2">
      <c r="A30" s="164">
        <f t="shared" si="0"/>
        <v>22</v>
      </c>
      <c r="C30" s="286"/>
      <c r="D30" s="286"/>
      <c r="E30" s="286"/>
      <c r="F30" s="511" t="s">
        <v>245</v>
      </c>
      <c r="G30" s="293">
        <f>'felhalm. kiad.  '!G86+'felhalm. kiad.  '!G92</f>
        <v>33252</v>
      </c>
      <c r="H30" s="293">
        <f>'felhalm. kiad.  '!H86+'felhalm. kiad.  '!H92</f>
        <v>35820</v>
      </c>
      <c r="I30" s="480">
        <f>SUM(G30:H30)</f>
        <v>69072</v>
      </c>
      <c r="J30" s="10"/>
      <c r="K30" s="10"/>
      <c r="L30" s="10"/>
      <c r="M30" s="191"/>
    </row>
    <row r="31" spans="1:14" s="11" customFormat="1" x14ac:dyDescent="0.2">
      <c r="A31" s="164">
        <f t="shared" si="0"/>
        <v>23</v>
      </c>
      <c r="B31" s="174" t="s">
        <v>52</v>
      </c>
      <c r="C31" s="933">
        <f>C12+C19+C11+C16+C13</f>
        <v>1247885</v>
      </c>
      <c r="D31" s="933">
        <f>D12+D19+D11+D16+D13+D28</f>
        <v>985597</v>
      </c>
      <c r="E31" s="933">
        <f>E12+E19+E11+E16+E13+E28</f>
        <v>2233482</v>
      </c>
      <c r="F31" s="511" t="s">
        <v>287</v>
      </c>
      <c r="G31" s="291">
        <f>tartalék!C19</f>
        <v>343892</v>
      </c>
      <c r="H31" s="291">
        <f>tartalék!D19</f>
        <v>0</v>
      </c>
      <c r="I31" s="291">
        <f>tartalék!E19</f>
        <v>343892</v>
      </c>
      <c r="M31" s="526"/>
    </row>
    <row r="32" spans="1:14" x14ac:dyDescent="0.2">
      <c r="A32" s="164">
        <f t="shared" si="0"/>
        <v>24</v>
      </c>
      <c r="B32" s="175" t="s">
        <v>67</v>
      </c>
      <c r="C32" s="364">
        <f>C14+C22+C23+C24+C25+C26+C29</f>
        <v>0</v>
      </c>
      <c r="D32" s="364">
        <f>D14+D22+D23+D24+D25+D26+D29</f>
        <v>102863</v>
      </c>
      <c r="E32" s="364">
        <f>E14+E22+E23+E24+E25+E26+E29</f>
        <v>102863</v>
      </c>
      <c r="F32" s="861" t="s">
        <v>68</v>
      </c>
      <c r="G32" s="364">
        <f>SUM(G26:G31)</f>
        <v>2380603</v>
      </c>
      <c r="H32" s="364">
        <f>SUM(H26:H31)</f>
        <v>178588</v>
      </c>
      <c r="I32" s="481">
        <f>SUM(I26:I31)</f>
        <v>2559191</v>
      </c>
      <c r="J32" s="10"/>
      <c r="K32" s="10"/>
      <c r="L32" s="10"/>
      <c r="M32" s="191"/>
    </row>
    <row r="33" spans="1:13" x14ac:dyDescent="0.2">
      <c r="A33" s="164">
        <f t="shared" si="0"/>
        <v>25</v>
      </c>
      <c r="B33" s="178" t="s">
        <v>51</v>
      </c>
      <c r="C33" s="366">
        <f>SUM(C31:C32)</f>
        <v>1247885</v>
      </c>
      <c r="D33" s="366">
        <f>SUM(D31:D32)</f>
        <v>1088460</v>
      </c>
      <c r="E33" s="366">
        <f>SUM(C33:D33)</f>
        <v>2336345</v>
      </c>
      <c r="F33" s="890" t="s">
        <v>69</v>
      </c>
      <c r="G33" s="366">
        <f t="shared" ref="G33:L33" si="2">G23+G32</f>
        <v>2869535</v>
      </c>
      <c r="H33" s="366">
        <f t="shared" si="2"/>
        <v>716549.32000000007</v>
      </c>
      <c r="I33" s="454">
        <f t="shared" si="2"/>
        <v>3586084.3200000003</v>
      </c>
      <c r="J33" s="173">
        <f t="shared" si="2"/>
        <v>0</v>
      </c>
      <c r="K33" s="173">
        <f t="shared" si="2"/>
        <v>0</v>
      </c>
      <c r="L33" s="456">
        <f t="shared" si="2"/>
        <v>0</v>
      </c>
      <c r="M33" s="191"/>
    </row>
    <row r="34" spans="1:13" x14ac:dyDescent="0.2">
      <c r="A34" s="164">
        <f t="shared" si="0"/>
        <v>26</v>
      </c>
      <c r="B34" s="180"/>
      <c r="C34" s="293"/>
      <c r="D34" s="293"/>
      <c r="E34" s="293"/>
      <c r="F34" s="621"/>
      <c r="G34" s="293"/>
      <c r="H34" s="293"/>
      <c r="I34" s="480"/>
      <c r="J34" s="10"/>
      <c r="K34" s="10"/>
      <c r="L34" s="10"/>
      <c r="M34" s="191"/>
    </row>
    <row r="35" spans="1:13" x14ac:dyDescent="0.2">
      <c r="A35" s="164">
        <f t="shared" si="0"/>
        <v>27</v>
      </c>
      <c r="B35" s="178" t="s">
        <v>23</v>
      </c>
      <c r="C35" s="366">
        <f>C33-G33</f>
        <v>-1621650</v>
      </c>
      <c r="D35" s="366">
        <f t="shared" ref="D35:E35" si="3">D33-H33</f>
        <v>371910.67999999993</v>
      </c>
      <c r="E35" s="366">
        <f t="shared" si="3"/>
        <v>-1249739.3200000003</v>
      </c>
      <c r="F35" s="887"/>
      <c r="G35" s="364"/>
      <c r="H35" s="364"/>
      <c r="I35" s="481"/>
      <c r="J35" s="10"/>
      <c r="K35" s="10"/>
      <c r="L35" s="10"/>
      <c r="M35" s="191"/>
    </row>
    <row r="36" spans="1:13" s="11" customFormat="1" x14ac:dyDescent="0.2">
      <c r="A36" s="164">
        <f t="shared" si="0"/>
        <v>28</v>
      </c>
      <c r="B36" s="180"/>
      <c r="C36" s="293"/>
      <c r="D36" s="293"/>
      <c r="E36" s="480"/>
      <c r="F36" s="621"/>
      <c r="G36" s="293"/>
      <c r="H36" s="293"/>
      <c r="I36" s="480"/>
      <c r="M36" s="526"/>
    </row>
    <row r="37" spans="1:13" s="11" customFormat="1" x14ac:dyDescent="0.2">
      <c r="A37" s="798">
        <f t="shared" si="0"/>
        <v>29</v>
      </c>
      <c r="B37" s="126" t="s">
        <v>53</v>
      </c>
      <c r="C37" s="648"/>
      <c r="D37" s="648"/>
      <c r="E37" s="648"/>
      <c r="F37" s="888" t="s">
        <v>33</v>
      </c>
      <c r="G37" s="366"/>
      <c r="H37" s="366"/>
      <c r="I37" s="454"/>
      <c r="M37" s="526"/>
    </row>
    <row r="38" spans="1:13" s="11" customFormat="1" x14ac:dyDescent="0.2">
      <c r="A38" s="164">
        <f t="shared" si="0"/>
        <v>30</v>
      </c>
      <c r="B38" s="136" t="s">
        <v>726</v>
      </c>
      <c r="C38" s="648"/>
      <c r="D38" s="648"/>
      <c r="E38" s="648"/>
      <c r="F38" s="891" t="s">
        <v>4</v>
      </c>
      <c r="G38" s="190"/>
      <c r="I38" s="483"/>
      <c r="M38" s="526"/>
    </row>
    <row r="39" spans="1:13" s="11" customFormat="1" ht="22.5" customHeight="1" x14ac:dyDescent="0.2">
      <c r="A39" s="335">
        <f t="shared" si="0"/>
        <v>31</v>
      </c>
      <c r="B39" s="14" t="s">
        <v>1073</v>
      </c>
      <c r="C39" s="286">
        <v>1243160</v>
      </c>
      <c r="D39" s="648"/>
      <c r="E39" s="893">
        <f>SUM(C39:D39)</f>
        <v>1243160</v>
      </c>
      <c r="F39" s="934" t="s">
        <v>3</v>
      </c>
      <c r="G39" s="366"/>
      <c r="H39" s="366"/>
      <c r="I39" s="454"/>
      <c r="M39" s="526"/>
    </row>
    <row r="40" spans="1:13" x14ac:dyDescent="0.2">
      <c r="A40" s="164">
        <f t="shared" si="0"/>
        <v>32</v>
      </c>
      <c r="B40" s="118" t="s">
        <v>728</v>
      </c>
      <c r="C40" s="892"/>
      <c r="D40" s="893"/>
      <c r="E40" s="893">
        <f>SUM(C40:D40)</f>
        <v>0</v>
      </c>
      <c r="F40" s="511" t="s">
        <v>5</v>
      </c>
      <c r="G40" s="366"/>
      <c r="H40" s="366"/>
      <c r="I40" s="454"/>
      <c r="J40" s="10"/>
      <c r="K40" s="10"/>
      <c r="L40" s="10"/>
      <c r="M40" s="191"/>
    </row>
    <row r="41" spans="1:13" x14ac:dyDescent="0.2">
      <c r="A41" s="164">
        <f t="shared" si="0"/>
        <v>33</v>
      </c>
      <c r="B41" s="118" t="s">
        <v>223</v>
      </c>
      <c r="C41" s="286"/>
      <c r="D41" s="286"/>
      <c r="E41" s="286"/>
      <c r="F41" s="511" t="s">
        <v>6</v>
      </c>
      <c r="G41" s="190"/>
      <c r="H41" s="190"/>
      <c r="I41" s="454"/>
      <c r="J41" s="10"/>
      <c r="K41" s="10"/>
      <c r="L41" s="10"/>
      <c r="M41" s="191"/>
    </row>
    <row r="42" spans="1:13" x14ac:dyDescent="0.2">
      <c r="A42" s="164">
        <f t="shared" si="0"/>
        <v>34</v>
      </c>
      <c r="B42" s="550" t="s">
        <v>224</v>
      </c>
      <c r="C42" s="286">
        <v>1193985</v>
      </c>
      <c r="D42" s="286">
        <v>160130</v>
      </c>
      <c r="E42" s="286">
        <f>C42+D42</f>
        <v>1354115</v>
      </c>
      <c r="F42" s="511" t="s">
        <v>7</v>
      </c>
      <c r="G42" s="190"/>
      <c r="H42" s="190"/>
      <c r="I42" s="454"/>
      <c r="J42" s="10"/>
      <c r="K42" s="10"/>
      <c r="L42" s="10"/>
      <c r="M42" s="191"/>
    </row>
    <row r="43" spans="1:13" x14ac:dyDescent="0.2">
      <c r="A43" s="164">
        <f t="shared" si="0"/>
        <v>35</v>
      </c>
      <c r="B43" s="550" t="s">
        <v>1013</v>
      </c>
      <c r="C43" s="286"/>
      <c r="D43" s="286"/>
      <c r="E43" s="286"/>
      <c r="F43" s="511"/>
      <c r="G43" s="190"/>
      <c r="H43" s="190"/>
      <c r="I43" s="454"/>
      <c r="J43" s="10"/>
      <c r="K43" s="10"/>
      <c r="L43" s="10"/>
      <c r="M43" s="191"/>
    </row>
    <row r="44" spans="1:13" x14ac:dyDescent="0.2">
      <c r="A44" s="164">
        <f t="shared" si="0"/>
        <v>36</v>
      </c>
      <c r="B44" s="119" t="s">
        <v>729</v>
      </c>
      <c r="C44" s="286"/>
      <c r="D44" s="286"/>
      <c r="E44" s="286"/>
      <c r="F44" s="511" t="s">
        <v>8</v>
      </c>
      <c r="G44" s="366"/>
      <c r="H44" s="366"/>
      <c r="I44" s="480"/>
      <c r="J44" s="10"/>
      <c r="K44" s="10"/>
      <c r="L44" s="10"/>
      <c r="M44" s="191"/>
    </row>
    <row r="45" spans="1:13" x14ac:dyDescent="0.2">
      <c r="A45" s="164">
        <f t="shared" si="0"/>
        <v>37</v>
      </c>
      <c r="B45" s="119" t="s">
        <v>730</v>
      </c>
      <c r="C45" s="648"/>
      <c r="D45" s="648"/>
      <c r="E45" s="648"/>
      <c r="F45" s="511" t="s">
        <v>289</v>
      </c>
      <c r="G45" s="293">
        <f>24026+3667</f>
        <v>27693</v>
      </c>
      <c r="H45" s="293">
        <f>3062+689</f>
        <v>3751</v>
      </c>
      <c r="I45" s="480">
        <f>SUM(G45:H45)</f>
        <v>31444</v>
      </c>
      <c r="J45" s="10"/>
      <c r="K45" s="10"/>
      <c r="L45" s="10"/>
      <c r="M45" s="191"/>
    </row>
    <row r="46" spans="1:13" x14ac:dyDescent="0.2">
      <c r="A46" s="164">
        <f t="shared" si="0"/>
        <v>38</v>
      </c>
      <c r="B46" s="118" t="s">
        <v>731</v>
      </c>
      <c r="C46" s="286"/>
      <c r="D46" s="286"/>
      <c r="E46" s="286"/>
      <c r="F46" s="511" t="s">
        <v>254</v>
      </c>
      <c r="G46" s="293"/>
      <c r="H46" s="293"/>
      <c r="I46" s="480"/>
      <c r="J46" s="10"/>
      <c r="K46" s="10"/>
      <c r="L46" s="10"/>
      <c r="M46" s="191"/>
    </row>
    <row r="47" spans="1:13" x14ac:dyDescent="0.2">
      <c r="A47" s="164">
        <f t="shared" si="0"/>
        <v>39</v>
      </c>
      <c r="B47" s="118" t="s">
        <v>732</v>
      </c>
      <c r="C47" s="286"/>
      <c r="D47" s="286"/>
      <c r="E47" s="286"/>
      <c r="F47" s="885" t="s">
        <v>255</v>
      </c>
      <c r="G47" s="293">
        <f>'pü.mérleg Hivatal'!D48+'püm. GAMESZ. '!C48+'püm-TASZII.'!C48+püm.Brunszvik!C48+'püm Festetics'!C48</f>
        <v>765347</v>
      </c>
      <c r="H47" s="293">
        <f>'pü.mérleg Hivatal'!E48+'püm. GAMESZ. '!D48+'püm-TASZII.'!D48+püm.Brunszvik!D48+'püm Festetics'!D48</f>
        <v>514585</v>
      </c>
      <c r="I47" s="480">
        <f>SUM(G47:H47)</f>
        <v>1279932</v>
      </c>
      <c r="J47" s="10"/>
      <c r="K47" s="10"/>
      <c r="L47" s="10"/>
      <c r="M47" s="191"/>
    </row>
    <row r="48" spans="1:13" x14ac:dyDescent="0.2">
      <c r="A48" s="164">
        <f t="shared" si="0"/>
        <v>40</v>
      </c>
      <c r="B48" s="118" t="s">
        <v>0</v>
      </c>
      <c r="C48" s="286"/>
      <c r="D48" s="286"/>
      <c r="E48" s="286"/>
      <c r="F48" s="885" t="s">
        <v>256</v>
      </c>
      <c r="G48" s="293">
        <f>'pü.mérleg Hivatal'!D49+'püm. GAMESZ. '!C49+'püm-TASZII.'!C49+püm.Brunszvik!C49+'püm Festetics'!C49</f>
        <v>22455</v>
      </c>
      <c r="H48" s="293">
        <f>'pü.mérleg Hivatal'!E49+'püm. GAMESZ. '!D49+püm.Brunszvik!D49+'püm Festetics'!D49+'püm-TASZII.'!D49</f>
        <v>13705</v>
      </c>
      <c r="I48" s="293">
        <f>'pü.mérleg Hivatal'!F49+'püm. GAMESZ. '!E49+'püm-TASZII.'!E49+püm.Brunszvik!E49+'püm Festetics'!E49</f>
        <v>36160</v>
      </c>
      <c r="J48" s="10"/>
      <c r="K48" s="10"/>
      <c r="L48" s="10"/>
      <c r="M48" s="191"/>
    </row>
    <row r="49" spans="1:13" x14ac:dyDescent="0.2">
      <c r="A49" s="164">
        <f t="shared" si="0"/>
        <v>41</v>
      </c>
      <c r="B49" s="118" t="s">
        <v>1</v>
      </c>
      <c r="C49" s="286"/>
      <c r="D49" s="286"/>
      <c r="E49" s="286">
        <f>SUM(C49:D49)</f>
        <v>0</v>
      </c>
      <c r="F49" s="511" t="s">
        <v>13</v>
      </c>
      <c r="G49" s="1126"/>
      <c r="H49" s="1126"/>
      <c r="I49" s="1127"/>
      <c r="J49" s="10"/>
      <c r="K49" s="10"/>
      <c r="L49" s="10"/>
      <c r="M49" s="191"/>
    </row>
    <row r="50" spans="1:13" x14ac:dyDescent="0.2">
      <c r="A50" s="164">
        <f t="shared" si="0"/>
        <v>42</v>
      </c>
      <c r="B50" s="118"/>
      <c r="C50" s="286"/>
      <c r="D50" s="286"/>
      <c r="E50" s="286"/>
      <c r="F50" s="511" t="s">
        <v>14</v>
      </c>
      <c r="G50" s="293"/>
      <c r="H50" s="293"/>
      <c r="I50" s="480"/>
      <c r="J50" s="10"/>
      <c r="K50" s="10"/>
      <c r="L50" s="10"/>
      <c r="M50" s="191"/>
    </row>
    <row r="51" spans="1:13" x14ac:dyDescent="0.2">
      <c r="A51" s="164">
        <f t="shared" si="0"/>
        <v>43</v>
      </c>
      <c r="B51" s="118"/>
      <c r="C51" s="286"/>
      <c r="D51" s="286"/>
      <c r="E51" s="286"/>
      <c r="F51" s="511" t="s">
        <v>15</v>
      </c>
      <c r="G51" s="293"/>
      <c r="H51" s="293"/>
      <c r="I51" s="480"/>
      <c r="J51" s="10"/>
      <c r="K51" s="10"/>
      <c r="L51" s="10"/>
      <c r="M51" s="191"/>
    </row>
    <row r="52" spans="1:13" ht="12" thickBot="1" x14ac:dyDescent="0.25">
      <c r="A52" s="164">
        <f t="shared" si="0"/>
        <v>44</v>
      </c>
      <c r="B52" s="178" t="s">
        <v>474</v>
      </c>
      <c r="C52" s="648">
        <f>SUM(C38:C50)</f>
        <v>2437145</v>
      </c>
      <c r="D52" s="648">
        <f>SUM(D38:D50)</f>
        <v>160130</v>
      </c>
      <c r="E52" s="648">
        <f>SUM(E38:E50)</f>
        <v>2597275</v>
      </c>
      <c r="F52" s="888" t="s">
        <v>467</v>
      </c>
      <c r="G52" s="366">
        <f t="shared" ref="G52:L52" si="4">SUM(G38:G51)</f>
        <v>815495</v>
      </c>
      <c r="H52" s="366">
        <f t="shared" si="4"/>
        <v>532041</v>
      </c>
      <c r="I52" s="454">
        <f t="shared" si="4"/>
        <v>1347536</v>
      </c>
      <c r="J52" s="173">
        <f t="shared" si="4"/>
        <v>0</v>
      </c>
      <c r="K52" s="173">
        <f t="shared" si="4"/>
        <v>0</v>
      </c>
      <c r="L52" s="456">
        <f t="shared" si="4"/>
        <v>0</v>
      </c>
      <c r="M52" s="191"/>
    </row>
    <row r="53" spans="1:13" ht="12" thickBot="1" x14ac:dyDescent="0.25">
      <c r="A53" s="164">
        <f t="shared" si="0"/>
        <v>45</v>
      </c>
      <c r="B53" s="305" t="s">
        <v>469</v>
      </c>
      <c r="C53" s="1135">
        <f>C33+C52</f>
        <v>3685030</v>
      </c>
      <c r="D53" s="935">
        <f>D33+D52</f>
        <v>1248590</v>
      </c>
      <c r="E53" s="936">
        <f>E33+E52</f>
        <v>4933620</v>
      </c>
      <c r="F53" s="937" t="s">
        <v>468</v>
      </c>
      <c r="G53" s="368">
        <f t="shared" ref="G53:L53" si="5">G33+G52</f>
        <v>3685030</v>
      </c>
      <c r="H53" s="368">
        <f t="shared" si="5"/>
        <v>1248590.32</v>
      </c>
      <c r="I53" s="938">
        <f t="shared" si="5"/>
        <v>4933620.32</v>
      </c>
      <c r="J53" s="464">
        <f t="shared" si="5"/>
        <v>0</v>
      </c>
      <c r="K53" s="516">
        <f t="shared" si="5"/>
        <v>0</v>
      </c>
      <c r="L53" s="576">
        <f t="shared" si="5"/>
        <v>0</v>
      </c>
      <c r="M53" s="292"/>
    </row>
    <row r="54" spans="1:13" x14ac:dyDescent="0.2">
      <c r="B54" s="183"/>
      <c r="C54" s="182"/>
      <c r="D54" s="182"/>
      <c r="E54" s="182"/>
      <c r="F54" s="173"/>
      <c r="G54" s="182"/>
      <c r="H54" s="182"/>
      <c r="I54" s="182"/>
      <c r="J54" s="10"/>
      <c r="K54" s="10"/>
      <c r="L54" s="10"/>
    </row>
    <row r="60" spans="1:13" x14ac:dyDescent="0.2">
      <c r="H60" s="169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K55"/>
  <sheetViews>
    <sheetView zoomScale="120" workbookViewId="0">
      <selection activeCell="G8" sqref="G8:G9"/>
    </sheetView>
  </sheetViews>
  <sheetFormatPr defaultColWidth="9.140625" defaultRowHeight="11.25" x14ac:dyDescent="0.2"/>
  <cols>
    <col min="1" max="1" width="9.140625" style="10"/>
    <col min="2" max="2" width="3.7109375" style="157" customWidth="1"/>
    <col min="3" max="3" width="36.140625" style="157" customWidth="1"/>
    <col min="4" max="5" width="10.28515625" style="158" customWidth="1"/>
    <col min="6" max="6" width="9" style="158" customWidth="1"/>
    <col min="7" max="7" width="36.140625" style="158" customWidth="1"/>
    <col min="8" max="8" width="7.85546875" style="158" customWidth="1"/>
    <col min="9" max="9" width="10.140625" style="158" customWidth="1"/>
    <col min="10" max="10" width="10" style="158" customWidth="1"/>
    <col min="11" max="16384" width="9.140625" style="10"/>
  </cols>
  <sheetData>
    <row r="1" spans="2:11" ht="12.75" x14ac:dyDescent="0.2">
      <c r="D1" s="1141" t="s">
        <v>1276</v>
      </c>
      <c r="E1" s="1189"/>
      <c r="F1" s="1189"/>
      <c r="G1" s="1189"/>
      <c r="H1" s="1189"/>
      <c r="I1" s="1189"/>
      <c r="J1" s="1189"/>
    </row>
    <row r="2" spans="2:11" x14ac:dyDescent="0.2">
      <c r="G2" s="159"/>
      <c r="H2" s="159"/>
      <c r="I2" s="159"/>
      <c r="J2" s="159"/>
    </row>
    <row r="3" spans="2:11" x14ac:dyDescent="0.2">
      <c r="G3" s="159"/>
      <c r="H3" s="159"/>
      <c r="I3" s="159"/>
      <c r="J3" s="159"/>
    </row>
    <row r="4" spans="2:11" s="122" customFormat="1" x14ac:dyDescent="0.2">
      <c r="B4" s="160"/>
      <c r="C4" s="1144" t="s">
        <v>78</v>
      </c>
      <c r="D4" s="1144"/>
      <c r="E4" s="1144"/>
      <c r="F4" s="1144"/>
      <c r="G4" s="1144"/>
      <c r="H4" s="1144"/>
      <c r="I4" s="1144"/>
      <c r="J4" s="1144"/>
    </row>
    <row r="5" spans="2:11" s="122" customFormat="1" x14ac:dyDescent="0.2">
      <c r="B5" s="160"/>
      <c r="C5" s="1246" t="s">
        <v>195</v>
      </c>
      <c r="D5" s="1246"/>
      <c r="E5" s="1246"/>
      <c r="F5" s="1246"/>
      <c r="G5" s="1246"/>
      <c r="H5" s="1246"/>
      <c r="I5" s="1246"/>
      <c r="J5" s="1246"/>
    </row>
    <row r="6" spans="2:11" s="122" customFormat="1" x14ac:dyDescent="0.2">
      <c r="B6" s="160"/>
      <c r="C6" s="1144" t="s">
        <v>1126</v>
      </c>
      <c r="D6" s="1144"/>
      <c r="E6" s="1144"/>
      <c r="F6" s="1144"/>
      <c r="G6" s="1144"/>
      <c r="H6" s="1144"/>
      <c r="I6" s="1144"/>
      <c r="J6" s="1144"/>
    </row>
    <row r="7" spans="2:11" s="122" customFormat="1" ht="12.75" x14ac:dyDescent="0.2">
      <c r="B7" s="1145" t="s">
        <v>321</v>
      </c>
      <c r="C7" s="1191"/>
      <c r="D7" s="1191"/>
      <c r="E7" s="1191"/>
      <c r="F7" s="1191"/>
      <c r="G7" s="1191"/>
      <c r="H7" s="1191"/>
      <c r="I7" s="1191"/>
      <c r="J7" s="1191"/>
    </row>
    <row r="8" spans="2:11" s="122" customFormat="1" ht="12.75" customHeight="1" x14ac:dyDescent="0.2">
      <c r="B8" s="1149" t="s">
        <v>56</v>
      </c>
      <c r="C8" s="1150" t="s">
        <v>57</v>
      </c>
      <c r="D8" s="1165" t="s">
        <v>58</v>
      </c>
      <c r="E8" s="1165"/>
      <c r="F8" s="1166"/>
      <c r="G8" s="1245" t="s">
        <v>59</v>
      </c>
      <c r="H8" s="1147" t="s">
        <v>60</v>
      </c>
      <c r="I8" s="1148"/>
      <c r="J8" s="1148"/>
      <c r="K8" s="622"/>
    </row>
    <row r="9" spans="2:11" s="122" customFormat="1" ht="12.75" customHeight="1" x14ac:dyDescent="0.2">
      <c r="B9" s="1149"/>
      <c r="C9" s="1150"/>
      <c r="D9" s="1142" t="s">
        <v>1120</v>
      </c>
      <c r="E9" s="1142"/>
      <c r="F9" s="1143"/>
      <c r="G9" s="1247"/>
      <c r="H9" s="1142" t="s">
        <v>1120</v>
      </c>
      <c r="I9" s="1142"/>
      <c r="J9" s="1142"/>
      <c r="K9" s="622"/>
    </row>
    <row r="10" spans="2:11" s="123" customFormat="1" ht="36.6" customHeight="1" x14ac:dyDescent="0.2">
      <c r="B10" s="1149"/>
      <c r="C10" s="161" t="s">
        <v>61</v>
      </c>
      <c r="D10" s="135" t="s">
        <v>62</v>
      </c>
      <c r="E10" s="135" t="s">
        <v>63</v>
      </c>
      <c r="F10" s="162" t="s">
        <v>64</v>
      </c>
      <c r="G10" s="163" t="s">
        <v>65</v>
      </c>
      <c r="H10" s="135" t="s">
        <v>62</v>
      </c>
      <c r="I10" s="135" t="s">
        <v>63</v>
      </c>
      <c r="J10" s="135" t="s">
        <v>64</v>
      </c>
      <c r="K10" s="623"/>
    </row>
    <row r="11" spans="2:11" ht="11.45" customHeight="1" x14ac:dyDescent="0.2">
      <c r="B11" s="164">
        <v>1</v>
      </c>
      <c r="C11" s="165" t="s">
        <v>24</v>
      </c>
      <c r="D11" s="166"/>
      <c r="E11" s="166"/>
      <c r="F11" s="166"/>
      <c r="G11" s="138" t="s">
        <v>25</v>
      </c>
      <c r="H11" s="166"/>
      <c r="I11" s="166"/>
      <c r="J11" s="458"/>
      <c r="K11" s="191"/>
    </row>
    <row r="12" spans="2:11" x14ac:dyDescent="0.2">
      <c r="B12" s="164">
        <f t="shared" ref="B12:B54" si="0">B11+1</f>
        <v>2</v>
      </c>
      <c r="C12" s="167" t="s">
        <v>35</v>
      </c>
      <c r="D12" s="118"/>
      <c r="E12" s="118"/>
      <c r="F12" s="119">
        <f>SUM(D12:E12)</f>
        <v>0</v>
      </c>
      <c r="G12" s="139" t="s">
        <v>231</v>
      </c>
      <c r="H12" s="119">
        <v>101660</v>
      </c>
      <c r="I12" s="119">
        <v>66083</v>
      </c>
      <c r="J12" s="451">
        <f>SUM(H12:I12)</f>
        <v>167743</v>
      </c>
      <c r="K12" s="191"/>
    </row>
    <row r="13" spans="2:11" x14ac:dyDescent="0.2">
      <c r="B13" s="164">
        <f t="shared" si="0"/>
        <v>3</v>
      </c>
      <c r="C13" s="167" t="s">
        <v>36</v>
      </c>
      <c r="D13" s="118"/>
      <c r="E13" s="118"/>
      <c r="F13" s="119">
        <f>SUM(D13:E13)</f>
        <v>0</v>
      </c>
      <c r="G13" s="551" t="s">
        <v>232</v>
      </c>
      <c r="H13" s="119">
        <v>28423</v>
      </c>
      <c r="I13" s="119">
        <v>15757</v>
      </c>
      <c r="J13" s="451">
        <f>SUM(H13:I13)</f>
        <v>44180</v>
      </c>
      <c r="K13" s="191"/>
    </row>
    <row r="14" spans="2:11" x14ac:dyDescent="0.2">
      <c r="B14" s="164">
        <f t="shared" si="0"/>
        <v>4</v>
      </c>
      <c r="C14" s="167" t="s">
        <v>37</v>
      </c>
      <c r="D14" s="118">
        <v>1358</v>
      </c>
      <c r="E14" s="118"/>
      <c r="F14" s="119">
        <f>SUM(D14:E14)</f>
        <v>1358</v>
      </c>
      <c r="G14" s="139" t="s">
        <v>233</v>
      </c>
      <c r="H14" s="119">
        <v>6319</v>
      </c>
      <c r="I14" s="119">
        <v>59962</v>
      </c>
      <c r="J14" s="451">
        <f>SUM(H14:I14)</f>
        <v>66281</v>
      </c>
      <c r="K14" s="191"/>
    </row>
    <row r="15" spans="2:11" ht="12" customHeight="1" x14ac:dyDescent="0.2">
      <c r="B15" s="164">
        <f t="shared" si="0"/>
        <v>5</v>
      </c>
      <c r="C15" s="127"/>
      <c r="D15" s="118"/>
      <c r="E15" s="118"/>
      <c r="F15" s="119"/>
      <c r="G15" s="139"/>
      <c r="H15" s="118"/>
      <c r="I15" s="118"/>
      <c r="J15" s="451"/>
      <c r="K15" s="191"/>
    </row>
    <row r="16" spans="2:11" x14ac:dyDescent="0.2">
      <c r="B16" s="164">
        <f t="shared" si="0"/>
        <v>6</v>
      </c>
      <c r="C16" s="167" t="s">
        <v>38</v>
      </c>
      <c r="D16" s="118"/>
      <c r="E16" s="118"/>
      <c r="F16" s="119">
        <f>SUM(D16:E16)</f>
        <v>0</v>
      </c>
      <c r="G16" s="139" t="s">
        <v>28</v>
      </c>
      <c r="H16" s="169">
        <f>'ellátottak hivatal'!E17</f>
        <v>350</v>
      </c>
      <c r="I16" s="169">
        <f>'ellátottak hivatal'!F17</f>
        <v>0</v>
      </c>
      <c r="J16" s="451">
        <f>SUM(H16:I16)</f>
        <v>350</v>
      </c>
      <c r="K16" s="191"/>
    </row>
    <row r="17" spans="2:11" x14ac:dyDescent="0.2">
      <c r="B17" s="164">
        <f t="shared" si="0"/>
        <v>7</v>
      </c>
      <c r="C17" s="167"/>
      <c r="D17" s="118"/>
      <c r="E17" s="118"/>
      <c r="F17" s="119"/>
      <c r="G17" s="139" t="s">
        <v>30</v>
      </c>
      <c r="H17" s="169"/>
      <c r="I17" s="169"/>
      <c r="J17" s="451"/>
      <c r="K17" s="191"/>
    </row>
    <row r="18" spans="2:11" x14ac:dyDescent="0.2">
      <c r="B18" s="164">
        <f t="shared" si="0"/>
        <v>8</v>
      </c>
      <c r="C18" s="167" t="s">
        <v>39</v>
      </c>
      <c r="D18" s="118"/>
      <c r="E18" s="118"/>
      <c r="F18" s="119">
        <f>SUM(D18:E18)</f>
        <v>0</v>
      </c>
      <c r="G18" s="139" t="s">
        <v>472</v>
      </c>
      <c r="H18" s="169"/>
      <c r="I18" s="169">
        <v>0</v>
      </c>
      <c r="J18" s="451">
        <v>0</v>
      </c>
      <c r="K18" s="191"/>
    </row>
    <row r="19" spans="2:11" x14ac:dyDescent="0.2">
      <c r="B19" s="164">
        <f t="shared" si="0"/>
        <v>9</v>
      </c>
      <c r="C19" s="170" t="s">
        <v>40</v>
      </c>
      <c r="D19" s="168"/>
      <c r="E19" s="168"/>
      <c r="F19" s="168"/>
      <c r="G19" s="139" t="s">
        <v>471</v>
      </c>
      <c r="H19" s="169"/>
      <c r="I19" s="169"/>
      <c r="J19" s="453"/>
      <c r="K19" s="191"/>
    </row>
    <row r="20" spans="2:11" x14ac:dyDescent="0.2">
      <c r="B20" s="164">
        <f t="shared" si="0"/>
        <v>10</v>
      </c>
      <c r="C20" s="116" t="s">
        <v>210</v>
      </c>
      <c r="D20" s="363">
        <f>'mük. bev.Önkor és Hivatal '!C80</f>
        <v>15</v>
      </c>
      <c r="E20" s="363">
        <f>'mük. bev.Önkor és Hivatal '!D80</f>
        <v>402</v>
      </c>
      <c r="F20" s="363">
        <f>SUM(D20:E20)</f>
        <v>417</v>
      </c>
      <c r="G20" s="139" t="s">
        <v>238</v>
      </c>
      <c r="H20" s="169"/>
      <c r="I20" s="169">
        <v>0</v>
      </c>
      <c r="J20" s="453">
        <f>I20+H20</f>
        <v>0</v>
      </c>
      <c r="K20" s="191"/>
    </row>
    <row r="21" spans="2:11" x14ac:dyDescent="0.2">
      <c r="B21" s="164">
        <f t="shared" si="0"/>
        <v>11</v>
      </c>
      <c r="D21" s="168"/>
      <c r="E21" s="168"/>
      <c r="F21" s="168"/>
      <c r="G21" s="139" t="s">
        <v>464</v>
      </c>
      <c r="H21" s="169"/>
      <c r="I21" s="169"/>
      <c r="J21" s="453"/>
      <c r="K21" s="191"/>
    </row>
    <row r="22" spans="2:11" s="124" customFormat="1" x14ac:dyDescent="0.2">
      <c r="B22" s="164">
        <f t="shared" si="0"/>
        <v>12</v>
      </c>
      <c r="C22" s="157" t="s">
        <v>42</v>
      </c>
      <c r="D22" s="168"/>
      <c r="E22" s="168"/>
      <c r="F22" s="168"/>
      <c r="G22" s="139" t="s">
        <v>465</v>
      </c>
      <c r="H22" s="169"/>
      <c r="I22" s="169"/>
      <c r="J22" s="453"/>
      <c r="K22" s="624"/>
    </row>
    <row r="23" spans="2:11" s="124" customFormat="1" x14ac:dyDescent="0.2">
      <c r="B23" s="164">
        <f t="shared" si="0"/>
        <v>13</v>
      </c>
      <c r="C23" s="157" t="s">
        <v>43</v>
      </c>
      <c r="D23" s="168"/>
      <c r="E23" s="168"/>
      <c r="F23" s="168"/>
      <c r="G23" s="171"/>
      <c r="H23" s="169"/>
      <c r="I23" s="169"/>
      <c r="J23" s="453"/>
      <c r="K23" s="624"/>
    </row>
    <row r="24" spans="2:11" x14ac:dyDescent="0.2">
      <c r="B24" s="164">
        <f t="shared" si="0"/>
        <v>14</v>
      </c>
      <c r="C24" s="167" t="s">
        <v>44</v>
      </c>
      <c r="D24" s="129"/>
      <c r="E24" s="129"/>
      <c r="F24" s="129"/>
      <c r="G24" s="172" t="s">
        <v>66</v>
      </c>
      <c r="H24" s="125">
        <f>SUM(H12:H22)</f>
        <v>136752</v>
      </c>
      <c r="I24" s="125">
        <f>SUM(I12:I22)</f>
        <v>141802</v>
      </c>
      <c r="J24" s="452">
        <f>SUM(J12:J22)</f>
        <v>278554</v>
      </c>
      <c r="K24" s="191"/>
    </row>
    <row r="25" spans="2:11" x14ac:dyDescent="0.2">
      <c r="B25" s="164">
        <f t="shared" si="0"/>
        <v>15</v>
      </c>
      <c r="C25" s="167" t="s">
        <v>45</v>
      </c>
      <c r="D25" s="168"/>
      <c r="E25" s="168"/>
      <c r="F25" s="168"/>
      <c r="G25" s="171"/>
      <c r="H25" s="169"/>
      <c r="I25" s="169"/>
      <c r="J25" s="453"/>
      <c r="K25" s="191"/>
    </row>
    <row r="26" spans="2:11" x14ac:dyDescent="0.2">
      <c r="B26" s="164">
        <f t="shared" si="0"/>
        <v>16</v>
      </c>
      <c r="C26" s="116" t="s">
        <v>46</v>
      </c>
      <c r="D26" s="126"/>
      <c r="E26" s="126"/>
      <c r="F26" s="126"/>
      <c r="G26" s="140" t="s">
        <v>34</v>
      </c>
      <c r="H26" s="173"/>
      <c r="I26" s="173"/>
      <c r="J26" s="453"/>
      <c r="K26" s="191"/>
    </row>
    <row r="27" spans="2:11" x14ac:dyDescent="0.2">
      <c r="B27" s="164">
        <f t="shared" si="0"/>
        <v>17</v>
      </c>
      <c r="C27" s="167" t="s">
        <v>47</v>
      </c>
      <c r="D27" s="119"/>
      <c r="E27" s="119"/>
      <c r="F27" s="119"/>
      <c r="G27" s="139" t="s">
        <v>242</v>
      </c>
      <c r="H27" s="169">
        <f>'felhalm. kiad.  '!G103</f>
        <v>6175</v>
      </c>
      <c r="I27" s="169">
        <f>'felhalm. kiad.  '!H103</f>
        <v>6335</v>
      </c>
      <c r="J27" s="453">
        <f>SUM(H27:I27)</f>
        <v>12510</v>
      </c>
      <c r="K27" s="191"/>
    </row>
    <row r="28" spans="2:11" x14ac:dyDescent="0.2">
      <c r="B28" s="164">
        <f t="shared" si="0"/>
        <v>18</v>
      </c>
      <c r="C28" s="167"/>
      <c r="D28" s="119"/>
      <c r="E28" s="119"/>
      <c r="F28" s="119"/>
      <c r="G28" s="139" t="s">
        <v>31</v>
      </c>
      <c r="H28" s="169"/>
      <c r="I28" s="169"/>
      <c r="J28" s="453"/>
      <c r="K28" s="191"/>
    </row>
    <row r="29" spans="2:11" x14ac:dyDescent="0.2">
      <c r="B29" s="164">
        <f t="shared" si="0"/>
        <v>19</v>
      </c>
      <c r="C29" s="157" t="s">
        <v>50</v>
      </c>
      <c r="D29" s="119"/>
      <c r="E29" s="119"/>
      <c r="F29" s="119"/>
      <c r="G29" s="139" t="s">
        <v>32</v>
      </c>
      <c r="H29" s="169"/>
      <c r="I29" s="169"/>
      <c r="J29" s="453"/>
      <c r="K29" s="191"/>
    </row>
    <row r="30" spans="2:11" s="124" customFormat="1" x14ac:dyDescent="0.2">
      <c r="B30" s="164">
        <f t="shared" si="0"/>
        <v>20</v>
      </c>
      <c r="C30" s="157" t="s">
        <v>48</v>
      </c>
      <c r="D30" s="119"/>
      <c r="E30" s="119"/>
      <c r="F30" s="119"/>
      <c r="G30" s="139" t="s">
        <v>473</v>
      </c>
      <c r="H30" s="169"/>
      <c r="I30" s="169"/>
      <c r="J30" s="453"/>
      <c r="K30" s="624"/>
    </row>
    <row r="31" spans="2:11" x14ac:dyDescent="0.2">
      <c r="B31" s="164">
        <f t="shared" si="0"/>
        <v>21</v>
      </c>
      <c r="D31" s="119"/>
      <c r="E31" s="119"/>
      <c r="F31" s="119"/>
      <c r="G31" s="139" t="s">
        <v>470</v>
      </c>
      <c r="H31" s="169"/>
      <c r="I31" s="169"/>
      <c r="J31" s="453"/>
      <c r="K31" s="191"/>
    </row>
    <row r="32" spans="2:11" s="11" customFormat="1" x14ac:dyDescent="0.2">
      <c r="B32" s="164">
        <f t="shared" si="0"/>
        <v>22</v>
      </c>
      <c r="C32" s="174" t="s">
        <v>52</v>
      </c>
      <c r="D32" s="363">
        <f>D13+D14+D16+D18+D20+D23+D24+D25+D26+D27+D29+D30</f>
        <v>1373</v>
      </c>
      <c r="E32" s="363">
        <f>E13+E14+E16+E18+E20+E23+E24+E25+E26+E27+E29+E30</f>
        <v>402</v>
      </c>
      <c r="F32" s="363">
        <f>F13+F14+F16+F18+F20+F23+F24+F25+F26+F27+F29+F30</f>
        <v>1775</v>
      </c>
      <c r="G32" s="139" t="s">
        <v>466</v>
      </c>
      <c r="H32" s="158"/>
      <c r="I32" s="158"/>
      <c r="J32" s="453"/>
      <c r="K32" s="526"/>
    </row>
    <row r="33" spans="2:11" x14ac:dyDescent="0.2">
      <c r="B33" s="164">
        <f t="shared" si="0"/>
        <v>23</v>
      </c>
      <c r="C33" s="175" t="s">
        <v>67</v>
      </c>
      <c r="D33" s="365"/>
      <c r="E33" s="365"/>
      <c r="F33" s="365"/>
      <c r="G33" s="176" t="s">
        <v>68</v>
      </c>
      <c r="H33" s="177">
        <f>SUM(H27:H32)</f>
        <v>6175</v>
      </c>
      <c r="I33" s="177">
        <f>SUM(I27:I32)</f>
        <v>6335</v>
      </c>
      <c r="J33" s="455">
        <f>SUM(J27:J31)</f>
        <v>12510</v>
      </c>
      <c r="K33" s="191"/>
    </row>
    <row r="34" spans="2:11" x14ac:dyDescent="0.2">
      <c r="B34" s="164">
        <f t="shared" si="0"/>
        <v>24</v>
      </c>
      <c r="C34" s="178" t="s">
        <v>51</v>
      </c>
      <c r="D34" s="366">
        <f>SUM(D32:D33)</f>
        <v>1373</v>
      </c>
      <c r="E34" s="366">
        <f>SUM(E32:E33)</f>
        <v>402</v>
      </c>
      <c r="F34" s="366">
        <f>SUM(F32:F33)</f>
        <v>1775</v>
      </c>
      <c r="G34" s="179" t="s">
        <v>69</v>
      </c>
      <c r="H34" s="173">
        <f>H24+H33</f>
        <v>142927</v>
      </c>
      <c r="I34" s="173">
        <f>I24+I33</f>
        <v>148137</v>
      </c>
      <c r="J34" s="456">
        <f>J24+J33</f>
        <v>291064</v>
      </c>
      <c r="K34" s="191"/>
    </row>
    <row r="35" spans="2:11" x14ac:dyDescent="0.2">
      <c r="B35" s="164">
        <f t="shared" si="0"/>
        <v>25</v>
      </c>
      <c r="C35" s="180"/>
      <c r="D35" s="169"/>
      <c r="E35" s="169"/>
      <c r="F35" s="169"/>
      <c r="G35" s="171"/>
      <c r="H35" s="169"/>
      <c r="I35" s="169"/>
      <c r="J35" s="453"/>
      <c r="K35" s="191"/>
    </row>
    <row r="36" spans="2:11" x14ac:dyDescent="0.2">
      <c r="B36" s="164">
        <f t="shared" si="0"/>
        <v>26</v>
      </c>
      <c r="C36" s="180"/>
      <c r="D36" s="169"/>
      <c r="E36" s="169"/>
      <c r="F36" s="169"/>
      <c r="G36" s="172"/>
      <c r="H36" s="125"/>
      <c r="I36" s="125"/>
      <c r="J36" s="452"/>
      <c r="K36" s="191"/>
    </row>
    <row r="37" spans="2:11" s="11" customFormat="1" x14ac:dyDescent="0.2">
      <c r="B37" s="164">
        <f t="shared" si="0"/>
        <v>27</v>
      </c>
      <c r="C37" s="180"/>
      <c r="D37" s="169"/>
      <c r="E37" s="169"/>
      <c r="F37" s="169"/>
      <c r="G37" s="171"/>
      <c r="H37" s="169"/>
      <c r="I37" s="169"/>
      <c r="J37" s="453"/>
      <c r="K37" s="526"/>
    </row>
    <row r="38" spans="2:11" s="11" customFormat="1" x14ac:dyDescent="0.2">
      <c r="B38" s="798">
        <f t="shared" si="0"/>
        <v>28</v>
      </c>
      <c r="C38" s="126" t="s">
        <v>53</v>
      </c>
      <c r="D38" s="126"/>
      <c r="E38" s="126"/>
      <c r="F38" s="126"/>
      <c r="G38" s="140" t="s">
        <v>33</v>
      </c>
      <c r="H38" s="173"/>
      <c r="I38" s="173"/>
      <c r="J38" s="456"/>
      <c r="K38" s="526"/>
    </row>
    <row r="39" spans="2:11" s="11" customFormat="1" x14ac:dyDescent="0.2">
      <c r="B39" s="164">
        <f t="shared" si="0"/>
        <v>29</v>
      </c>
      <c r="C39" s="136" t="s">
        <v>726</v>
      </c>
      <c r="D39" s="126"/>
      <c r="E39" s="126"/>
      <c r="F39" s="126"/>
      <c r="G39" s="181" t="s">
        <v>4</v>
      </c>
      <c r="H39" s="182"/>
      <c r="I39" s="183"/>
      <c r="J39" s="457"/>
      <c r="K39" s="526"/>
    </row>
    <row r="40" spans="2:11" s="11" customFormat="1" x14ac:dyDescent="0.2">
      <c r="B40" s="164">
        <f t="shared" si="0"/>
        <v>30</v>
      </c>
      <c r="C40" s="157" t="s">
        <v>1016</v>
      </c>
      <c r="D40" s="126"/>
      <c r="E40" s="126"/>
      <c r="F40" s="126"/>
      <c r="G40" s="552" t="s">
        <v>3</v>
      </c>
      <c r="H40" s="173"/>
      <c r="I40" s="173"/>
      <c r="J40" s="456"/>
      <c r="K40" s="526"/>
    </row>
    <row r="41" spans="2:11" x14ac:dyDescent="0.2">
      <c r="B41" s="164">
        <f t="shared" si="0"/>
        <v>31</v>
      </c>
      <c r="C41" s="118" t="s">
        <v>728</v>
      </c>
      <c r="D41" s="185"/>
      <c r="E41" s="185"/>
      <c r="F41" s="185"/>
      <c r="G41" s="139" t="s">
        <v>5</v>
      </c>
      <c r="H41" s="173"/>
      <c r="I41" s="173"/>
      <c r="J41" s="456"/>
      <c r="K41" s="191"/>
    </row>
    <row r="42" spans="2:11" x14ac:dyDescent="0.2">
      <c r="B42" s="164">
        <f t="shared" si="0"/>
        <v>32</v>
      </c>
      <c r="C42" s="118" t="s">
        <v>223</v>
      </c>
      <c r="D42" s="119"/>
      <c r="E42" s="119"/>
      <c r="F42" s="119"/>
      <c r="G42" s="139" t="s">
        <v>6</v>
      </c>
      <c r="H42" s="182"/>
      <c r="I42" s="182"/>
      <c r="J42" s="456"/>
      <c r="K42" s="191"/>
    </row>
    <row r="43" spans="2:11" x14ac:dyDescent="0.2">
      <c r="B43" s="164">
        <f t="shared" si="0"/>
        <v>33</v>
      </c>
      <c r="C43" s="550" t="s">
        <v>224</v>
      </c>
      <c r="D43" s="119"/>
      <c r="E43" s="119"/>
      <c r="F43" s="119">
        <f>D43+E43</f>
        <v>0</v>
      </c>
      <c r="G43" s="139" t="s">
        <v>7</v>
      </c>
      <c r="H43" s="182"/>
      <c r="I43" s="182"/>
      <c r="J43" s="456"/>
      <c r="K43" s="191"/>
    </row>
    <row r="44" spans="2:11" x14ac:dyDescent="0.2">
      <c r="B44" s="164">
        <f t="shared" si="0"/>
        <v>34</v>
      </c>
      <c r="C44" s="550" t="s">
        <v>1013</v>
      </c>
      <c r="D44" s="119"/>
      <c r="E44" s="119"/>
      <c r="F44" s="119"/>
      <c r="G44" s="139"/>
      <c r="H44" s="182"/>
      <c r="I44" s="182"/>
      <c r="J44" s="456"/>
      <c r="K44" s="191"/>
    </row>
    <row r="45" spans="2:11" x14ac:dyDescent="0.2">
      <c r="B45" s="164">
        <f t="shared" si="0"/>
        <v>35</v>
      </c>
      <c r="C45" s="119" t="s">
        <v>729</v>
      </c>
      <c r="D45" s="119"/>
      <c r="E45" s="119"/>
      <c r="F45" s="119"/>
      <c r="G45" s="139" t="s">
        <v>8</v>
      </c>
      <c r="H45" s="173"/>
      <c r="I45" s="173"/>
      <c r="J45" s="453"/>
      <c r="K45" s="191"/>
    </row>
    <row r="46" spans="2:11" x14ac:dyDescent="0.2">
      <c r="B46" s="164">
        <f t="shared" si="0"/>
        <v>36</v>
      </c>
      <c r="C46" s="119" t="s">
        <v>730</v>
      </c>
      <c r="D46" s="126"/>
      <c r="E46" s="126"/>
      <c r="F46" s="126"/>
      <c r="G46" s="139" t="s">
        <v>9</v>
      </c>
      <c r="H46" s="173"/>
      <c r="I46" s="173"/>
      <c r="J46" s="453"/>
      <c r="K46" s="191"/>
    </row>
    <row r="47" spans="2:11" x14ac:dyDescent="0.2">
      <c r="B47" s="164">
        <f t="shared" si="0"/>
        <v>37</v>
      </c>
      <c r="C47" s="118" t="s">
        <v>227</v>
      </c>
      <c r="D47" s="119"/>
      <c r="E47" s="119"/>
      <c r="F47" s="119"/>
      <c r="G47" s="139" t="s">
        <v>10</v>
      </c>
      <c r="H47" s="169"/>
      <c r="I47" s="169"/>
      <c r="J47" s="453"/>
      <c r="K47" s="191"/>
    </row>
    <row r="48" spans="2:11" x14ac:dyDescent="0.2">
      <c r="B48" s="164">
        <f t="shared" si="0"/>
        <v>38</v>
      </c>
      <c r="C48" s="550" t="s">
        <v>228</v>
      </c>
      <c r="D48" s="286">
        <f>H24-(D34+D43)</f>
        <v>135379</v>
      </c>
      <c r="E48" s="286">
        <f>I24-(E34+E43)</f>
        <v>141400</v>
      </c>
      <c r="F48" s="286">
        <f>J24-(F34+F43)</f>
        <v>276779</v>
      </c>
      <c r="G48" s="139" t="s">
        <v>11</v>
      </c>
      <c r="H48" s="169"/>
      <c r="I48" s="169"/>
      <c r="J48" s="453"/>
      <c r="K48" s="191"/>
    </row>
    <row r="49" spans="2:11" x14ac:dyDescent="0.2">
      <c r="B49" s="164">
        <f t="shared" si="0"/>
        <v>39</v>
      </c>
      <c r="C49" s="550" t="s">
        <v>229</v>
      </c>
      <c r="D49" s="119">
        <f>H33-D33</f>
        <v>6175</v>
      </c>
      <c r="E49" s="119">
        <f>I33-E33</f>
        <v>6335</v>
      </c>
      <c r="F49" s="119">
        <f>J33-F33</f>
        <v>12510</v>
      </c>
      <c r="G49" s="139" t="s">
        <v>12</v>
      </c>
      <c r="H49" s="169"/>
      <c r="I49" s="169"/>
      <c r="J49" s="453"/>
      <c r="K49" s="191"/>
    </row>
    <row r="50" spans="2:11" x14ac:dyDescent="0.2">
      <c r="B50" s="164">
        <f t="shared" si="0"/>
        <v>40</v>
      </c>
      <c r="C50" s="118" t="s">
        <v>1</v>
      </c>
      <c r="D50" s="119"/>
      <c r="E50" s="119"/>
      <c r="F50" s="119"/>
      <c r="G50" s="139" t="s">
        <v>13</v>
      </c>
      <c r="H50" s="169"/>
      <c r="I50" s="169"/>
      <c r="J50" s="453"/>
      <c r="K50" s="191"/>
    </row>
    <row r="51" spans="2:11" x14ac:dyDescent="0.2">
      <c r="B51" s="164">
        <f t="shared" si="0"/>
        <v>41</v>
      </c>
      <c r="C51" s="118"/>
      <c r="D51" s="119"/>
      <c r="E51" s="119"/>
      <c r="F51" s="119"/>
      <c r="G51" s="139" t="s">
        <v>14</v>
      </c>
      <c r="H51" s="169"/>
      <c r="I51" s="169"/>
      <c r="J51" s="453"/>
      <c r="K51" s="191"/>
    </row>
    <row r="52" spans="2:11" x14ac:dyDescent="0.2">
      <c r="B52" s="164">
        <f t="shared" si="0"/>
        <v>42</v>
      </c>
      <c r="C52" s="118"/>
      <c r="D52" s="119"/>
      <c r="E52" s="119"/>
      <c r="F52" s="119"/>
      <c r="G52" s="139" t="s">
        <v>15</v>
      </c>
      <c r="H52" s="169"/>
      <c r="I52" s="169"/>
      <c r="J52" s="453"/>
      <c r="K52" s="191"/>
    </row>
    <row r="53" spans="2:11" ht="12" thickBot="1" x14ac:dyDescent="0.25">
      <c r="B53" s="164">
        <f t="shared" si="0"/>
        <v>43</v>
      </c>
      <c r="C53" s="339" t="s">
        <v>474</v>
      </c>
      <c r="D53" s="337">
        <f>SUM(D39:D51)</f>
        <v>141554</v>
      </c>
      <c r="E53" s="337">
        <f>SUM(E39:E51)</f>
        <v>147735</v>
      </c>
      <c r="F53" s="337">
        <f>SUM(F39:F51)</f>
        <v>289289</v>
      </c>
      <c r="G53" s="140" t="s">
        <v>467</v>
      </c>
      <c r="H53" s="173">
        <f>SUM(H39:H52)</f>
        <v>0</v>
      </c>
      <c r="I53" s="173">
        <f>SUM(I39:I52)</f>
        <v>0</v>
      </c>
      <c r="J53" s="456">
        <f>SUM(J39:J52)</f>
        <v>0</v>
      </c>
      <c r="K53" s="191"/>
    </row>
    <row r="54" spans="2:11" ht="12" thickBot="1" x14ac:dyDescent="0.25">
      <c r="B54" s="164">
        <f t="shared" si="0"/>
        <v>44</v>
      </c>
      <c r="C54" s="1136" t="s">
        <v>469</v>
      </c>
      <c r="D54" s="334">
        <f>D34+D53</f>
        <v>142927</v>
      </c>
      <c r="E54" s="1137">
        <f>E34+E53</f>
        <v>148137</v>
      </c>
      <c r="F54" s="957">
        <f>F34+F53</f>
        <v>291064</v>
      </c>
      <c r="G54" s="518" t="s">
        <v>468</v>
      </c>
      <c r="H54" s="516">
        <f>H34+H53</f>
        <v>142927</v>
      </c>
      <c r="I54" s="516">
        <f>I34+I53</f>
        <v>148137</v>
      </c>
      <c r="J54" s="464">
        <f>J34+J53</f>
        <v>291064</v>
      </c>
      <c r="K54" s="191"/>
    </row>
    <row r="55" spans="2:11" x14ac:dyDescent="0.2">
      <c r="C55" s="183"/>
      <c r="D55" s="182"/>
      <c r="E55" s="182"/>
      <c r="F55" s="182"/>
      <c r="G55" s="182"/>
      <c r="H55" s="182"/>
      <c r="I55" s="182"/>
      <c r="J55" s="182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12" customWidth="1"/>
    <col min="2" max="2" width="33" style="116" customWidth="1"/>
    <col min="3" max="3" width="10.7109375" style="118" customWidth="1"/>
    <col min="4" max="4" width="12.28515625" style="118" customWidth="1"/>
    <col min="5" max="5" width="9.140625" style="118"/>
    <col min="6" max="6" width="11.28515625" style="118" customWidth="1"/>
    <col min="7" max="7" width="11.140625" style="118" customWidth="1"/>
    <col min="8" max="10" width="10" style="118" customWidth="1"/>
    <col min="11" max="11" width="11.28515625" style="118" customWidth="1"/>
    <col min="12" max="12" width="7.28515625" style="298" hidden="1" customWidth="1"/>
    <col min="13" max="13" width="8.5703125" style="298" hidden="1" customWidth="1"/>
    <col min="14" max="14" width="7.5703125" style="298" hidden="1" customWidth="1"/>
    <col min="15" max="15" width="8.28515625" style="298" hidden="1" customWidth="1"/>
    <col min="16" max="16" width="5.7109375" style="298" hidden="1" customWidth="1"/>
    <col min="17" max="17" width="8" style="298" hidden="1" customWidth="1"/>
    <col min="18" max="18" width="6.140625" style="298" hidden="1" customWidth="1"/>
    <col min="19" max="19" width="4.42578125" style="583" customWidth="1"/>
    <col min="20" max="16384" width="9.140625" style="80"/>
  </cols>
  <sheetData>
    <row r="1" spans="1:19" ht="17.25" customHeight="1" x14ac:dyDescent="0.2">
      <c r="B1" s="1271" t="s">
        <v>311</v>
      </c>
      <c r="C1" s="1271"/>
      <c r="D1" s="1271"/>
      <c r="E1" s="1271"/>
      <c r="F1" s="1271"/>
      <c r="G1" s="1271"/>
      <c r="H1" s="1271"/>
      <c r="I1" s="1271"/>
      <c r="J1" s="1271"/>
      <c r="K1" s="1279"/>
      <c r="L1" s="1189"/>
      <c r="M1" s="1189"/>
      <c r="N1" s="1189"/>
      <c r="O1" s="1189"/>
      <c r="P1" s="1189"/>
      <c r="Q1" s="1189"/>
      <c r="R1" s="1189"/>
    </row>
    <row r="2" spans="1:19" ht="13.5" customHeight="1" x14ac:dyDescent="0.2">
      <c r="A2" s="1281" t="s">
        <v>87</v>
      </c>
      <c r="B2" s="1281"/>
      <c r="C2" s="1281"/>
      <c r="D2" s="1281"/>
      <c r="E2" s="1281"/>
      <c r="F2" s="1281"/>
      <c r="G2" s="1281"/>
      <c r="H2" s="1281"/>
      <c r="I2" s="1281"/>
      <c r="J2" s="1281"/>
      <c r="K2" s="1281"/>
      <c r="L2" s="80"/>
      <c r="M2" s="80"/>
      <c r="N2" s="80"/>
      <c r="O2" s="80"/>
      <c r="P2" s="80"/>
      <c r="Q2" s="80"/>
      <c r="R2" s="80"/>
      <c r="S2" s="571"/>
    </row>
    <row r="3" spans="1:19" s="82" customFormat="1" ht="12" customHeight="1" x14ac:dyDescent="0.2">
      <c r="A3" s="1144" t="s">
        <v>309</v>
      </c>
      <c r="B3" s="1280"/>
      <c r="C3" s="1280"/>
      <c r="D3" s="1280"/>
      <c r="E3" s="1280"/>
      <c r="F3" s="1280"/>
      <c r="G3" s="1280"/>
      <c r="H3" s="1280"/>
      <c r="I3" s="1280"/>
      <c r="J3" s="1280"/>
      <c r="K3" s="1280"/>
      <c r="L3" s="1189"/>
      <c r="M3" s="1189"/>
      <c r="N3" s="1189"/>
      <c r="O3" s="1189"/>
      <c r="P3" s="1189"/>
      <c r="Q3" s="1189"/>
      <c r="R3" s="1189"/>
      <c r="S3" s="584"/>
    </row>
    <row r="4" spans="1:19" s="82" customFormat="1" ht="23.25" customHeight="1" thickBot="1" x14ac:dyDescent="0.25">
      <c r="A4" s="213"/>
      <c r="B4" s="214"/>
      <c r="C4" s="215"/>
      <c r="D4" s="215"/>
      <c r="E4" s="215"/>
      <c r="F4" s="215"/>
      <c r="G4" s="1282" t="s">
        <v>321</v>
      </c>
      <c r="H4" s="1282"/>
      <c r="I4" s="1282"/>
      <c r="J4" s="1282"/>
      <c r="K4" s="1282"/>
      <c r="L4" s="346"/>
      <c r="M4" s="346"/>
      <c r="N4" s="346"/>
      <c r="O4" s="346"/>
      <c r="P4" s="346"/>
      <c r="Q4" s="346"/>
      <c r="R4" s="346"/>
      <c r="S4" s="584"/>
    </row>
    <row r="5" spans="1:19" s="117" customFormat="1" ht="17.25" customHeight="1" thickBot="1" x14ac:dyDescent="0.25">
      <c r="A5" s="1286" t="s">
        <v>498</v>
      </c>
      <c r="B5" s="1284" t="s">
        <v>563</v>
      </c>
      <c r="C5" s="1266" t="s">
        <v>57</v>
      </c>
      <c r="D5" s="1266"/>
      <c r="E5" s="1266" t="s">
        <v>58</v>
      </c>
      <c r="F5" s="1266"/>
      <c r="G5" s="1266" t="s">
        <v>59</v>
      </c>
      <c r="H5" s="1266"/>
      <c r="I5" s="1287" t="s">
        <v>60</v>
      </c>
      <c r="J5" s="1270"/>
      <c r="K5" s="216" t="s">
        <v>499</v>
      </c>
      <c r="L5" s="297"/>
      <c r="S5" s="571"/>
    </row>
    <row r="6" spans="1:19" s="117" customFormat="1" ht="17.25" customHeight="1" thickBot="1" x14ac:dyDescent="0.25">
      <c r="A6" s="1286"/>
      <c r="B6" s="1284"/>
      <c r="C6" s="1143" t="s">
        <v>308</v>
      </c>
      <c r="D6" s="1275"/>
      <c r="E6" s="1275"/>
      <c r="F6" s="1275"/>
      <c r="G6" s="1275"/>
      <c r="H6" s="1275"/>
      <c r="I6" s="1275"/>
      <c r="J6" s="1275"/>
      <c r="K6" s="1285"/>
      <c r="L6" s="297"/>
      <c r="S6" s="571"/>
    </row>
    <row r="7" spans="1:19" ht="40.15" customHeight="1" thickBot="1" x14ac:dyDescent="0.25">
      <c r="A7" s="1286"/>
      <c r="B7" s="1284"/>
      <c r="C7" s="1254" t="s">
        <v>478</v>
      </c>
      <c r="D7" s="1254"/>
      <c r="E7" s="1254" t="s">
        <v>479</v>
      </c>
      <c r="F7" s="1254"/>
      <c r="G7" s="1254" t="s">
        <v>22</v>
      </c>
      <c r="H7" s="1254"/>
      <c r="I7" s="1255" t="s">
        <v>270</v>
      </c>
      <c r="J7" s="1256"/>
      <c r="K7" s="1283" t="s">
        <v>564</v>
      </c>
      <c r="M7" s="80"/>
      <c r="N7" s="80"/>
      <c r="O7" s="80"/>
      <c r="P7" s="80"/>
      <c r="Q7" s="80"/>
      <c r="R7" s="80"/>
      <c r="S7" s="571"/>
    </row>
    <row r="8" spans="1:19" ht="50.25" customHeight="1" thickBot="1" x14ac:dyDescent="0.25">
      <c r="A8" s="1286"/>
      <c r="B8" s="1284"/>
      <c r="C8" s="1254"/>
      <c r="D8" s="1254"/>
      <c r="E8" s="1254"/>
      <c r="F8" s="1254"/>
      <c r="G8" s="1254"/>
      <c r="H8" s="1254"/>
      <c r="I8" s="1257"/>
      <c r="J8" s="1258"/>
      <c r="K8" s="1283"/>
      <c r="M8" s="80"/>
      <c r="N8" s="80"/>
      <c r="O8" s="80"/>
      <c r="P8" s="80"/>
      <c r="Q8" s="80"/>
      <c r="R8" s="80"/>
      <c r="S8" s="571"/>
    </row>
    <row r="9" spans="1:19" ht="33" customHeight="1" thickBot="1" x14ac:dyDescent="0.25">
      <c r="A9" s="1286"/>
      <c r="B9" s="1284"/>
      <c r="C9" s="217" t="s">
        <v>62</v>
      </c>
      <c r="D9" s="218" t="s">
        <v>63</v>
      </c>
      <c r="E9" s="217" t="s">
        <v>62</v>
      </c>
      <c r="F9" s="217" t="s">
        <v>63</v>
      </c>
      <c r="G9" s="217" t="s">
        <v>62</v>
      </c>
      <c r="H9" s="217" t="s">
        <v>63</v>
      </c>
      <c r="I9" s="217" t="s">
        <v>62</v>
      </c>
      <c r="J9" s="217" t="s">
        <v>63</v>
      </c>
      <c r="K9" s="1283"/>
      <c r="M9" s="80"/>
      <c r="N9" s="80"/>
      <c r="O9" s="80"/>
      <c r="P9" s="80"/>
      <c r="Q9" s="80"/>
      <c r="R9" s="80"/>
      <c r="S9" s="571"/>
    </row>
    <row r="10" spans="1:19" ht="17.25" customHeight="1" x14ac:dyDescent="0.2">
      <c r="A10" s="219" t="s">
        <v>508</v>
      </c>
      <c r="B10" s="220" t="s">
        <v>260</v>
      </c>
      <c r="C10" s="221">
        <v>1600</v>
      </c>
      <c r="E10" s="222"/>
      <c r="F10" s="223"/>
      <c r="G10" s="222"/>
      <c r="H10" s="534"/>
      <c r="I10" s="223"/>
      <c r="J10" s="223"/>
      <c r="K10" s="224">
        <f t="shared" ref="K10:K39" si="0">SUM(C10:J10)</f>
        <v>1600</v>
      </c>
      <c r="M10" s="80"/>
      <c r="N10" s="80"/>
      <c r="O10" s="80"/>
      <c r="P10" s="80"/>
      <c r="Q10" s="80"/>
      <c r="R10" s="80"/>
      <c r="S10" s="571"/>
    </row>
    <row r="11" spans="1:19" s="81" customFormat="1" ht="17.25" customHeight="1" x14ac:dyDescent="0.2">
      <c r="A11" s="219" t="s">
        <v>516</v>
      </c>
      <c r="B11" s="530" t="s">
        <v>261</v>
      </c>
      <c r="C11" s="531">
        <v>33533</v>
      </c>
      <c r="D11" s="532"/>
      <c r="E11" s="599">
        <f>'közhatalmi bevételek'!D26</f>
        <v>9000</v>
      </c>
      <c r="F11" s="225"/>
      <c r="G11" s="226"/>
      <c r="H11" s="535"/>
      <c r="I11" s="225"/>
      <c r="J11" s="225"/>
      <c r="K11" s="224">
        <f t="shared" si="0"/>
        <v>42533</v>
      </c>
      <c r="L11" s="286"/>
      <c r="S11" s="585"/>
    </row>
    <row r="12" spans="1:19" ht="17.25" customHeight="1" x14ac:dyDescent="0.2">
      <c r="A12" s="219" t="s">
        <v>517</v>
      </c>
      <c r="B12" s="167" t="s">
        <v>262</v>
      </c>
      <c r="C12" s="139"/>
      <c r="D12" s="119">
        <v>53</v>
      </c>
      <c r="E12" s="120"/>
      <c r="F12" s="119"/>
      <c r="G12" s="120"/>
      <c r="H12" s="459"/>
      <c r="I12" s="119"/>
      <c r="J12" s="119"/>
      <c r="K12" s="224">
        <f t="shared" si="0"/>
        <v>53</v>
      </c>
      <c r="M12" s="80"/>
      <c r="N12" s="80"/>
      <c r="O12" s="80"/>
      <c r="P12" s="80"/>
      <c r="Q12" s="80"/>
      <c r="R12" s="80"/>
      <c r="S12" s="571"/>
    </row>
    <row r="13" spans="1:19" ht="17.25" customHeight="1" x14ac:dyDescent="0.2">
      <c r="A13" s="219" t="s">
        <v>518</v>
      </c>
      <c r="B13" s="167" t="s">
        <v>263</v>
      </c>
      <c r="C13" s="139"/>
      <c r="D13" s="119">
        <v>391</v>
      </c>
      <c r="E13" s="120"/>
      <c r="F13" s="119"/>
      <c r="G13" s="120"/>
      <c r="H13" s="536"/>
      <c r="I13" s="227"/>
      <c r="J13" s="227"/>
      <c r="K13" s="224">
        <f t="shared" si="0"/>
        <v>391</v>
      </c>
      <c r="M13" s="80"/>
      <c r="N13" s="80"/>
      <c r="O13" s="80"/>
      <c r="P13" s="80"/>
      <c r="Q13" s="80"/>
      <c r="R13" s="80"/>
      <c r="S13" s="571"/>
    </row>
    <row r="14" spans="1:19" ht="17.25" customHeight="1" x14ac:dyDescent="0.2">
      <c r="A14" s="219" t="s">
        <v>519</v>
      </c>
      <c r="B14" s="167" t="s">
        <v>264</v>
      </c>
      <c r="C14" s="139"/>
      <c r="D14" s="119"/>
      <c r="E14" s="120"/>
      <c r="F14" s="119"/>
      <c r="G14" s="120"/>
      <c r="H14" s="536"/>
      <c r="I14" s="227"/>
      <c r="J14" s="227"/>
      <c r="K14" s="224">
        <f t="shared" si="0"/>
        <v>0</v>
      </c>
      <c r="M14" s="80"/>
      <c r="N14" s="80"/>
      <c r="O14" s="80"/>
      <c r="P14" s="80"/>
      <c r="Q14" s="80"/>
      <c r="R14" s="80"/>
      <c r="S14" s="571"/>
    </row>
    <row r="15" spans="1:19" ht="17.25" customHeight="1" x14ac:dyDescent="0.2">
      <c r="A15" s="219" t="s">
        <v>520</v>
      </c>
      <c r="B15" s="167" t="s">
        <v>265</v>
      </c>
      <c r="C15" s="139"/>
      <c r="D15" s="119">
        <v>20031</v>
      </c>
      <c r="E15" s="120"/>
      <c r="F15" s="119"/>
      <c r="G15" s="120"/>
      <c r="H15" s="536"/>
      <c r="I15" s="227"/>
      <c r="J15" s="227"/>
      <c r="K15" s="224">
        <f t="shared" si="0"/>
        <v>20031</v>
      </c>
      <c r="M15" s="80"/>
      <c r="N15" s="80"/>
      <c r="O15" s="80"/>
      <c r="P15" s="80"/>
      <c r="Q15" s="80"/>
      <c r="R15" s="80"/>
      <c r="S15" s="571"/>
    </row>
    <row r="16" spans="1:19" ht="17.25" customHeight="1" x14ac:dyDescent="0.2">
      <c r="A16" s="219" t="s">
        <v>521</v>
      </c>
      <c r="B16" s="167" t="s">
        <v>266</v>
      </c>
      <c r="C16" s="139">
        <v>3600</v>
      </c>
      <c r="D16" s="119">
        <v>8084</v>
      </c>
      <c r="E16" s="120"/>
      <c r="F16" s="119"/>
      <c r="G16" s="120"/>
      <c r="H16" s="536"/>
      <c r="I16" s="227"/>
      <c r="J16" s="227"/>
      <c r="K16" s="224">
        <f t="shared" si="0"/>
        <v>11684</v>
      </c>
      <c r="M16" s="80"/>
      <c r="N16" s="80"/>
      <c r="O16" s="80"/>
      <c r="P16" s="80"/>
      <c r="Q16" s="80"/>
      <c r="R16" s="80"/>
      <c r="S16" s="571"/>
    </row>
    <row r="17" spans="1:19" ht="17.25" customHeight="1" x14ac:dyDescent="0.2">
      <c r="A17" s="219" t="s">
        <v>522</v>
      </c>
      <c r="B17" s="167" t="s">
        <v>267</v>
      </c>
      <c r="C17" s="139"/>
      <c r="D17" s="119">
        <v>10160</v>
      </c>
      <c r="E17" s="120"/>
      <c r="F17" s="119"/>
      <c r="G17" s="120"/>
      <c r="H17" s="536"/>
      <c r="I17" s="227"/>
      <c r="J17" s="227"/>
      <c r="K17" s="224">
        <f t="shared" si="0"/>
        <v>10160</v>
      </c>
      <c r="M17" s="80"/>
      <c r="N17" s="80"/>
      <c r="O17" s="80"/>
      <c r="P17" s="80"/>
      <c r="Q17" s="80"/>
      <c r="R17" s="80"/>
      <c r="S17" s="571"/>
    </row>
    <row r="18" spans="1:19" ht="17.25" customHeight="1" x14ac:dyDescent="0.2">
      <c r="A18" s="219" t="s">
        <v>523</v>
      </c>
      <c r="B18" s="167" t="s">
        <v>268</v>
      </c>
      <c r="C18" s="139">
        <v>183</v>
      </c>
      <c r="D18" s="119"/>
      <c r="E18" s="120"/>
      <c r="F18" s="119"/>
      <c r="G18" s="120"/>
      <c r="H18" s="536"/>
      <c r="I18" s="227"/>
      <c r="J18" s="227"/>
      <c r="K18" s="224">
        <f t="shared" si="0"/>
        <v>183</v>
      </c>
      <c r="M18" s="80"/>
      <c r="N18" s="80"/>
      <c r="O18" s="80"/>
      <c r="P18" s="80"/>
      <c r="Q18" s="80"/>
      <c r="R18" s="80"/>
      <c r="S18" s="571"/>
    </row>
    <row r="19" spans="1:19" ht="17.25" customHeight="1" x14ac:dyDescent="0.2">
      <c r="A19" s="219" t="s">
        <v>565</v>
      </c>
      <c r="B19" s="170" t="s">
        <v>269</v>
      </c>
      <c r="C19" s="139">
        <v>1288</v>
      </c>
      <c r="D19" s="119">
        <v>2062</v>
      </c>
      <c r="E19" s="120"/>
      <c r="F19" s="119"/>
      <c r="G19" s="120">
        <f>'tám, végl. pe.átv  '!C35</f>
        <v>0</v>
      </c>
      <c r="H19" s="459"/>
      <c r="J19" s="118">
        <v>0</v>
      </c>
      <c r="K19" s="224">
        <f>SUM(C19:J19)</f>
        <v>3350</v>
      </c>
      <c r="M19" s="80"/>
      <c r="N19" s="80"/>
      <c r="O19" s="80"/>
      <c r="P19" s="80"/>
      <c r="Q19" s="80"/>
      <c r="R19" s="80"/>
      <c r="S19" s="571"/>
    </row>
    <row r="20" spans="1:19" ht="17.25" customHeight="1" x14ac:dyDescent="0.2">
      <c r="A20" s="219" t="s">
        <v>566</v>
      </c>
      <c r="B20" s="167" t="s">
        <v>292</v>
      </c>
      <c r="C20" s="139">
        <v>25</v>
      </c>
      <c r="D20" s="119"/>
      <c r="E20" s="120"/>
      <c r="F20" s="119"/>
      <c r="G20" s="509">
        <v>447</v>
      </c>
      <c r="H20" s="537"/>
      <c r="I20" s="299"/>
      <c r="J20" s="299"/>
      <c r="K20" s="224">
        <f t="shared" si="0"/>
        <v>472</v>
      </c>
      <c r="M20" s="80"/>
      <c r="N20" s="80"/>
      <c r="O20" s="80"/>
      <c r="P20" s="80"/>
      <c r="Q20" s="80"/>
      <c r="R20" s="80"/>
      <c r="S20" s="571"/>
    </row>
    <row r="21" spans="1:19" s="82" customFormat="1" ht="17.25" customHeight="1" x14ac:dyDescent="0.2">
      <c r="A21" s="219" t="s">
        <v>567</v>
      </c>
      <c r="B21" s="167" t="s">
        <v>293</v>
      </c>
      <c r="C21" s="139"/>
      <c r="D21" s="119"/>
      <c r="E21" s="120"/>
      <c r="F21" s="119"/>
      <c r="G21" s="509">
        <f>'tám, végl. pe.átv  '!C11</f>
        <v>730371</v>
      </c>
      <c r="H21" s="479">
        <f>'tám, végl. pe.átv  '!D11</f>
        <v>93769</v>
      </c>
      <c r="I21" s="286"/>
      <c r="J21" s="286"/>
      <c r="K21" s="224">
        <f t="shared" si="0"/>
        <v>824140</v>
      </c>
      <c r="L21" s="299"/>
      <c r="S21" s="586"/>
    </row>
    <row r="22" spans="1:19" ht="17.25" customHeight="1" x14ac:dyDescent="0.2">
      <c r="A22" s="219" t="s">
        <v>568</v>
      </c>
      <c r="B22" s="167" t="s">
        <v>294</v>
      </c>
      <c r="C22" s="139"/>
      <c r="D22" s="119"/>
      <c r="E22" s="120"/>
      <c r="F22" s="119"/>
      <c r="G22" s="509">
        <f>'tám, végl. pe.átv  '!C17</f>
        <v>10611</v>
      </c>
      <c r="H22" s="537"/>
      <c r="I22" s="299"/>
      <c r="J22" s="299"/>
      <c r="K22" s="224">
        <f t="shared" si="0"/>
        <v>10611</v>
      </c>
      <c r="M22" s="80"/>
      <c r="N22" s="80"/>
      <c r="O22" s="80"/>
      <c r="P22" s="80"/>
      <c r="Q22" s="80"/>
      <c r="R22" s="80"/>
      <c r="S22" s="571"/>
    </row>
    <row r="23" spans="1:19" ht="17.25" customHeight="1" x14ac:dyDescent="0.2">
      <c r="A23" s="219" t="s">
        <v>569</v>
      </c>
      <c r="B23" s="167" t="s">
        <v>306</v>
      </c>
      <c r="C23" s="139"/>
      <c r="D23" s="119"/>
      <c r="E23" s="120"/>
      <c r="F23" s="119"/>
      <c r="G23" s="509"/>
      <c r="H23" s="479">
        <f>'tám, végl. pe.átv  '!D18</f>
        <v>0</v>
      </c>
      <c r="I23" s="299"/>
      <c r="J23" s="299"/>
      <c r="K23" s="224">
        <f t="shared" si="0"/>
        <v>0</v>
      </c>
      <c r="M23" s="80"/>
      <c r="N23" s="80"/>
      <c r="O23" s="80"/>
      <c r="P23" s="80"/>
      <c r="Q23" s="80"/>
      <c r="R23" s="80"/>
      <c r="S23" s="571"/>
    </row>
    <row r="24" spans="1:19" ht="17.25" customHeight="1" x14ac:dyDescent="0.2">
      <c r="A24" s="219" t="s">
        <v>570</v>
      </c>
      <c r="B24" s="167" t="s">
        <v>307</v>
      </c>
      <c r="C24" s="139"/>
      <c r="D24" s="119"/>
      <c r="E24" s="120"/>
      <c r="F24" s="119"/>
      <c r="G24" s="509">
        <v>1300</v>
      </c>
      <c r="H24" s="537"/>
      <c r="I24" s="299"/>
      <c r="J24" s="299"/>
      <c r="K24" s="224">
        <f t="shared" si="0"/>
        <v>1300</v>
      </c>
      <c r="M24" s="80"/>
      <c r="N24" s="80"/>
      <c r="O24" s="80"/>
      <c r="P24" s="80"/>
      <c r="Q24" s="80"/>
      <c r="R24" s="80"/>
      <c r="S24" s="571"/>
    </row>
    <row r="25" spans="1:19" ht="17.25" customHeight="1" x14ac:dyDescent="0.2">
      <c r="A25" s="219" t="s">
        <v>571</v>
      </c>
      <c r="B25" s="167" t="s">
        <v>295</v>
      </c>
      <c r="C25" s="139"/>
      <c r="D25" s="119"/>
      <c r="E25" s="120"/>
      <c r="F25" s="119"/>
      <c r="G25" s="509">
        <v>14203</v>
      </c>
      <c r="H25" s="479"/>
      <c r="I25" s="286"/>
      <c r="J25" s="286"/>
      <c r="K25" s="224">
        <f t="shared" si="0"/>
        <v>14203</v>
      </c>
      <c r="M25" s="80"/>
      <c r="N25" s="80"/>
      <c r="O25" s="80"/>
      <c r="P25" s="80"/>
      <c r="Q25" s="80"/>
      <c r="R25" s="80"/>
      <c r="S25" s="571"/>
    </row>
    <row r="26" spans="1:19" ht="17.25" customHeight="1" x14ac:dyDescent="0.2">
      <c r="A26" s="219" t="s">
        <v>572</v>
      </c>
      <c r="B26" s="167" t="s">
        <v>271</v>
      </c>
      <c r="C26" s="139"/>
      <c r="E26" s="120">
        <f>'közhatalmi bevételek'!D13</f>
        <v>424986</v>
      </c>
      <c r="F26" s="119">
        <f>'közhatalmi bevételek'!E13</f>
        <v>779014</v>
      </c>
      <c r="G26" s="120"/>
      <c r="H26" s="536"/>
      <c r="I26" s="227"/>
      <c r="J26" s="227"/>
      <c r="K26" s="224">
        <f t="shared" si="0"/>
        <v>1204000</v>
      </c>
      <c r="M26" s="80"/>
      <c r="N26" s="80"/>
      <c r="O26" s="80"/>
      <c r="P26" s="80"/>
      <c r="Q26" s="80"/>
      <c r="R26" s="80"/>
      <c r="S26" s="571"/>
    </row>
    <row r="27" spans="1:19" ht="17.25" customHeight="1" x14ac:dyDescent="0.2">
      <c r="A27" s="219" t="s">
        <v>574</v>
      </c>
      <c r="B27" s="170" t="s">
        <v>573</v>
      </c>
      <c r="C27" s="139"/>
      <c r="E27" s="120"/>
      <c r="F27" s="119"/>
      <c r="G27" s="120"/>
      <c r="H27" s="536"/>
      <c r="I27" s="227"/>
      <c r="J27" s="227"/>
      <c r="K27" s="224">
        <f t="shared" si="0"/>
        <v>0</v>
      </c>
      <c r="M27" s="80"/>
      <c r="N27" s="80"/>
      <c r="O27" s="80"/>
      <c r="P27" s="80"/>
      <c r="Q27" s="80"/>
      <c r="R27" s="80"/>
      <c r="S27" s="571"/>
    </row>
    <row r="28" spans="1:19" ht="17.25" customHeight="1" x14ac:dyDescent="0.2">
      <c r="A28" s="219" t="s">
        <v>575</v>
      </c>
      <c r="B28" s="167" t="s">
        <v>296</v>
      </c>
      <c r="C28" s="139"/>
      <c r="E28" s="120">
        <f>'közhatalmi bevételek'!D20</f>
        <v>17000</v>
      </c>
      <c r="F28" s="119"/>
      <c r="G28" s="120"/>
      <c r="H28" s="536"/>
      <c r="I28" s="227"/>
      <c r="J28" s="227"/>
      <c r="K28" s="224">
        <f t="shared" si="0"/>
        <v>17000</v>
      </c>
      <c r="M28" s="80"/>
      <c r="N28" s="80"/>
      <c r="O28" s="80"/>
      <c r="P28" s="80"/>
      <c r="Q28" s="80"/>
      <c r="R28" s="80"/>
      <c r="S28" s="571"/>
    </row>
    <row r="29" spans="1:19" s="82" customFormat="1" ht="17.25" customHeight="1" x14ac:dyDescent="0.2">
      <c r="A29" s="219" t="s">
        <v>576</v>
      </c>
      <c r="B29" s="167" t="s">
        <v>272</v>
      </c>
      <c r="C29" s="139"/>
      <c r="D29" s="121"/>
      <c r="E29" s="509">
        <f>'közhatalmi bevételek'!D15</f>
        <v>4500</v>
      </c>
      <c r="F29" s="119">
        <f>'közhatalmi bevételek'!E15</f>
        <v>0</v>
      </c>
      <c r="G29" s="139"/>
      <c r="H29" s="536"/>
      <c r="I29" s="227"/>
      <c r="J29" s="227"/>
      <c r="K29" s="224">
        <f t="shared" si="0"/>
        <v>4500</v>
      </c>
      <c r="L29" s="299"/>
      <c r="S29" s="586"/>
    </row>
    <row r="30" spans="1:19" ht="17.25" customHeight="1" x14ac:dyDescent="0.2">
      <c r="A30" s="219" t="s">
        <v>577</v>
      </c>
      <c r="B30" s="167" t="s">
        <v>273</v>
      </c>
      <c r="C30" s="139"/>
      <c r="D30" s="119"/>
      <c r="E30" s="509">
        <f>'közhatalmi bevételek'!D25</f>
        <v>820</v>
      </c>
      <c r="F30" s="119"/>
      <c r="G30" s="120"/>
      <c r="H30" s="536"/>
      <c r="I30" s="227"/>
      <c r="J30" s="227"/>
      <c r="K30" s="224">
        <f t="shared" si="0"/>
        <v>820</v>
      </c>
      <c r="M30" s="80"/>
      <c r="N30" s="80"/>
      <c r="O30" s="80"/>
      <c r="P30" s="80"/>
      <c r="Q30" s="80"/>
      <c r="R30" s="80"/>
      <c r="S30" s="571"/>
    </row>
    <row r="31" spans="1:19" ht="17.25" customHeight="1" x14ac:dyDescent="0.2">
      <c r="A31" s="219" t="s">
        <v>578</v>
      </c>
      <c r="B31" s="167" t="s">
        <v>274</v>
      </c>
      <c r="C31" s="139"/>
      <c r="D31" s="119"/>
      <c r="E31" s="120"/>
      <c r="F31" s="119"/>
      <c r="G31" s="120"/>
      <c r="H31" s="536"/>
      <c r="I31" s="227"/>
      <c r="J31" s="227"/>
      <c r="K31" s="224">
        <f t="shared" si="0"/>
        <v>0</v>
      </c>
      <c r="M31" s="80"/>
      <c r="N31" s="80"/>
      <c r="O31" s="80"/>
      <c r="P31" s="80"/>
      <c r="Q31" s="80"/>
      <c r="R31" s="80"/>
      <c r="S31" s="571"/>
    </row>
    <row r="32" spans="1:19" ht="17.25" customHeight="1" x14ac:dyDescent="0.2">
      <c r="A32" s="219" t="s">
        <v>580</v>
      </c>
      <c r="B32" s="167" t="s">
        <v>275</v>
      </c>
      <c r="C32" s="139">
        <v>140</v>
      </c>
      <c r="D32" s="119">
        <v>46</v>
      </c>
      <c r="E32" s="120"/>
      <c r="F32" s="119"/>
      <c r="G32" s="120"/>
      <c r="H32" s="536"/>
      <c r="I32" s="227"/>
      <c r="J32" s="227"/>
      <c r="K32" s="224">
        <f t="shared" si="0"/>
        <v>186</v>
      </c>
      <c r="M32" s="80"/>
      <c r="N32" s="80"/>
      <c r="O32" s="80"/>
      <c r="P32" s="80"/>
      <c r="Q32" s="80"/>
      <c r="R32" s="80"/>
      <c r="S32" s="571"/>
    </row>
    <row r="33" spans="1:19" ht="17.25" customHeight="1" x14ac:dyDescent="0.2">
      <c r="A33" s="219" t="s">
        <v>581</v>
      </c>
      <c r="B33" s="220" t="s">
        <v>276</v>
      </c>
      <c r="C33" s="228"/>
      <c r="D33" s="223"/>
      <c r="E33" s="222"/>
      <c r="F33" s="223"/>
      <c r="G33" s="510">
        <v>5065</v>
      </c>
      <c r="H33" s="536"/>
      <c r="I33" s="227"/>
      <c r="J33" s="227"/>
      <c r="K33" s="224">
        <f t="shared" si="0"/>
        <v>5065</v>
      </c>
      <c r="M33" s="80"/>
      <c r="N33" s="80"/>
      <c r="O33" s="80"/>
      <c r="P33" s="80"/>
      <c r="Q33" s="80"/>
      <c r="R33" s="80"/>
      <c r="S33" s="571"/>
    </row>
    <row r="34" spans="1:19" ht="17.25" customHeight="1" x14ac:dyDescent="0.2">
      <c r="A34" s="219" t="s">
        <v>601</v>
      </c>
      <c r="B34" s="220" t="s">
        <v>277</v>
      </c>
      <c r="C34" s="228"/>
      <c r="D34" s="223"/>
      <c r="E34" s="222"/>
      <c r="F34" s="223"/>
      <c r="G34" s="510">
        <v>0</v>
      </c>
      <c r="H34" s="536"/>
      <c r="I34" s="227"/>
      <c r="J34" s="227"/>
      <c r="K34" s="224">
        <f t="shared" si="0"/>
        <v>0</v>
      </c>
      <c r="M34" s="80"/>
      <c r="N34" s="80"/>
      <c r="O34" s="80"/>
      <c r="P34" s="80"/>
      <c r="Q34" s="80"/>
      <c r="R34" s="80"/>
      <c r="S34" s="571"/>
    </row>
    <row r="35" spans="1:19" ht="17.25" customHeight="1" x14ac:dyDescent="0.2">
      <c r="A35" s="219" t="s">
        <v>602</v>
      </c>
      <c r="B35" s="220" t="s">
        <v>278</v>
      </c>
      <c r="C35" s="228"/>
      <c r="D35" s="223"/>
      <c r="E35" s="222"/>
      <c r="F35" s="223"/>
      <c r="G35" s="510">
        <v>455</v>
      </c>
      <c r="H35" s="536"/>
      <c r="I35" s="227"/>
      <c r="J35" s="227"/>
      <c r="K35" s="224">
        <f t="shared" si="0"/>
        <v>455</v>
      </c>
      <c r="M35" s="80"/>
      <c r="N35" s="80"/>
      <c r="O35" s="80"/>
      <c r="P35" s="80"/>
      <c r="Q35" s="80"/>
      <c r="R35" s="80"/>
      <c r="S35" s="571"/>
    </row>
    <row r="36" spans="1:19" ht="17.25" customHeight="1" x14ac:dyDescent="0.2">
      <c r="A36" s="219" t="s">
        <v>603</v>
      </c>
      <c r="B36" s="220" t="s">
        <v>585</v>
      </c>
      <c r="C36" s="228"/>
      <c r="D36" s="223"/>
      <c r="E36" s="222"/>
      <c r="F36" s="223"/>
      <c r="G36" s="510">
        <v>500</v>
      </c>
      <c r="H36" s="536"/>
      <c r="I36" s="227"/>
      <c r="J36" s="227"/>
      <c r="K36" s="224">
        <f t="shared" si="0"/>
        <v>500</v>
      </c>
      <c r="M36" s="80"/>
      <c r="N36" s="80"/>
      <c r="O36" s="80"/>
      <c r="P36" s="80"/>
      <c r="Q36" s="80"/>
      <c r="R36" s="80"/>
      <c r="S36" s="571"/>
    </row>
    <row r="37" spans="1:19" ht="17.25" customHeight="1" x14ac:dyDescent="0.2">
      <c r="A37" s="219" t="s">
        <v>604</v>
      </c>
      <c r="B37" s="220" t="s">
        <v>279</v>
      </c>
      <c r="C37" s="228"/>
      <c r="D37" s="223"/>
      <c r="E37" s="222"/>
      <c r="F37" s="223"/>
      <c r="G37" s="510">
        <v>2032</v>
      </c>
      <c r="H37" s="536"/>
      <c r="I37" s="227"/>
      <c r="J37" s="227"/>
      <c r="K37" s="224">
        <f t="shared" si="0"/>
        <v>2032</v>
      </c>
      <c r="M37" s="80"/>
      <c r="N37" s="80"/>
      <c r="O37" s="80"/>
      <c r="P37" s="80"/>
      <c r="Q37" s="80"/>
      <c r="R37" s="80"/>
      <c r="S37" s="571"/>
    </row>
    <row r="38" spans="1:19" ht="17.25" customHeight="1" x14ac:dyDescent="0.2">
      <c r="A38" s="219" t="s">
        <v>605</v>
      </c>
      <c r="B38" s="220" t="s">
        <v>280</v>
      </c>
      <c r="C38" s="228"/>
      <c r="D38" s="512">
        <v>2286</v>
      </c>
      <c r="E38" s="228"/>
      <c r="F38" s="223"/>
      <c r="G38" s="511"/>
      <c r="H38" s="459"/>
      <c r="K38" s="224">
        <f t="shared" si="0"/>
        <v>2286</v>
      </c>
      <c r="M38" s="80"/>
      <c r="N38" s="80"/>
      <c r="O38" s="80"/>
      <c r="P38" s="80"/>
      <c r="Q38" s="80"/>
      <c r="R38" s="80"/>
      <c r="S38" s="571"/>
    </row>
    <row r="39" spans="1:19" ht="17.25" customHeight="1" thickBot="1" x14ac:dyDescent="0.25">
      <c r="A39" s="219" t="s">
        <v>606</v>
      </c>
      <c r="B39" s="220" t="s">
        <v>281</v>
      </c>
      <c r="C39" s="228"/>
      <c r="D39" s="223"/>
      <c r="E39" s="222"/>
      <c r="F39" s="223"/>
      <c r="G39" s="222"/>
      <c r="H39" s="536"/>
      <c r="I39" s="227"/>
      <c r="J39" s="227"/>
      <c r="K39" s="224">
        <f t="shared" si="0"/>
        <v>0</v>
      </c>
      <c r="M39" s="80"/>
      <c r="N39" s="80"/>
      <c r="O39" s="80"/>
      <c r="P39" s="80"/>
      <c r="Q39" s="80"/>
      <c r="R39" s="80"/>
      <c r="S39" s="571"/>
    </row>
    <row r="40" spans="1:19" ht="17.25" customHeight="1" thickBot="1" x14ac:dyDescent="0.25">
      <c r="A40" s="1248" t="s">
        <v>610</v>
      </c>
      <c r="B40" s="1249"/>
      <c r="C40" s="359">
        <f>SUM(C10:C39)</f>
        <v>40369</v>
      </c>
      <c r="D40" s="359">
        <f>SUM(D10:D39)</f>
        <v>43113</v>
      </c>
      <c r="E40" s="558">
        <f>SUM(E10:E39)</f>
        <v>456306</v>
      </c>
      <c r="F40" s="559">
        <f>SUM(F10:F39)</f>
        <v>779014</v>
      </c>
      <c r="G40" s="359">
        <f>SUM(G10:G39)</f>
        <v>764984</v>
      </c>
      <c r="H40" s="538">
        <f>SUM(H12:H39)</f>
        <v>93769</v>
      </c>
      <c r="I40" s="538">
        <f>SUM(I12:I39)</f>
        <v>0</v>
      </c>
      <c r="J40" s="538">
        <f>SUM(J12:J39)</f>
        <v>0</v>
      </c>
      <c r="K40" s="360">
        <f>SUM(C40:J40)</f>
        <v>2177555</v>
      </c>
      <c r="M40" s="80"/>
      <c r="N40" s="80"/>
      <c r="O40" s="80"/>
      <c r="P40" s="80"/>
      <c r="Q40" s="80"/>
      <c r="R40" s="80"/>
      <c r="S40" s="571"/>
    </row>
    <row r="41" spans="1:19" ht="17.25" customHeight="1" x14ac:dyDescent="0.2">
      <c r="M41" s="80"/>
      <c r="N41" s="80"/>
      <c r="O41" s="80"/>
      <c r="P41" s="80"/>
      <c r="Q41" s="80"/>
      <c r="R41" s="80"/>
      <c r="S41" s="571"/>
    </row>
    <row r="42" spans="1:19" ht="17.25" customHeight="1" x14ac:dyDescent="0.2">
      <c r="M42" s="80"/>
      <c r="N42" s="80"/>
      <c r="O42" s="80"/>
      <c r="P42" s="80"/>
      <c r="Q42" s="80"/>
      <c r="R42" s="80"/>
      <c r="S42" s="571"/>
    </row>
    <row r="43" spans="1:19" ht="17.25" customHeight="1" x14ac:dyDescent="0.2">
      <c r="M43" s="80"/>
      <c r="N43" s="80"/>
      <c r="O43" s="80"/>
      <c r="P43" s="80"/>
      <c r="Q43" s="80"/>
      <c r="R43" s="80"/>
      <c r="S43" s="571"/>
    </row>
    <row r="44" spans="1:19" ht="17.25" customHeight="1" x14ac:dyDescent="0.2">
      <c r="M44" s="80"/>
      <c r="N44" s="80"/>
      <c r="O44" s="80"/>
      <c r="P44" s="80"/>
      <c r="Q44" s="80"/>
      <c r="R44" s="80"/>
      <c r="S44" s="571"/>
    </row>
    <row r="45" spans="1:19" ht="17.25" customHeight="1" x14ac:dyDescent="0.2">
      <c r="M45" s="80"/>
      <c r="N45" s="80"/>
      <c r="O45" s="80"/>
      <c r="P45" s="80"/>
      <c r="Q45" s="80"/>
      <c r="R45" s="80"/>
      <c r="S45" s="571"/>
    </row>
    <row r="46" spans="1:19" ht="17.25" customHeight="1" x14ac:dyDescent="0.2">
      <c r="M46" s="80"/>
      <c r="N46" s="80"/>
      <c r="O46" s="80"/>
      <c r="P46" s="80"/>
      <c r="Q46" s="80"/>
      <c r="R46" s="80"/>
      <c r="S46" s="571"/>
    </row>
    <row r="47" spans="1:19" ht="17.25" customHeight="1" x14ac:dyDescent="0.2">
      <c r="M47" s="80"/>
      <c r="N47" s="80"/>
      <c r="O47" s="80"/>
      <c r="P47" s="80"/>
      <c r="Q47" s="80"/>
      <c r="R47" s="80"/>
      <c r="S47" s="571"/>
    </row>
    <row r="48" spans="1:19" ht="17.25" customHeight="1" x14ac:dyDescent="0.2">
      <c r="M48" s="80"/>
      <c r="N48" s="80"/>
      <c r="O48" s="80"/>
      <c r="P48" s="80"/>
      <c r="Q48" s="80"/>
      <c r="R48" s="80"/>
      <c r="S48" s="571"/>
    </row>
    <row r="49" spans="2:24" ht="17.25" customHeight="1" x14ac:dyDescent="0.2">
      <c r="M49" s="80"/>
      <c r="N49" s="80"/>
      <c r="O49" s="80"/>
      <c r="P49" s="80"/>
      <c r="Q49" s="80"/>
      <c r="R49" s="80"/>
      <c r="S49" s="571"/>
    </row>
    <row r="50" spans="2:24" ht="17.25" customHeight="1" x14ac:dyDescent="0.2">
      <c r="M50" s="80"/>
      <c r="N50" s="80"/>
      <c r="O50" s="80"/>
      <c r="P50" s="80"/>
      <c r="Q50" s="80"/>
      <c r="R50" s="80"/>
      <c r="S50" s="571"/>
    </row>
    <row r="51" spans="2:24" ht="17.25" customHeight="1" x14ac:dyDescent="0.2">
      <c r="M51" s="80"/>
      <c r="N51" s="80"/>
      <c r="O51" s="80"/>
      <c r="P51" s="80"/>
      <c r="Q51" s="80"/>
      <c r="R51" s="80"/>
      <c r="S51" s="571"/>
    </row>
    <row r="52" spans="2:24" ht="17.25" customHeight="1" x14ac:dyDescent="0.2">
      <c r="M52" s="80"/>
      <c r="N52" s="80"/>
      <c r="O52" s="80"/>
      <c r="P52" s="80"/>
      <c r="Q52" s="80"/>
      <c r="R52" s="80"/>
      <c r="S52" s="571"/>
    </row>
    <row r="53" spans="2:24" ht="17.25" customHeight="1" x14ac:dyDescent="0.2">
      <c r="M53" s="80"/>
      <c r="N53" s="80"/>
      <c r="O53" s="80"/>
      <c r="P53" s="80"/>
      <c r="Q53" s="80"/>
      <c r="R53" s="80"/>
      <c r="S53" s="571"/>
    </row>
    <row r="54" spans="2:24" ht="17.25" customHeight="1" x14ac:dyDescent="0.2">
      <c r="M54" s="80"/>
      <c r="N54" s="80"/>
      <c r="O54" s="80"/>
      <c r="P54" s="80"/>
      <c r="Q54" s="80"/>
      <c r="R54" s="80"/>
      <c r="S54" s="571"/>
    </row>
    <row r="55" spans="2:24" ht="17.25" customHeight="1" x14ac:dyDescent="0.2">
      <c r="M55" s="80"/>
      <c r="N55" s="80"/>
      <c r="O55" s="80"/>
      <c r="P55" s="80"/>
      <c r="Q55" s="80"/>
      <c r="R55" s="80"/>
      <c r="S55" s="571"/>
    </row>
    <row r="56" spans="2:24" ht="17.25" customHeight="1" x14ac:dyDescent="0.2">
      <c r="M56" s="80"/>
      <c r="N56" s="80"/>
      <c r="O56" s="80"/>
      <c r="P56" s="80"/>
      <c r="Q56" s="80"/>
      <c r="R56" s="80"/>
      <c r="S56" s="571"/>
    </row>
    <row r="57" spans="2:24" ht="17.25" customHeight="1" x14ac:dyDescent="0.2">
      <c r="M57" s="80"/>
      <c r="N57" s="80"/>
      <c r="O57" s="80"/>
      <c r="P57" s="80"/>
      <c r="Q57" s="80"/>
      <c r="R57" s="80"/>
      <c r="S57" s="571"/>
    </row>
    <row r="58" spans="2:24" ht="17.25" customHeight="1" x14ac:dyDescent="0.2">
      <c r="M58" s="80"/>
      <c r="N58" s="80"/>
      <c r="O58" s="80"/>
      <c r="P58" s="80"/>
      <c r="Q58" s="80"/>
      <c r="R58" s="80"/>
      <c r="S58" s="571"/>
    </row>
    <row r="64" spans="2:24" ht="17.25" customHeight="1" x14ac:dyDescent="0.2">
      <c r="B64" s="1271" t="s">
        <v>586</v>
      </c>
      <c r="C64" s="1189"/>
      <c r="D64" s="1189"/>
      <c r="E64" s="1189"/>
      <c r="F64" s="1189"/>
      <c r="G64" s="1189"/>
      <c r="H64" s="1189"/>
      <c r="I64" s="1189"/>
      <c r="J64" s="1189"/>
      <c r="K64" s="1189"/>
      <c r="L64" s="1189"/>
      <c r="M64" s="1189"/>
      <c r="N64" s="1189"/>
      <c r="O64" s="1189"/>
      <c r="P64" s="1189"/>
      <c r="Q64" s="1189"/>
      <c r="R64" s="1189"/>
      <c r="W64" s="81"/>
      <c r="X64" s="81"/>
    </row>
    <row r="65" spans="1:23" ht="17.25" customHeight="1" x14ac:dyDescent="0.2">
      <c r="D65" s="116"/>
      <c r="E65" s="116"/>
      <c r="F65" s="116"/>
      <c r="G65" s="116"/>
      <c r="H65" s="116"/>
      <c r="I65" s="116"/>
      <c r="J65" s="116"/>
      <c r="K65" s="116"/>
      <c r="W65" s="81"/>
    </row>
    <row r="66" spans="1:23" ht="17.25" customHeight="1" x14ac:dyDescent="0.2">
      <c r="A66" s="1144" t="s">
        <v>562</v>
      </c>
      <c r="B66" s="1189"/>
      <c r="C66" s="1189"/>
      <c r="D66" s="1189"/>
      <c r="E66" s="1189"/>
      <c r="F66" s="1189"/>
      <c r="G66" s="1189"/>
      <c r="H66" s="1189"/>
      <c r="I66" s="1189"/>
      <c r="J66" s="1189"/>
      <c r="K66" s="1189"/>
      <c r="L66" s="1189"/>
      <c r="M66" s="1189"/>
      <c r="N66" s="1189"/>
      <c r="O66" s="1189"/>
      <c r="P66" s="1189"/>
      <c r="Q66" s="1189"/>
      <c r="R66" s="1189"/>
    </row>
    <row r="67" spans="1:23" ht="17.25" customHeight="1" x14ac:dyDescent="0.2">
      <c r="A67" s="1144" t="s">
        <v>309</v>
      </c>
      <c r="B67" s="1189"/>
      <c r="C67" s="1189"/>
      <c r="D67" s="1189"/>
      <c r="E67" s="1189"/>
      <c r="F67" s="1189"/>
      <c r="G67" s="1189"/>
      <c r="H67" s="1189"/>
      <c r="I67" s="1189"/>
      <c r="J67" s="1189"/>
      <c r="K67" s="1189"/>
      <c r="L67" s="1189"/>
      <c r="M67" s="1189"/>
      <c r="N67" s="1189"/>
      <c r="O67" s="1189"/>
      <c r="P67" s="1189"/>
      <c r="Q67" s="1189"/>
      <c r="R67" s="1189"/>
    </row>
    <row r="68" spans="1:23" ht="17.25" customHeight="1" x14ac:dyDescent="0.2">
      <c r="B68" s="214"/>
      <c r="C68" s="215"/>
      <c r="D68" s="215"/>
      <c r="E68" s="215"/>
      <c r="F68" s="215"/>
      <c r="G68" s="215"/>
      <c r="H68" s="215"/>
      <c r="I68" s="215"/>
      <c r="J68" s="215"/>
      <c r="K68" s="215"/>
    </row>
    <row r="69" spans="1:23" ht="12.75" customHeight="1" thickBot="1" x14ac:dyDescent="0.25">
      <c r="A69" s="1277" t="s">
        <v>321</v>
      </c>
      <c r="B69" s="1278"/>
      <c r="C69" s="1278"/>
      <c r="D69" s="1278"/>
      <c r="E69" s="1278"/>
      <c r="F69" s="1278"/>
      <c r="G69" s="1278"/>
      <c r="H69" s="1278"/>
      <c r="I69" s="1278"/>
      <c r="J69" s="1278"/>
      <c r="K69" s="1278"/>
      <c r="L69" s="1222"/>
      <c r="M69" s="1222"/>
      <c r="N69" s="1222"/>
      <c r="O69" s="1222"/>
      <c r="P69" s="1222"/>
      <c r="Q69" s="1222"/>
      <c r="R69" s="1222"/>
    </row>
    <row r="70" spans="1:23" s="117" customFormat="1" ht="11.25" customHeight="1" x14ac:dyDescent="0.2">
      <c r="A70" s="1261" t="s">
        <v>498</v>
      </c>
      <c r="B70" s="1250" t="s">
        <v>86</v>
      </c>
      <c r="C70" s="1268" t="s">
        <v>57</v>
      </c>
      <c r="D70" s="1267"/>
      <c r="E70" s="1267" t="s">
        <v>58</v>
      </c>
      <c r="F70" s="1267"/>
      <c r="G70" s="1267" t="s">
        <v>59</v>
      </c>
      <c r="H70" s="1267"/>
      <c r="I70" s="1269"/>
      <c r="J70" s="1268"/>
      <c r="K70" s="315" t="s">
        <v>60</v>
      </c>
      <c r="L70" s="1270" t="s">
        <v>499</v>
      </c>
      <c r="M70" s="1266"/>
      <c r="N70" s="1266" t="s">
        <v>500</v>
      </c>
      <c r="O70" s="1266"/>
      <c r="P70" s="1266" t="s">
        <v>501</v>
      </c>
      <c r="Q70" s="1266"/>
      <c r="R70" s="311" t="s">
        <v>629</v>
      </c>
      <c r="S70" s="583"/>
    </row>
    <row r="71" spans="1:23" ht="31.5" customHeight="1" x14ac:dyDescent="0.2">
      <c r="A71" s="1262"/>
      <c r="B71" s="1251"/>
      <c r="C71" s="1272" t="s">
        <v>587</v>
      </c>
      <c r="D71" s="1275"/>
      <c r="E71" s="1275"/>
      <c r="F71" s="1275"/>
      <c r="G71" s="1275"/>
      <c r="H71" s="1275"/>
      <c r="I71" s="1275"/>
      <c r="J71" s="1275"/>
      <c r="K71" s="1276"/>
      <c r="L71" s="1272" t="s">
        <v>545</v>
      </c>
      <c r="M71" s="1273"/>
      <c r="N71" s="1273"/>
      <c r="O71" s="1273"/>
      <c r="P71" s="1273"/>
      <c r="Q71" s="1273"/>
      <c r="R71" s="1274"/>
    </row>
    <row r="72" spans="1:23" ht="36" customHeight="1" thickBot="1" x14ac:dyDescent="0.25">
      <c r="A72" s="1262"/>
      <c r="B72" s="1251"/>
      <c r="C72" s="1253" t="s">
        <v>478</v>
      </c>
      <c r="D72" s="1254"/>
      <c r="E72" s="1254" t="s">
        <v>479</v>
      </c>
      <c r="F72" s="1254"/>
      <c r="G72" s="1254" t="s">
        <v>22</v>
      </c>
      <c r="H72" s="1254"/>
      <c r="I72" s="1255"/>
      <c r="J72" s="1256"/>
      <c r="K72" s="1264" t="s">
        <v>564</v>
      </c>
      <c r="L72" s="1253" t="s">
        <v>478</v>
      </c>
      <c r="M72" s="1254"/>
      <c r="N72" s="1254" t="s">
        <v>479</v>
      </c>
      <c r="O72" s="1254"/>
      <c r="P72" s="1254" t="s">
        <v>22</v>
      </c>
      <c r="Q72" s="1254"/>
      <c r="R72" s="1259" t="s">
        <v>564</v>
      </c>
    </row>
    <row r="73" spans="1:23" ht="35.25" customHeight="1" thickBot="1" x14ac:dyDescent="0.25">
      <c r="A73" s="1262"/>
      <c r="B73" s="1251"/>
      <c r="C73" s="1253"/>
      <c r="D73" s="1254"/>
      <c r="E73" s="1254"/>
      <c r="F73" s="1254"/>
      <c r="G73" s="1254"/>
      <c r="H73" s="1254"/>
      <c r="I73" s="1257"/>
      <c r="J73" s="1258"/>
      <c r="K73" s="1264"/>
      <c r="L73" s="1253"/>
      <c r="M73" s="1254"/>
      <c r="N73" s="1254"/>
      <c r="O73" s="1254"/>
      <c r="P73" s="1254"/>
      <c r="Q73" s="1254"/>
      <c r="R73" s="1259"/>
    </row>
    <row r="74" spans="1:23" ht="32.25" customHeight="1" thickBot="1" x14ac:dyDescent="0.25">
      <c r="A74" s="1263"/>
      <c r="B74" s="1252"/>
      <c r="C74" s="515" t="s">
        <v>62</v>
      </c>
      <c r="D74" s="317" t="s">
        <v>63</v>
      </c>
      <c r="E74" s="316" t="s">
        <v>62</v>
      </c>
      <c r="F74" s="316" t="s">
        <v>63</v>
      </c>
      <c r="G74" s="316" t="s">
        <v>62</v>
      </c>
      <c r="H74" s="316" t="s">
        <v>63</v>
      </c>
      <c r="I74" s="316" t="s">
        <v>62</v>
      </c>
      <c r="J74" s="316" t="s">
        <v>63</v>
      </c>
      <c r="K74" s="1265"/>
      <c r="L74" s="319" t="s">
        <v>62</v>
      </c>
      <c r="M74" s="320" t="s">
        <v>63</v>
      </c>
      <c r="N74" s="314" t="s">
        <v>62</v>
      </c>
      <c r="O74" s="314" t="s">
        <v>63</v>
      </c>
      <c r="P74" s="314" t="s">
        <v>62</v>
      </c>
      <c r="Q74" s="314" t="s">
        <v>63</v>
      </c>
      <c r="R74" s="1260"/>
    </row>
    <row r="75" spans="1:23" ht="17.25" customHeight="1" x14ac:dyDescent="0.2">
      <c r="A75" s="229">
        <v>1</v>
      </c>
      <c r="B75" s="579" t="s">
        <v>590</v>
      </c>
      <c r="C75" s="249">
        <v>10</v>
      </c>
      <c r="D75" s="249">
        <v>0</v>
      </c>
      <c r="E75" s="249"/>
      <c r="F75" s="249"/>
      <c r="G75" s="249"/>
      <c r="H75" s="249"/>
      <c r="I75" s="249"/>
      <c r="J75" s="249"/>
      <c r="K75" s="514">
        <f>SUM(C75:H75)</f>
        <v>10</v>
      </c>
      <c r="L75" s="321">
        <v>20</v>
      </c>
      <c r="M75" s="321">
        <v>188</v>
      </c>
      <c r="N75" s="321"/>
      <c r="O75" s="321"/>
      <c r="P75" s="321"/>
      <c r="Q75" s="321"/>
      <c r="R75" s="322">
        <f>SUM(L75:Q75)</f>
        <v>208</v>
      </c>
    </row>
    <row r="76" spans="1:23" ht="17.25" customHeight="1" x14ac:dyDescent="0.2">
      <c r="A76" s="229">
        <v>2</v>
      </c>
      <c r="B76" s="580" t="s">
        <v>589</v>
      </c>
      <c r="C76" s="249"/>
      <c r="D76" s="249">
        <v>284</v>
      </c>
      <c r="E76" s="249"/>
      <c r="F76" s="249"/>
      <c r="G76" s="249"/>
      <c r="H76" s="249"/>
      <c r="I76" s="249"/>
      <c r="J76" s="249"/>
      <c r="K76" s="545">
        <f>SUM(C76:H76)</f>
        <v>284</v>
      </c>
      <c r="L76" s="249"/>
      <c r="M76" s="249"/>
      <c r="N76" s="249"/>
      <c r="O76" s="249"/>
      <c r="P76" s="249"/>
      <c r="Q76" s="249"/>
      <c r="R76" s="539"/>
    </row>
    <row r="77" spans="1:23" ht="17.25" customHeight="1" x14ac:dyDescent="0.2">
      <c r="A77" s="229">
        <v>3</v>
      </c>
      <c r="B77" s="580" t="s">
        <v>588</v>
      </c>
      <c r="C77" s="249">
        <v>3</v>
      </c>
      <c r="D77" s="249">
        <v>78</v>
      </c>
      <c r="E77" s="249"/>
      <c r="F77" s="249"/>
      <c r="G77" s="249"/>
      <c r="H77" s="249"/>
      <c r="I77" s="249"/>
      <c r="J77" s="249"/>
      <c r="K77" s="545">
        <f>SUM(C77:H77)</f>
        <v>81</v>
      </c>
      <c r="L77" s="249"/>
      <c r="M77" s="249"/>
      <c r="N77" s="249"/>
      <c r="O77" s="249"/>
      <c r="P77" s="249"/>
      <c r="Q77" s="249"/>
      <c r="R77" s="539"/>
    </row>
    <row r="78" spans="1:23" ht="17.25" customHeight="1" x14ac:dyDescent="0.2">
      <c r="A78" s="219">
        <v>4</v>
      </c>
      <c r="B78" s="580" t="s">
        <v>591</v>
      </c>
      <c r="C78" s="578">
        <v>2</v>
      </c>
      <c r="D78" s="318"/>
      <c r="E78" s="318"/>
      <c r="F78" s="318"/>
      <c r="G78" s="318"/>
      <c r="H78" s="318"/>
      <c r="I78" s="318"/>
      <c r="J78" s="318"/>
      <c r="K78" s="545">
        <f>SUM(C78:H78)</f>
        <v>2</v>
      </c>
      <c r="L78" s="323"/>
      <c r="M78" s="323"/>
      <c r="N78" s="323"/>
      <c r="O78" s="323"/>
      <c r="P78" s="323"/>
      <c r="Q78" s="323"/>
      <c r="R78" s="324"/>
    </row>
    <row r="79" spans="1:23" ht="17.25" customHeight="1" thickBot="1" x14ac:dyDescent="0.25">
      <c r="A79" s="546">
        <v>5</v>
      </c>
      <c r="B79" s="581" t="s">
        <v>592</v>
      </c>
      <c r="C79" s="578"/>
      <c r="D79" s="318">
        <v>40</v>
      </c>
      <c r="E79" s="318"/>
      <c r="F79" s="318"/>
      <c r="G79" s="318"/>
      <c r="H79" s="318"/>
      <c r="I79" s="318"/>
      <c r="J79" s="318"/>
      <c r="K79" s="582">
        <f>SUM(C79:J79)</f>
        <v>40</v>
      </c>
      <c r="L79" s="323"/>
      <c r="M79" s="323"/>
      <c r="N79" s="323"/>
      <c r="O79" s="323"/>
      <c r="P79" s="323"/>
      <c r="Q79" s="323"/>
      <c r="R79" s="324"/>
    </row>
    <row r="80" spans="1:23" ht="17.25" customHeight="1" thickBot="1" x14ac:dyDescent="0.25">
      <c r="A80" s="533" t="s">
        <v>282</v>
      </c>
      <c r="B80" s="540"/>
      <c r="C80" s="541">
        <f>SUM(C74:C78)</f>
        <v>15</v>
      </c>
      <c r="D80" s="541">
        <f>SUM(D74:D79)</f>
        <v>402</v>
      </c>
      <c r="E80" s="542">
        <f>SUM(E74)</f>
        <v>0</v>
      </c>
      <c r="F80" s="542">
        <f>SUM(F74)</f>
        <v>0</v>
      </c>
      <c r="G80" s="542">
        <f>SUM(G74)</f>
        <v>0</v>
      </c>
      <c r="H80" s="542">
        <f>SUM(H74:H78)</f>
        <v>0</v>
      </c>
      <c r="I80" s="543"/>
      <c r="J80" s="543"/>
      <c r="K80" s="544">
        <f>SUM(K74:K79)</f>
        <v>417</v>
      </c>
      <c r="L80" s="513">
        <f>SUM(L75:L78)</f>
        <v>20</v>
      </c>
      <c r="M80" s="312">
        <f>SUM(M75:M78)</f>
        <v>188</v>
      </c>
      <c r="N80" s="312"/>
      <c r="O80" s="312"/>
      <c r="P80" s="312"/>
      <c r="Q80" s="312"/>
      <c r="R80" s="325">
        <f>SUM(L80:Q80)</f>
        <v>208</v>
      </c>
      <c r="S80" s="584"/>
    </row>
  </sheetData>
  <sheetProtection selectLockedCells="1" selectUnlockedCells="1"/>
  <mergeCells count="41"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73"/>
  <sheetViews>
    <sheetView zoomScale="130" zoomScaleNormal="130" workbookViewId="0">
      <selection activeCell="U17" sqref="U17"/>
    </sheetView>
  </sheetViews>
  <sheetFormatPr defaultColWidth="9.140625" defaultRowHeight="10.5" x14ac:dyDescent="0.2"/>
  <cols>
    <col min="1" max="1" width="4.140625" style="80" customWidth="1"/>
    <col min="2" max="2" width="4.85546875" style="349" customWidth="1"/>
    <col min="3" max="3" width="26.7109375" style="356" customWidth="1"/>
    <col min="4" max="4" width="5.85546875" style="357" customWidth="1"/>
    <col min="5" max="5" width="6.7109375" style="358" customWidth="1"/>
    <col min="6" max="6" width="5.85546875" style="358" customWidth="1"/>
    <col min="7" max="7" width="6.42578125" style="358" customWidth="1"/>
    <col min="8" max="8" width="5.28515625" style="358" customWidth="1"/>
    <col min="9" max="9" width="6.42578125" style="358" customWidth="1"/>
    <col min="10" max="10" width="5.7109375" style="358" customWidth="1"/>
    <col min="11" max="11" width="5.5703125" style="358" customWidth="1"/>
    <col min="12" max="12" width="6" style="358" customWidth="1"/>
    <col min="13" max="15" width="5.85546875" style="358" customWidth="1"/>
    <col min="16" max="16" width="4.7109375" style="358" customWidth="1"/>
    <col min="17" max="17" width="5" style="358" customWidth="1"/>
    <col min="18" max="18" width="6.5703125" style="358" bestFit="1" customWidth="1"/>
    <col min="19" max="19" width="12.85546875" style="348" customWidth="1"/>
    <col min="20" max="22" width="9.140625" style="348"/>
    <col min="23" max="16384" width="9.140625" style="80"/>
  </cols>
  <sheetData>
    <row r="1" spans="1:22" ht="12.75" x14ac:dyDescent="0.2">
      <c r="B1" s="1271" t="s">
        <v>1274</v>
      </c>
      <c r="C1" s="1298"/>
      <c r="D1" s="1298"/>
      <c r="E1" s="1298"/>
      <c r="F1" s="1298"/>
      <c r="G1" s="1298"/>
      <c r="H1" s="1298"/>
      <c r="I1" s="1298"/>
      <c r="J1" s="1298"/>
      <c r="K1" s="1298"/>
      <c r="L1" s="1298"/>
      <c r="M1" s="1298"/>
      <c r="N1" s="1298"/>
      <c r="O1" s="1298"/>
      <c r="P1" s="1298"/>
      <c r="Q1" s="1298"/>
      <c r="R1" s="1298"/>
    </row>
    <row r="2" spans="1:22" ht="12.75" x14ac:dyDescent="0.2">
      <c r="B2" s="1299" t="s">
        <v>78</v>
      </c>
      <c r="C2" s="1300"/>
      <c r="D2" s="1300"/>
      <c r="E2" s="1300"/>
      <c r="F2" s="1300"/>
      <c r="G2" s="1300"/>
      <c r="H2" s="1300"/>
      <c r="I2" s="1300"/>
      <c r="J2" s="1300"/>
      <c r="K2" s="1300"/>
      <c r="L2" s="1300"/>
      <c r="M2" s="1300"/>
      <c r="N2" s="1300"/>
      <c r="O2" s="1300"/>
      <c r="P2" s="1300"/>
      <c r="Q2" s="1300"/>
      <c r="R2" s="1300"/>
    </row>
    <row r="3" spans="1:22" ht="12.75" x14ac:dyDescent="0.2">
      <c r="A3" s="81"/>
      <c r="B3" s="1144" t="s">
        <v>1127</v>
      </c>
      <c r="C3" s="1298"/>
      <c r="D3" s="1298"/>
      <c r="E3" s="1298"/>
      <c r="F3" s="1298"/>
      <c r="G3" s="1298"/>
      <c r="H3" s="1298"/>
      <c r="I3" s="1298"/>
      <c r="J3" s="1298"/>
      <c r="K3" s="1298"/>
      <c r="L3" s="1298"/>
      <c r="M3" s="1298"/>
      <c r="N3" s="1298"/>
      <c r="O3" s="1298"/>
      <c r="P3" s="1298"/>
      <c r="Q3" s="1298"/>
      <c r="R3" s="1298"/>
    </row>
    <row r="4" spans="1:22" x14ac:dyDescent="0.2">
      <c r="A4" s="81"/>
      <c r="C4" s="1311" t="s">
        <v>321</v>
      </c>
      <c r="D4" s="1311"/>
      <c r="E4" s="1311"/>
      <c r="F4" s="1311"/>
      <c r="G4" s="1311"/>
      <c r="H4" s="1311"/>
      <c r="I4" s="1311"/>
      <c r="J4" s="1311"/>
      <c r="K4" s="1311"/>
      <c r="L4" s="1311"/>
      <c r="M4" s="1311"/>
      <c r="N4" s="1311"/>
      <c r="O4" s="1311"/>
      <c r="P4" s="1311"/>
      <c r="Q4" s="1311"/>
      <c r="R4" s="1311"/>
    </row>
    <row r="5" spans="1:22" x14ac:dyDescent="0.2">
      <c r="A5" s="867"/>
      <c r="B5" s="1301" t="s">
        <v>498</v>
      </c>
      <c r="C5" s="865" t="s">
        <v>57</v>
      </c>
      <c r="D5" s="1295" t="s">
        <v>58</v>
      </c>
      <c r="E5" s="1294"/>
      <c r="F5" s="1295" t="s">
        <v>59</v>
      </c>
      <c r="G5" s="1294"/>
      <c r="H5" s="1295" t="s">
        <v>628</v>
      </c>
      <c r="I5" s="1294"/>
      <c r="J5" s="1295" t="s">
        <v>499</v>
      </c>
      <c r="K5" s="1294"/>
      <c r="L5" s="1293" t="s">
        <v>500</v>
      </c>
      <c r="M5" s="1294"/>
      <c r="N5" s="1293" t="s">
        <v>501</v>
      </c>
      <c r="O5" s="1294"/>
      <c r="P5" s="1293" t="s">
        <v>629</v>
      </c>
      <c r="Q5" s="1294"/>
      <c r="R5" s="548" t="s">
        <v>640</v>
      </c>
    </row>
    <row r="6" spans="1:22" ht="12.75" x14ac:dyDescent="0.2">
      <c r="A6" s="867"/>
      <c r="B6" s="1302"/>
      <c r="C6" s="866"/>
      <c r="D6" s="1312" t="s">
        <v>1120</v>
      </c>
      <c r="E6" s="1313"/>
      <c r="F6" s="1313"/>
      <c r="G6" s="1313"/>
      <c r="H6" s="1313"/>
      <c r="I6" s="1313"/>
      <c r="J6" s="1313"/>
      <c r="K6" s="1313"/>
      <c r="L6" s="1313"/>
      <c r="M6" s="1313"/>
      <c r="N6" s="1313"/>
      <c r="O6" s="1313"/>
      <c r="P6" s="1313"/>
      <c r="Q6" s="1313"/>
      <c r="R6" s="1314"/>
    </row>
    <row r="7" spans="1:22" ht="24.95" customHeight="1" x14ac:dyDescent="0.2">
      <c r="A7" s="867"/>
      <c r="B7" s="1302"/>
      <c r="C7" s="1288" t="s">
        <v>86</v>
      </c>
      <c r="D7" s="1304" t="s">
        <v>477</v>
      </c>
      <c r="E7" s="1297"/>
      <c r="F7" s="1296" t="s">
        <v>21</v>
      </c>
      <c r="G7" s="1296"/>
      <c r="H7" s="1296" t="s">
        <v>475</v>
      </c>
      <c r="I7" s="1296"/>
      <c r="J7" s="1297" t="s">
        <v>487</v>
      </c>
      <c r="K7" s="1297"/>
      <c r="L7" s="1297" t="s">
        <v>486</v>
      </c>
      <c r="M7" s="1297"/>
      <c r="N7" s="1255" t="s">
        <v>283</v>
      </c>
      <c r="O7" s="1305"/>
      <c r="P7" s="1297" t="s">
        <v>476</v>
      </c>
      <c r="Q7" s="1297"/>
      <c r="R7" s="1308" t="s">
        <v>564</v>
      </c>
    </row>
    <row r="8" spans="1:22" ht="26.25" customHeight="1" x14ac:dyDescent="0.2">
      <c r="A8" s="867"/>
      <c r="B8" s="1302"/>
      <c r="C8" s="1289"/>
      <c r="D8" s="1304"/>
      <c r="E8" s="1297"/>
      <c r="F8" s="1296"/>
      <c r="G8" s="1296"/>
      <c r="H8" s="1296"/>
      <c r="I8" s="1296"/>
      <c r="J8" s="1297"/>
      <c r="K8" s="1297"/>
      <c r="L8" s="1297"/>
      <c r="M8" s="1297"/>
      <c r="N8" s="1306"/>
      <c r="O8" s="1307"/>
      <c r="P8" s="1297"/>
      <c r="Q8" s="1297"/>
      <c r="R8" s="1309"/>
      <c r="S8" s="826"/>
      <c r="T8" s="355"/>
    </row>
    <row r="9" spans="1:22" s="272" customFormat="1" ht="40.9" customHeight="1" x14ac:dyDescent="0.15">
      <c r="A9" s="868"/>
      <c r="B9" s="1303"/>
      <c r="C9" s="1290"/>
      <c r="D9" s="350" t="s">
        <v>62</v>
      </c>
      <c r="E9" s="351" t="s">
        <v>63</v>
      </c>
      <c r="F9" s="352" t="s">
        <v>62</v>
      </c>
      <c r="G9" s="351" t="s">
        <v>63</v>
      </c>
      <c r="H9" s="352" t="s">
        <v>62</v>
      </c>
      <c r="I9" s="351" t="s">
        <v>63</v>
      </c>
      <c r="J9" s="352" t="s">
        <v>62</v>
      </c>
      <c r="K9" s="352" t="s">
        <v>63</v>
      </c>
      <c r="L9" s="352" t="s">
        <v>62</v>
      </c>
      <c r="M9" s="351" t="s">
        <v>63</v>
      </c>
      <c r="N9" s="352" t="s">
        <v>62</v>
      </c>
      <c r="O9" s="351" t="s">
        <v>63</v>
      </c>
      <c r="P9" s="352" t="s">
        <v>62</v>
      </c>
      <c r="Q9" s="352" t="s">
        <v>63</v>
      </c>
      <c r="R9" s="1310"/>
      <c r="S9" s="353"/>
      <c r="T9" s="353"/>
      <c r="U9" s="353"/>
      <c r="V9" s="353"/>
    </row>
    <row r="10" spans="1:22" s="272" customFormat="1" ht="15" customHeight="1" x14ac:dyDescent="0.2">
      <c r="A10" s="868"/>
      <c r="B10" s="956">
        <v>1</v>
      </c>
      <c r="C10" s="864" t="s">
        <v>1040</v>
      </c>
      <c r="D10" s="834">
        <v>4645</v>
      </c>
      <c r="E10" s="834"/>
      <c r="F10" s="835">
        <v>1104</v>
      </c>
      <c r="G10" s="834"/>
      <c r="H10" s="836">
        <f>4168+6900</f>
        <v>11068</v>
      </c>
      <c r="I10" s="834"/>
      <c r="J10" s="835"/>
      <c r="K10" s="837"/>
      <c r="L10" s="835"/>
      <c r="M10" s="838"/>
      <c r="N10" s="834"/>
      <c r="O10" s="834"/>
      <c r="P10" s="835"/>
      <c r="Q10" s="834"/>
      <c r="R10" s="839">
        <f>SUM(D10:Q10)</f>
        <v>16817</v>
      </c>
      <c r="S10" s="761"/>
      <c r="T10" s="762"/>
      <c r="U10" s="353"/>
      <c r="V10" s="353"/>
    </row>
    <row r="11" spans="1:22" s="272" customFormat="1" ht="23.25" customHeight="1" x14ac:dyDescent="0.2">
      <c r="A11" s="868"/>
      <c r="B11" s="956">
        <f>B10+1</f>
        <v>2</v>
      </c>
      <c r="C11" s="864" t="s">
        <v>1039</v>
      </c>
      <c r="D11" s="834">
        <v>4098</v>
      </c>
      <c r="E11" s="834"/>
      <c r="F11" s="835">
        <v>902</v>
      </c>
      <c r="G11" s="834"/>
      <c r="H11" s="836">
        <v>15640</v>
      </c>
      <c r="I11" s="834"/>
      <c r="J11" s="835"/>
      <c r="K11" s="837"/>
      <c r="L11" s="835"/>
      <c r="M11" s="1020"/>
      <c r="N11" s="834"/>
      <c r="O11" s="834"/>
      <c r="P11" s="835"/>
      <c r="Q11" s="834"/>
      <c r="R11" s="839">
        <f>SUM(D11:Q11)</f>
        <v>20640</v>
      </c>
      <c r="S11" s="761"/>
      <c r="T11" s="762"/>
      <c r="U11" s="353"/>
      <c r="V11" s="353"/>
    </row>
    <row r="12" spans="1:22" s="347" customFormat="1" ht="13.5" customHeight="1" x14ac:dyDescent="0.2">
      <c r="A12" s="869"/>
      <c r="B12" s="956">
        <f t="shared" ref="B12:B62" si="0">B11+1</f>
        <v>3</v>
      </c>
      <c r="C12" s="955" t="s">
        <v>1057</v>
      </c>
      <c r="D12" s="840"/>
      <c r="E12" s="841"/>
      <c r="F12" s="842"/>
      <c r="G12" s="841"/>
      <c r="H12" s="843"/>
      <c r="I12" s="827">
        <v>5000</v>
      </c>
      <c r="J12" s="843"/>
      <c r="K12" s="844"/>
      <c r="L12" s="842"/>
      <c r="M12" s="845"/>
      <c r="N12" s="841"/>
      <c r="O12" s="841"/>
      <c r="P12" s="842"/>
      <c r="Q12" s="841"/>
      <c r="R12" s="839">
        <f t="shared" ref="R12:R62" si="1">SUM(D12:Q12)</f>
        <v>5000</v>
      </c>
      <c r="S12" s="116"/>
      <c r="T12" s="348"/>
      <c r="U12" s="348"/>
      <c r="V12" s="348"/>
    </row>
    <row r="13" spans="1:22" s="347" customFormat="1" ht="17.25" customHeight="1" x14ac:dyDescent="0.2">
      <c r="A13" s="869"/>
      <c r="B13" s="956">
        <f t="shared" si="0"/>
        <v>4</v>
      </c>
      <c r="C13" s="833" t="s">
        <v>1038</v>
      </c>
      <c r="D13" s="840"/>
      <c r="E13" s="841"/>
      <c r="F13" s="842"/>
      <c r="G13" s="841"/>
      <c r="H13" s="843">
        <v>1969</v>
      </c>
      <c r="I13" s="286"/>
      <c r="J13" s="843"/>
      <c r="K13" s="844"/>
      <c r="L13" s="842"/>
      <c r="M13" s="845"/>
      <c r="N13" s="841"/>
      <c r="O13" s="841"/>
      <c r="P13" s="842"/>
      <c r="Q13" s="841"/>
      <c r="R13" s="839">
        <f t="shared" si="1"/>
        <v>1969</v>
      </c>
      <c r="S13" s="761"/>
      <c r="T13" s="762"/>
      <c r="U13" s="348"/>
      <c r="V13" s="348"/>
    </row>
    <row r="14" spans="1:22" s="347" customFormat="1" ht="16.5" customHeight="1" x14ac:dyDescent="0.2">
      <c r="A14" s="869"/>
      <c r="B14" s="956">
        <f t="shared" si="0"/>
        <v>5</v>
      </c>
      <c r="C14" s="833" t="s">
        <v>1265</v>
      </c>
      <c r="D14" s="840"/>
      <c r="E14" s="841"/>
      <c r="F14" s="842"/>
      <c r="G14" s="841"/>
      <c r="H14" s="843"/>
      <c r="I14" s="827"/>
      <c r="J14" s="843"/>
      <c r="K14" s="844"/>
      <c r="L14" s="842"/>
      <c r="M14" s="845"/>
      <c r="N14" s="841"/>
      <c r="O14" s="841"/>
      <c r="P14" s="842"/>
      <c r="Q14" s="846">
        <f>'ellátottak önk.'!F13</f>
        <v>850</v>
      </c>
      <c r="R14" s="839">
        <f t="shared" si="1"/>
        <v>850</v>
      </c>
      <c r="S14" s="348"/>
      <c r="T14" s="348"/>
      <c r="U14" s="348"/>
      <c r="V14" s="348"/>
    </row>
    <row r="15" spans="1:22" s="347" customFormat="1" ht="16.5" customHeight="1" x14ac:dyDescent="0.2">
      <c r="A15" s="869"/>
      <c r="B15" s="956">
        <f t="shared" si="0"/>
        <v>6</v>
      </c>
      <c r="C15" s="833" t="s">
        <v>1264</v>
      </c>
      <c r="D15" s="840"/>
      <c r="E15" s="841"/>
      <c r="F15" s="842"/>
      <c r="G15" s="841"/>
      <c r="H15" s="843"/>
      <c r="I15" s="827"/>
      <c r="J15" s="843"/>
      <c r="K15" s="844"/>
      <c r="L15" s="842"/>
      <c r="M15" s="845"/>
      <c r="N15" s="841"/>
      <c r="O15" s="841"/>
      <c r="P15" s="842"/>
      <c r="Q15" s="846">
        <v>600</v>
      </c>
      <c r="R15" s="839">
        <f t="shared" ref="R15:R25" si="2">SUM(D15:Q15)</f>
        <v>600</v>
      </c>
      <c r="S15" s="348"/>
      <c r="T15" s="348"/>
      <c r="U15" s="348"/>
      <c r="V15" s="348"/>
    </row>
    <row r="16" spans="1:22" s="347" customFormat="1" ht="16.5" customHeight="1" x14ac:dyDescent="0.2">
      <c r="A16" s="869"/>
      <c r="B16" s="956">
        <f t="shared" si="0"/>
        <v>7</v>
      </c>
      <c r="C16" s="833" t="s">
        <v>1266</v>
      </c>
      <c r="D16" s="840"/>
      <c r="E16" s="841"/>
      <c r="F16" s="842"/>
      <c r="G16" s="841"/>
      <c r="H16" s="843"/>
      <c r="I16" s="827"/>
      <c r="J16" s="843"/>
      <c r="K16" s="844"/>
      <c r="L16" s="842"/>
      <c r="M16" s="845"/>
      <c r="N16" s="841"/>
      <c r="O16" s="841"/>
      <c r="P16" s="842"/>
      <c r="Q16" s="846">
        <v>800</v>
      </c>
      <c r="R16" s="839">
        <f t="shared" si="2"/>
        <v>800</v>
      </c>
      <c r="S16" s="348"/>
      <c r="T16" s="348"/>
      <c r="U16" s="348"/>
      <c r="V16" s="348"/>
    </row>
    <row r="17" spans="1:22" s="347" customFormat="1" ht="15.75" customHeight="1" x14ac:dyDescent="0.2">
      <c r="A17" s="869"/>
      <c r="B17" s="956">
        <f t="shared" si="0"/>
        <v>8</v>
      </c>
      <c r="C17" s="833" t="s">
        <v>1267</v>
      </c>
      <c r="D17" s="840"/>
      <c r="E17" s="841"/>
      <c r="F17" s="842"/>
      <c r="G17" s="841"/>
      <c r="H17" s="843"/>
      <c r="I17" s="827"/>
      <c r="J17" s="843"/>
      <c r="K17" s="844"/>
      <c r="L17" s="842"/>
      <c r="M17" s="845"/>
      <c r="N17" s="841"/>
      <c r="O17" s="841"/>
      <c r="P17" s="842"/>
      <c r="Q17" s="846">
        <v>1000</v>
      </c>
      <c r="R17" s="839">
        <f t="shared" si="2"/>
        <v>1000</v>
      </c>
      <c r="S17" s="348"/>
      <c r="T17" s="348"/>
      <c r="U17" s="348"/>
      <c r="V17" s="348"/>
    </row>
    <row r="18" spans="1:22" s="347" customFormat="1" ht="13.5" customHeight="1" x14ac:dyDescent="0.2">
      <c r="A18" s="869"/>
      <c r="B18" s="956">
        <f t="shared" si="0"/>
        <v>9</v>
      </c>
      <c r="C18" s="833" t="s">
        <v>1268</v>
      </c>
      <c r="D18" s="840"/>
      <c r="E18" s="841"/>
      <c r="F18" s="842"/>
      <c r="G18" s="841"/>
      <c r="H18" s="843"/>
      <c r="I18" s="827"/>
      <c r="J18" s="843"/>
      <c r="K18" s="844"/>
      <c r="L18" s="842"/>
      <c r="M18" s="845"/>
      <c r="N18" s="841"/>
      <c r="O18" s="841"/>
      <c r="P18" s="842"/>
      <c r="Q18" s="846">
        <v>600</v>
      </c>
      <c r="R18" s="839">
        <f t="shared" si="2"/>
        <v>600</v>
      </c>
      <c r="S18" s="348"/>
      <c r="T18" s="348"/>
      <c r="U18" s="348"/>
      <c r="V18" s="348"/>
    </row>
    <row r="19" spans="1:22" s="347" customFormat="1" ht="13.5" customHeight="1" x14ac:dyDescent="0.2">
      <c r="A19" s="869"/>
      <c r="B19" s="956">
        <f t="shared" si="0"/>
        <v>10</v>
      </c>
      <c r="C19" s="833" t="s">
        <v>1269</v>
      </c>
      <c r="D19" s="840"/>
      <c r="E19" s="841"/>
      <c r="F19" s="842"/>
      <c r="G19" s="841"/>
      <c r="H19" s="843"/>
      <c r="I19" s="827"/>
      <c r="J19" s="843"/>
      <c r="K19" s="844"/>
      <c r="L19" s="842"/>
      <c r="M19" s="845"/>
      <c r="N19" s="841"/>
      <c r="O19" s="841"/>
      <c r="P19" s="847">
        <v>2300</v>
      </c>
      <c r="Q19" s="846"/>
      <c r="R19" s="839">
        <f t="shared" si="2"/>
        <v>2300</v>
      </c>
      <c r="S19" s="348"/>
      <c r="T19" s="348"/>
      <c r="U19" s="348"/>
      <c r="V19" s="348"/>
    </row>
    <row r="20" spans="1:22" s="347" customFormat="1" ht="12" customHeight="1" x14ac:dyDescent="0.2">
      <c r="A20" s="869"/>
      <c r="B20" s="956">
        <f t="shared" si="0"/>
        <v>11</v>
      </c>
      <c r="C20" s="833" t="s">
        <v>1043</v>
      </c>
      <c r="D20" s="840"/>
      <c r="E20" s="841"/>
      <c r="F20" s="842"/>
      <c r="G20" s="841"/>
      <c r="H20" s="843"/>
      <c r="I20" s="827"/>
      <c r="J20" s="843"/>
      <c r="K20" s="844"/>
      <c r="L20" s="842"/>
      <c r="M20" s="845"/>
      <c r="N20" s="841"/>
      <c r="O20" s="841"/>
      <c r="P20" s="842"/>
      <c r="Q20" s="846">
        <f>'ellátottak önk.'!F22</f>
        <v>1100</v>
      </c>
      <c r="R20" s="839">
        <f t="shared" si="2"/>
        <v>1100</v>
      </c>
      <c r="S20" s="348"/>
      <c r="T20" s="348"/>
      <c r="U20" s="348"/>
      <c r="V20" s="348"/>
    </row>
    <row r="21" spans="1:22" s="347" customFormat="1" ht="15" customHeight="1" x14ac:dyDescent="0.2">
      <c r="A21" s="869"/>
      <c r="B21" s="956">
        <f t="shared" si="0"/>
        <v>12</v>
      </c>
      <c r="C21" s="833" t="s">
        <v>1044</v>
      </c>
      <c r="D21" s="840"/>
      <c r="E21" s="841"/>
      <c r="F21" s="842"/>
      <c r="G21" s="841"/>
      <c r="H21" s="843"/>
      <c r="I21" s="827"/>
      <c r="J21" s="843"/>
      <c r="K21" s="844"/>
      <c r="L21" s="842"/>
      <c r="M21" s="845"/>
      <c r="N21" s="841"/>
      <c r="O21" s="841"/>
      <c r="P21" s="842"/>
      <c r="Q21" s="846">
        <f>'ellátottak önk.'!F21</f>
        <v>1800</v>
      </c>
      <c r="R21" s="839">
        <f t="shared" si="2"/>
        <v>1800</v>
      </c>
      <c r="S21" s="348"/>
      <c r="T21" s="348"/>
      <c r="U21" s="348"/>
      <c r="V21" s="348"/>
    </row>
    <row r="22" spans="1:22" s="347" customFormat="1" ht="13.5" customHeight="1" x14ac:dyDescent="0.2">
      <c r="A22" s="869"/>
      <c r="B22" s="956">
        <f t="shared" si="0"/>
        <v>13</v>
      </c>
      <c r="C22" s="833" t="s">
        <v>1270</v>
      </c>
      <c r="D22" s="840"/>
      <c r="E22" s="841"/>
      <c r="F22" s="842"/>
      <c r="G22" s="841"/>
      <c r="H22" s="843"/>
      <c r="I22" s="827"/>
      <c r="J22" s="843"/>
      <c r="K22" s="844"/>
      <c r="L22" s="842"/>
      <c r="M22" s="845"/>
      <c r="N22" s="841"/>
      <c r="O22" s="841"/>
      <c r="P22" s="847">
        <v>500</v>
      </c>
      <c r="Q22" s="846">
        <f>'ellátottak önk.'!F20</f>
        <v>0</v>
      </c>
      <c r="R22" s="839">
        <f t="shared" si="2"/>
        <v>500</v>
      </c>
      <c r="S22" s="348"/>
      <c r="T22" s="348"/>
      <c r="U22" s="348"/>
      <c r="V22" s="348"/>
    </row>
    <row r="23" spans="1:22" s="347" customFormat="1" ht="13.5" customHeight="1" x14ac:dyDescent="0.2">
      <c r="A23" s="869"/>
      <c r="B23" s="956">
        <f t="shared" si="0"/>
        <v>14</v>
      </c>
      <c r="C23" s="833" t="s">
        <v>1062</v>
      </c>
      <c r="D23" s="840"/>
      <c r="E23" s="841"/>
      <c r="F23" s="842"/>
      <c r="G23" s="841"/>
      <c r="H23" s="843"/>
      <c r="I23" s="827"/>
      <c r="J23" s="843"/>
      <c r="K23" s="844"/>
      <c r="L23" s="842"/>
      <c r="M23" s="845"/>
      <c r="N23" s="841"/>
      <c r="O23" s="841"/>
      <c r="P23" s="842"/>
      <c r="Q23" s="846">
        <f>'ellátottak önk.'!F30</f>
        <v>4200</v>
      </c>
      <c r="R23" s="839">
        <f t="shared" si="2"/>
        <v>4200</v>
      </c>
      <c r="S23" s="348"/>
      <c r="T23" s="348"/>
      <c r="U23" s="348"/>
      <c r="V23" s="348"/>
    </row>
    <row r="24" spans="1:22" s="347" customFormat="1" ht="12.75" customHeight="1" x14ac:dyDescent="0.2">
      <c r="A24" s="869"/>
      <c r="B24" s="956">
        <f t="shared" si="0"/>
        <v>15</v>
      </c>
      <c r="C24" s="833" t="s">
        <v>595</v>
      </c>
      <c r="D24" s="840"/>
      <c r="E24" s="841"/>
      <c r="F24" s="842"/>
      <c r="G24" s="841"/>
      <c r="H24" s="843"/>
      <c r="I24" s="827">
        <v>400</v>
      </c>
      <c r="J24" s="843"/>
      <c r="K24" s="844"/>
      <c r="L24" s="842"/>
      <c r="M24" s="845"/>
      <c r="N24" s="841"/>
      <c r="O24" s="841"/>
      <c r="P24" s="847">
        <f>'ellátottak önk.'!E26</f>
        <v>0</v>
      </c>
      <c r="Q24" s="846">
        <f>'ellátottak önk.'!F26</f>
        <v>0</v>
      </c>
      <c r="R24" s="839">
        <f t="shared" si="2"/>
        <v>400</v>
      </c>
      <c r="S24" s="760"/>
      <c r="T24" s="348"/>
      <c r="U24" s="348"/>
      <c r="V24" s="348"/>
    </row>
    <row r="25" spans="1:22" s="347" customFormat="1" ht="14.25" customHeight="1" x14ac:dyDescent="0.2">
      <c r="A25" s="869"/>
      <c r="B25" s="956">
        <f t="shared" si="0"/>
        <v>16</v>
      </c>
      <c r="C25" s="833" t="s">
        <v>1061</v>
      </c>
      <c r="D25" s="840"/>
      <c r="E25" s="841"/>
      <c r="F25" s="842"/>
      <c r="G25" s="841"/>
      <c r="H25" s="843">
        <v>660</v>
      </c>
      <c r="I25" s="827">
        <v>1542</v>
      </c>
      <c r="J25" s="843"/>
      <c r="K25" s="844"/>
      <c r="L25" s="842"/>
      <c r="M25" s="845"/>
      <c r="N25" s="841"/>
      <c r="O25" s="841"/>
      <c r="P25" s="847">
        <f>'ellátottak önk.'!E27</f>
        <v>0</v>
      </c>
      <c r="Q25" s="846">
        <v>0</v>
      </c>
      <c r="R25" s="839">
        <f t="shared" si="2"/>
        <v>2202</v>
      </c>
      <c r="S25" s="760"/>
      <c r="T25" s="348"/>
      <c r="U25" s="348"/>
      <c r="V25" s="348"/>
    </row>
    <row r="26" spans="1:22" s="347" customFormat="1" ht="15" customHeight="1" x14ac:dyDescent="0.2">
      <c r="A26" s="869"/>
      <c r="B26" s="956">
        <f t="shared" si="0"/>
        <v>17</v>
      </c>
      <c r="C26" s="81" t="s">
        <v>1046</v>
      </c>
      <c r="D26" s="511"/>
      <c r="E26" s="286"/>
      <c r="F26" s="509"/>
      <c r="G26" s="286"/>
      <c r="H26" s="509"/>
      <c r="I26" s="286">
        <v>20</v>
      </c>
      <c r="J26" s="509"/>
      <c r="K26" s="848"/>
      <c r="L26" s="509"/>
      <c r="M26" s="479"/>
      <c r="N26" s="286"/>
      <c r="O26" s="286"/>
      <c r="P26" s="509"/>
      <c r="Q26" s="286"/>
      <c r="R26" s="849">
        <f t="shared" si="1"/>
        <v>20</v>
      </c>
      <c r="S26" s="116"/>
      <c r="T26" s="348"/>
      <c r="U26" s="348"/>
      <c r="V26" s="348"/>
    </row>
    <row r="27" spans="1:22" s="347" customFormat="1" ht="15" customHeight="1" x14ac:dyDescent="0.2">
      <c r="A27" s="869"/>
      <c r="B27" s="956">
        <f t="shared" si="0"/>
        <v>18</v>
      </c>
      <c r="C27" s="81" t="s">
        <v>1045</v>
      </c>
      <c r="D27" s="511"/>
      <c r="E27" s="286"/>
      <c r="F27" s="509"/>
      <c r="G27" s="286"/>
      <c r="H27" s="509"/>
      <c r="I27" s="286">
        <v>120</v>
      </c>
      <c r="J27" s="509"/>
      <c r="K27" s="848"/>
      <c r="L27" s="509"/>
      <c r="M27" s="479"/>
      <c r="N27" s="286"/>
      <c r="O27" s="286"/>
      <c r="P27" s="509"/>
      <c r="Q27" s="286"/>
      <c r="R27" s="849">
        <f t="shared" si="1"/>
        <v>120</v>
      </c>
      <c r="S27" s="348"/>
      <c r="T27" s="348"/>
      <c r="U27" s="348"/>
      <c r="V27" s="348"/>
    </row>
    <row r="28" spans="1:22" s="347" customFormat="1" ht="15" customHeight="1" x14ac:dyDescent="0.2">
      <c r="A28" s="869"/>
      <c r="B28" s="956">
        <f t="shared" si="0"/>
        <v>19</v>
      </c>
      <c r="C28" s="81" t="s">
        <v>1063</v>
      </c>
      <c r="D28" s="511"/>
      <c r="E28" s="286"/>
      <c r="F28" s="509"/>
      <c r="G28" s="286"/>
      <c r="H28" s="509">
        <v>6431</v>
      </c>
      <c r="I28" s="286">
        <v>7330</v>
      </c>
      <c r="J28" s="509"/>
      <c r="K28" s="848"/>
      <c r="L28" s="509"/>
      <c r="M28" s="479"/>
      <c r="N28" s="286"/>
      <c r="O28" s="286"/>
      <c r="P28" s="509"/>
      <c r="Q28" s="286"/>
      <c r="R28" s="849">
        <f>SUM(D28:Q28)</f>
        <v>13761</v>
      </c>
      <c r="S28" s="348"/>
      <c r="T28" s="348"/>
      <c r="U28" s="348"/>
      <c r="V28" s="348"/>
    </row>
    <row r="29" spans="1:22" s="347" customFormat="1" ht="15" customHeight="1" x14ac:dyDescent="0.2">
      <c r="A29" s="869"/>
      <c r="B29" s="956">
        <f t="shared" si="0"/>
        <v>20</v>
      </c>
      <c r="C29" s="81" t="s">
        <v>1069</v>
      </c>
      <c r="D29" s="511"/>
      <c r="E29" s="286"/>
      <c r="F29" s="509"/>
      <c r="G29" s="286"/>
      <c r="H29" s="509"/>
      <c r="I29" s="286">
        <v>1390</v>
      </c>
      <c r="J29" s="509"/>
      <c r="K29" s="848"/>
      <c r="L29" s="509"/>
      <c r="M29" s="479"/>
      <c r="N29" s="286"/>
      <c r="O29" s="286"/>
      <c r="P29" s="509"/>
      <c r="Q29" s="286"/>
      <c r="R29" s="849">
        <f t="shared" si="1"/>
        <v>1390</v>
      </c>
      <c r="S29" s="348"/>
      <c r="T29" s="348"/>
      <c r="U29" s="355"/>
      <c r="V29" s="348"/>
    </row>
    <row r="30" spans="1:22" s="347" customFormat="1" ht="15" customHeight="1" x14ac:dyDescent="0.2">
      <c r="A30" s="869"/>
      <c r="B30" s="956">
        <f t="shared" si="0"/>
        <v>21</v>
      </c>
      <c r="C30" s="81" t="s">
        <v>1047</v>
      </c>
      <c r="D30" s="511"/>
      <c r="E30" s="286"/>
      <c r="F30" s="509"/>
      <c r="G30" s="286"/>
      <c r="H30" s="509">
        <v>288</v>
      </c>
      <c r="I30" s="286">
        <v>13763</v>
      </c>
      <c r="J30" s="509"/>
      <c r="K30" s="848"/>
      <c r="L30" s="509"/>
      <c r="M30" s="479"/>
      <c r="N30" s="286"/>
      <c r="O30" s="286"/>
      <c r="P30" s="509"/>
      <c r="Q30" s="286"/>
      <c r="R30" s="849">
        <f t="shared" si="1"/>
        <v>14051</v>
      </c>
      <c r="S30" s="348"/>
      <c r="T30" s="348"/>
      <c r="U30" s="348"/>
      <c r="V30" s="348"/>
    </row>
    <row r="31" spans="1:22" s="347" customFormat="1" ht="15" customHeight="1" x14ac:dyDescent="0.2">
      <c r="A31" s="869"/>
      <c r="B31" s="956">
        <f t="shared" si="0"/>
        <v>22</v>
      </c>
      <c r="C31" s="81" t="s">
        <v>1048</v>
      </c>
      <c r="D31" s="511">
        <v>38037</v>
      </c>
      <c r="E31" s="286"/>
      <c r="F31" s="509">
        <v>11893</v>
      </c>
      <c r="G31" s="286"/>
      <c r="H31" s="509">
        <v>1220</v>
      </c>
      <c r="I31" s="286"/>
      <c r="J31" s="509"/>
      <c r="K31" s="848"/>
      <c r="L31" s="509"/>
      <c r="M31" s="479"/>
      <c r="N31" s="286"/>
      <c r="O31" s="286"/>
      <c r="P31" s="509"/>
      <c r="Q31" s="286"/>
      <c r="R31" s="849">
        <f>SUM(D31:Q31)</f>
        <v>51150</v>
      </c>
      <c r="S31" s="116"/>
      <c r="T31" s="348"/>
      <c r="U31" s="348"/>
      <c r="V31" s="348"/>
    </row>
    <row r="32" spans="1:22" s="347" customFormat="1" ht="15" customHeight="1" x14ac:dyDescent="0.2">
      <c r="A32" s="869"/>
      <c r="B32" s="956">
        <f t="shared" si="0"/>
        <v>23</v>
      </c>
      <c r="C32" s="81" t="s">
        <v>1055</v>
      </c>
      <c r="D32" s="511">
        <v>26</v>
      </c>
      <c r="E32" s="286"/>
      <c r="F32" s="509">
        <v>22</v>
      </c>
      <c r="G32" s="286"/>
      <c r="H32" s="509">
        <v>3313</v>
      </c>
      <c r="I32" s="286"/>
      <c r="J32" s="509"/>
      <c r="K32" s="848"/>
      <c r="L32" s="509"/>
      <c r="M32" s="479"/>
      <c r="N32" s="286"/>
      <c r="O32" s="286"/>
      <c r="P32" s="509"/>
      <c r="Q32" s="286"/>
      <c r="R32" s="849">
        <f t="shared" si="1"/>
        <v>3361</v>
      </c>
      <c r="S32" s="348"/>
      <c r="T32" s="547"/>
      <c r="U32" s="348"/>
      <c r="V32" s="348"/>
    </row>
    <row r="33" spans="1:22" s="595" customFormat="1" ht="15" customHeight="1" x14ac:dyDescent="0.2">
      <c r="A33" s="870"/>
      <c r="B33" s="956">
        <f t="shared" si="0"/>
        <v>24</v>
      </c>
      <c r="C33" s="850" t="s">
        <v>1052</v>
      </c>
      <c r="D33" s="851"/>
      <c r="E33" s="512">
        <f>2200+1000</f>
        <v>3200</v>
      </c>
      <c r="F33" s="510"/>
      <c r="G33" s="512">
        <f>600+200</f>
        <v>800</v>
      </c>
      <c r="H33" s="510"/>
      <c r="I33" s="512">
        <f>9272+2000</f>
        <v>11272</v>
      </c>
      <c r="J33" s="510"/>
      <c r="K33" s="852"/>
      <c r="L33" s="510"/>
      <c r="M33" s="853"/>
      <c r="N33" s="512"/>
      <c r="O33" s="512"/>
      <c r="P33" s="510"/>
      <c r="Q33" s="512"/>
      <c r="R33" s="854">
        <f t="shared" si="1"/>
        <v>15272</v>
      </c>
      <c r="S33" s="593"/>
      <c r="T33" s="594"/>
      <c r="U33" s="594"/>
      <c r="V33" s="594"/>
    </row>
    <row r="34" spans="1:22" s="347" customFormat="1" ht="15" customHeight="1" x14ac:dyDescent="0.2">
      <c r="A34" s="869"/>
      <c r="B34" s="956">
        <f t="shared" si="0"/>
        <v>25</v>
      </c>
      <c r="C34" s="81" t="s">
        <v>1058</v>
      </c>
      <c r="D34" s="511"/>
      <c r="E34" s="479"/>
      <c r="F34" s="286"/>
      <c r="G34" s="286"/>
      <c r="H34" s="509">
        <f>20530-5939</f>
        <v>14591</v>
      </c>
      <c r="I34" s="286"/>
      <c r="J34" s="509"/>
      <c r="K34" s="848"/>
      <c r="L34" s="509"/>
      <c r="M34" s="479"/>
      <c r="N34" s="286"/>
      <c r="O34" s="286"/>
      <c r="P34" s="509"/>
      <c r="Q34" s="286"/>
      <c r="R34" s="849">
        <f t="shared" ref="R34:R40" si="3">SUM(D34:Q34)</f>
        <v>14591</v>
      </c>
      <c r="S34" s="571"/>
      <c r="T34" s="348"/>
      <c r="U34" s="348"/>
      <c r="V34" s="348"/>
    </row>
    <row r="35" spans="1:22" s="347" customFormat="1" ht="15" customHeight="1" x14ac:dyDescent="0.2">
      <c r="A35" s="869"/>
      <c r="B35" s="956">
        <f t="shared" si="0"/>
        <v>26</v>
      </c>
      <c r="C35" s="81" t="s">
        <v>1082</v>
      </c>
      <c r="D35" s="511"/>
      <c r="E35" s="286"/>
      <c r="F35" s="509"/>
      <c r="G35" s="286"/>
      <c r="H35" s="509"/>
      <c r="I35" s="286"/>
      <c r="J35" s="509"/>
      <c r="K35" s="848"/>
      <c r="L35" s="509"/>
      <c r="M35" s="479"/>
      <c r="N35" s="286"/>
      <c r="O35" s="286"/>
      <c r="P35" s="509"/>
      <c r="Q35" s="286"/>
      <c r="R35" s="849">
        <v>0</v>
      </c>
      <c r="S35" s="571"/>
      <c r="T35" s="348"/>
      <c r="U35" s="348"/>
      <c r="V35" s="348"/>
    </row>
    <row r="36" spans="1:22" s="347" customFormat="1" ht="15" customHeight="1" x14ac:dyDescent="0.2">
      <c r="A36" s="869"/>
      <c r="B36" s="956">
        <f t="shared" si="0"/>
        <v>27</v>
      </c>
      <c r="C36" s="81" t="s">
        <v>1083</v>
      </c>
      <c r="D36" s="511"/>
      <c r="E36" s="286"/>
      <c r="F36" s="509"/>
      <c r="G36" s="286"/>
      <c r="H36" s="509"/>
      <c r="I36" s="286"/>
      <c r="J36" s="509"/>
      <c r="K36" s="848"/>
      <c r="L36" s="509"/>
      <c r="M36" s="479"/>
      <c r="N36" s="286"/>
      <c r="O36" s="286"/>
      <c r="P36" s="509"/>
      <c r="Q36" s="286"/>
      <c r="R36" s="849">
        <v>0</v>
      </c>
      <c r="S36" s="571"/>
      <c r="T36" s="348"/>
      <c r="U36" s="348"/>
      <c r="V36" s="348"/>
    </row>
    <row r="37" spans="1:22" s="347" customFormat="1" ht="15" customHeight="1" x14ac:dyDescent="0.2">
      <c r="A37" s="869"/>
      <c r="B37" s="956">
        <f t="shared" si="0"/>
        <v>28</v>
      </c>
      <c r="C37" s="81" t="s">
        <v>1054</v>
      </c>
      <c r="D37" s="511"/>
      <c r="E37" s="286"/>
      <c r="F37" s="509"/>
      <c r="G37" s="286"/>
      <c r="H37" s="509">
        <v>6833</v>
      </c>
      <c r="I37" s="286"/>
      <c r="J37" s="509"/>
      <c r="K37" s="848"/>
      <c r="L37" s="509"/>
      <c r="M37" s="479"/>
      <c r="N37" s="286"/>
      <c r="O37" s="286"/>
      <c r="P37" s="509"/>
      <c r="Q37" s="286"/>
      <c r="R37" s="849">
        <f t="shared" si="3"/>
        <v>6833</v>
      </c>
      <c r="S37" s="571"/>
      <c r="T37" s="348"/>
      <c r="U37" s="348"/>
      <c r="V37" s="348"/>
    </row>
    <row r="38" spans="1:22" s="347" customFormat="1" ht="15" customHeight="1" x14ac:dyDescent="0.2">
      <c r="A38" s="869"/>
      <c r="B38" s="956">
        <f t="shared" si="0"/>
        <v>29</v>
      </c>
      <c r="C38" s="81" t="s">
        <v>1059</v>
      </c>
      <c r="D38" s="511"/>
      <c r="E38" s="286"/>
      <c r="F38" s="509"/>
      <c r="G38" s="286"/>
      <c r="H38" s="509">
        <f>55738+2334-250</f>
        <v>57822</v>
      </c>
      <c r="I38" s="286"/>
      <c r="J38" s="509"/>
      <c r="K38" s="848"/>
      <c r="L38" s="509"/>
      <c r="M38" s="479"/>
      <c r="N38" s="286"/>
      <c r="O38" s="286"/>
      <c r="P38" s="509"/>
      <c r="Q38" s="286"/>
      <c r="R38" s="849">
        <f t="shared" si="3"/>
        <v>57822</v>
      </c>
      <c r="S38" s="571"/>
      <c r="T38" s="348"/>
      <c r="U38" s="348"/>
      <c r="V38" s="348"/>
    </row>
    <row r="39" spans="1:22" s="347" customFormat="1" ht="24" customHeight="1" x14ac:dyDescent="0.2">
      <c r="A39" s="869"/>
      <c r="B39" s="956">
        <f t="shared" si="0"/>
        <v>30</v>
      </c>
      <c r="C39" s="833" t="s">
        <v>1181</v>
      </c>
      <c r="D39" s="1023"/>
      <c r="E39" s="1024"/>
      <c r="F39" s="1025"/>
      <c r="G39" s="1024"/>
      <c r="H39" s="1025">
        <v>5000</v>
      </c>
      <c r="I39" s="1024"/>
      <c r="J39" s="1025"/>
      <c r="K39" s="1026"/>
      <c r="L39" s="1025"/>
      <c r="M39" s="1027"/>
      <c r="N39" s="1024"/>
      <c r="O39" s="1024"/>
      <c r="P39" s="1025"/>
      <c r="Q39" s="1024"/>
      <c r="R39" s="1083">
        <f t="shared" si="3"/>
        <v>5000</v>
      </c>
      <c r="S39" s="571"/>
      <c r="T39" s="348"/>
      <c r="U39" s="348"/>
      <c r="V39" s="348"/>
    </row>
    <row r="40" spans="1:22" s="347" customFormat="1" ht="24" customHeight="1" x14ac:dyDescent="0.2">
      <c r="A40" s="869"/>
      <c r="B40" s="956">
        <f t="shared" si="0"/>
        <v>31</v>
      </c>
      <c r="C40" s="855" t="s">
        <v>1182</v>
      </c>
      <c r="D40" s="863"/>
      <c r="E40" s="827"/>
      <c r="F40" s="856"/>
      <c r="G40" s="827"/>
      <c r="H40" s="856">
        <v>63223</v>
      </c>
      <c r="I40" s="827"/>
      <c r="J40" s="856"/>
      <c r="K40" s="857"/>
      <c r="L40" s="856"/>
      <c r="M40" s="828"/>
      <c r="N40" s="827"/>
      <c r="O40" s="827"/>
      <c r="P40" s="856"/>
      <c r="Q40" s="827"/>
      <c r="R40" s="839">
        <f t="shared" si="3"/>
        <v>63223</v>
      </c>
      <c r="S40" s="571"/>
      <c r="T40" s="348"/>
      <c r="U40" s="348"/>
      <c r="V40" s="348"/>
    </row>
    <row r="41" spans="1:22" s="347" customFormat="1" ht="15" customHeight="1" x14ac:dyDescent="0.2">
      <c r="A41" s="869"/>
      <c r="B41" s="956">
        <f t="shared" si="0"/>
        <v>32</v>
      </c>
      <c r="C41" s="81" t="s">
        <v>1053</v>
      </c>
      <c r="D41" s="511"/>
      <c r="E41" s="286"/>
      <c r="F41" s="509"/>
      <c r="G41" s="286"/>
      <c r="H41" s="509"/>
      <c r="I41" s="286">
        <v>14168</v>
      </c>
      <c r="J41" s="509"/>
      <c r="K41" s="848"/>
      <c r="L41" s="509"/>
      <c r="M41" s="479"/>
      <c r="N41" s="286"/>
      <c r="O41" s="286"/>
      <c r="P41" s="509"/>
      <c r="Q41" s="286"/>
      <c r="R41" s="849">
        <f t="shared" si="1"/>
        <v>14168</v>
      </c>
      <c r="S41" s="571"/>
      <c r="T41" s="348"/>
      <c r="U41" s="348"/>
      <c r="V41" s="348"/>
    </row>
    <row r="42" spans="1:22" s="347" customFormat="1" ht="17.25" customHeight="1" x14ac:dyDescent="0.2">
      <c r="A42" s="869"/>
      <c r="B42" s="956">
        <f t="shared" si="0"/>
        <v>33</v>
      </c>
      <c r="C42" s="855" t="s">
        <v>1060</v>
      </c>
      <c r="D42" s="511"/>
      <c r="E42" s="827">
        <f>1600+200</f>
        <v>1800</v>
      </c>
      <c r="F42" s="856"/>
      <c r="G42" s="827">
        <v>432</v>
      </c>
      <c r="H42" s="856">
        <v>350</v>
      </c>
      <c r="I42" s="827"/>
      <c r="J42" s="856"/>
      <c r="K42" s="857"/>
      <c r="L42" s="856"/>
      <c r="M42" s="828"/>
      <c r="N42" s="827"/>
      <c r="O42" s="827"/>
      <c r="P42" s="856"/>
      <c r="Q42" s="827"/>
      <c r="R42" s="839">
        <f t="shared" ref="R42:R47" si="4">SUM(D42:Q42)</f>
        <v>2582</v>
      </c>
      <c r="S42" s="571"/>
      <c r="T42" s="355"/>
      <c r="U42" s="348"/>
      <c r="V42" s="348"/>
    </row>
    <row r="43" spans="1:22" s="347" customFormat="1" ht="15" customHeight="1" x14ac:dyDescent="0.2">
      <c r="A43" s="869"/>
      <c r="B43" s="956">
        <f t="shared" si="0"/>
        <v>34</v>
      </c>
      <c r="C43" s="81" t="s">
        <v>1049</v>
      </c>
      <c r="D43" s="511"/>
      <c r="E43" s="286">
        <v>10000</v>
      </c>
      <c r="F43" s="509"/>
      <c r="G43" s="286">
        <v>5000</v>
      </c>
      <c r="H43" s="509"/>
      <c r="I43" s="286">
        <v>15216</v>
      </c>
      <c r="J43" s="509"/>
      <c r="K43" s="848"/>
      <c r="L43" s="509"/>
      <c r="M43" s="479"/>
      <c r="N43" s="286"/>
      <c r="O43" s="286"/>
      <c r="P43" s="509"/>
      <c r="Q43" s="286"/>
      <c r="R43" s="849">
        <f t="shared" si="4"/>
        <v>30216</v>
      </c>
      <c r="S43" s="571"/>
      <c r="T43" s="348"/>
      <c r="U43" s="348"/>
      <c r="V43" s="348"/>
    </row>
    <row r="44" spans="1:22" s="347" customFormat="1" ht="15" customHeight="1" x14ac:dyDescent="0.2">
      <c r="A44" s="869"/>
      <c r="B44" s="956">
        <f t="shared" si="0"/>
        <v>35</v>
      </c>
      <c r="C44" s="81" t="s">
        <v>1050</v>
      </c>
      <c r="D44" s="511"/>
      <c r="E44" s="286"/>
      <c r="F44" s="509"/>
      <c r="G44" s="286"/>
      <c r="H44" s="509"/>
      <c r="I44" s="286">
        <v>3000</v>
      </c>
      <c r="J44" s="509"/>
      <c r="K44" s="848"/>
      <c r="L44" s="509"/>
      <c r="M44" s="479"/>
      <c r="N44" s="286"/>
      <c r="O44" s="286"/>
      <c r="P44" s="509"/>
      <c r="Q44" s="286"/>
      <c r="R44" s="849">
        <f t="shared" si="4"/>
        <v>3000</v>
      </c>
      <c r="S44" s="571"/>
      <c r="T44" s="348"/>
      <c r="U44" s="348"/>
      <c r="V44" s="348"/>
    </row>
    <row r="45" spans="1:22" s="347" customFormat="1" ht="15" customHeight="1" x14ac:dyDescent="0.2">
      <c r="A45" s="869"/>
      <c r="B45" s="956">
        <f t="shared" si="0"/>
        <v>36</v>
      </c>
      <c r="C45" s="81" t="s">
        <v>1172</v>
      </c>
      <c r="D45" s="511"/>
      <c r="E45" s="286"/>
      <c r="F45" s="509"/>
      <c r="G45" s="286"/>
      <c r="H45" s="509">
        <v>140</v>
      </c>
      <c r="I45" s="286">
        <v>8427</v>
      </c>
      <c r="J45" s="509"/>
      <c r="K45" s="848"/>
      <c r="L45" s="509"/>
      <c r="M45" s="479"/>
      <c r="N45" s="286"/>
      <c r="O45" s="286"/>
      <c r="P45" s="509"/>
      <c r="Q45" s="286"/>
      <c r="R45" s="849">
        <f t="shared" si="4"/>
        <v>8567</v>
      </c>
      <c r="S45" s="571"/>
      <c r="T45" s="355"/>
      <c r="U45" s="348"/>
      <c r="V45" s="348"/>
    </row>
    <row r="46" spans="1:22" s="347" customFormat="1" ht="25.5" customHeight="1" x14ac:dyDescent="0.2">
      <c r="A46" s="869"/>
      <c r="B46" s="956">
        <f t="shared" si="0"/>
        <v>37</v>
      </c>
      <c r="C46" s="855" t="s">
        <v>1173</v>
      </c>
      <c r="D46" s="863"/>
      <c r="E46" s="827"/>
      <c r="F46" s="856"/>
      <c r="G46" s="827"/>
      <c r="H46" s="856">
        <v>10500</v>
      </c>
      <c r="I46" s="827"/>
      <c r="J46" s="856"/>
      <c r="K46" s="857"/>
      <c r="L46" s="856"/>
      <c r="M46" s="828"/>
      <c r="N46" s="827"/>
      <c r="O46" s="827"/>
      <c r="P46" s="856"/>
      <c r="Q46" s="827"/>
      <c r="R46" s="839">
        <f t="shared" si="4"/>
        <v>10500</v>
      </c>
      <c r="S46" s="571"/>
      <c r="T46" s="355"/>
      <c r="U46" s="348"/>
      <c r="V46" s="348"/>
    </row>
    <row r="47" spans="1:22" s="347" customFormat="1" ht="15" customHeight="1" x14ac:dyDescent="0.2">
      <c r="A47" s="869"/>
      <c r="B47" s="956">
        <f t="shared" si="0"/>
        <v>38</v>
      </c>
      <c r="C47" s="833" t="s">
        <v>1056</v>
      </c>
      <c r="D47" s="858">
        <v>8796</v>
      </c>
      <c r="E47" s="859">
        <v>645</v>
      </c>
      <c r="F47" s="843">
        <v>2437</v>
      </c>
      <c r="G47" s="286">
        <v>154</v>
      </c>
      <c r="H47" s="843">
        <f>15897+548</f>
        <v>16445</v>
      </c>
      <c r="I47" s="859"/>
      <c r="J47" s="843"/>
      <c r="K47" s="844"/>
      <c r="L47" s="842"/>
      <c r="M47" s="845"/>
      <c r="N47" s="841"/>
      <c r="O47" s="841"/>
      <c r="P47" s="842"/>
      <c r="Q47" s="841"/>
      <c r="R47" s="849">
        <f t="shared" si="4"/>
        <v>28477</v>
      </c>
      <c r="S47" s="571"/>
      <c r="T47" s="348"/>
      <c r="U47" s="348"/>
      <c r="V47" s="348"/>
    </row>
    <row r="48" spans="1:22" s="347" customFormat="1" ht="15" customHeight="1" x14ac:dyDescent="0.2">
      <c r="A48" s="869"/>
      <c r="B48" s="956">
        <f t="shared" si="0"/>
        <v>39</v>
      </c>
      <c r="C48" s="81" t="s">
        <v>1051</v>
      </c>
      <c r="D48" s="511"/>
      <c r="E48" s="286">
        <f>12414+50+1482+50+2000</f>
        <v>15996</v>
      </c>
      <c r="F48" s="509"/>
      <c r="G48" s="286">
        <f>E48*0.42</f>
        <v>6718.32</v>
      </c>
      <c r="H48" s="509"/>
      <c r="I48" s="286">
        <v>3594</v>
      </c>
      <c r="J48" s="509"/>
      <c r="K48" s="848"/>
      <c r="L48" s="509"/>
      <c r="M48" s="479"/>
      <c r="N48" s="286"/>
      <c r="O48" s="286"/>
      <c r="P48" s="509"/>
      <c r="Q48" s="286"/>
      <c r="R48" s="849">
        <f t="shared" si="1"/>
        <v>26308.32</v>
      </c>
      <c r="S48" s="571"/>
      <c r="T48" s="355"/>
      <c r="U48" s="348"/>
      <c r="V48" s="348"/>
    </row>
    <row r="49" spans="1:22" s="347" customFormat="1" ht="15" customHeight="1" x14ac:dyDescent="0.2">
      <c r="A49" s="869"/>
      <c r="B49" s="956">
        <f t="shared" si="0"/>
        <v>40</v>
      </c>
      <c r="C49" s="81" t="s">
        <v>1144</v>
      </c>
      <c r="D49" s="988"/>
      <c r="E49" s="286">
        <v>1807</v>
      </c>
      <c r="F49" s="509"/>
      <c r="G49" s="479">
        <v>398</v>
      </c>
      <c r="H49" s="286"/>
      <c r="I49" s="286">
        <v>13167</v>
      </c>
      <c r="J49" s="990"/>
      <c r="K49" s="991"/>
      <c r="L49" s="989"/>
      <c r="M49" s="991"/>
      <c r="N49" s="989"/>
      <c r="O49" s="991"/>
      <c r="P49" s="989"/>
      <c r="Q49" s="989"/>
      <c r="R49" s="849">
        <f>SUM(D49:Q49)</f>
        <v>15372</v>
      </c>
      <c r="S49" s="571"/>
      <c r="T49" s="348"/>
      <c r="U49" s="348"/>
      <c r="V49" s="348"/>
    </row>
    <row r="50" spans="1:22" s="347" customFormat="1" ht="15" customHeight="1" x14ac:dyDescent="0.2">
      <c r="A50" s="869"/>
      <c r="B50" s="956">
        <f t="shared" si="0"/>
        <v>41</v>
      </c>
      <c r="C50" s="81" t="s">
        <v>1042</v>
      </c>
      <c r="D50" s="511"/>
      <c r="E50" s="479"/>
      <c r="F50" s="286"/>
      <c r="G50" s="286"/>
      <c r="H50" s="509"/>
      <c r="I50" s="286"/>
      <c r="J50" s="509">
        <f>mc.pe.átad!D22</f>
        <v>5750</v>
      </c>
      <c r="K50" s="479">
        <f>mc.pe.átad!E57</f>
        <v>45623</v>
      </c>
      <c r="L50" s="298">
        <f>mc.pe.átad!D58</f>
        <v>116685</v>
      </c>
      <c r="M50" s="479">
        <f>mc.pe.átad!E58</f>
        <v>170408</v>
      </c>
      <c r="N50" s="286"/>
      <c r="O50" s="286"/>
      <c r="P50" s="509"/>
      <c r="Q50" s="286"/>
      <c r="R50" s="849">
        <f t="shared" si="1"/>
        <v>338466</v>
      </c>
      <c r="S50" s="348"/>
      <c r="T50" s="348"/>
      <c r="U50" s="348"/>
      <c r="V50" s="348"/>
    </row>
    <row r="51" spans="1:22" s="347" customFormat="1" ht="15" customHeight="1" x14ac:dyDescent="0.2">
      <c r="A51" s="869"/>
      <c r="B51" s="956">
        <f t="shared" si="0"/>
        <v>42</v>
      </c>
      <c r="C51" s="81" t="s">
        <v>1041</v>
      </c>
      <c r="D51" s="511"/>
      <c r="E51" s="479"/>
      <c r="F51" s="286"/>
      <c r="G51" s="479"/>
      <c r="H51" s="286">
        <v>3675</v>
      </c>
      <c r="I51" s="479"/>
      <c r="J51" s="286"/>
      <c r="K51" s="479"/>
      <c r="L51" s="298"/>
      <c r="M51" s="479"/>
      <c r="N51" s="286"/>
      <c r="O51" s="479"/>
      <c r="P51" s="286"/>
      <c r="Q51" s="479"/>
      <c r="R51" s="849">
        <f t="shared" si="1"/>
        <v>3675</v>
      </c>
      <c r="S51" s="116"/>
      <c r="T51" s="348"/>
      <c r="U51" s="348"/>
      <c r="V51" s="348"/>
    </row>
    <row r="52" spans="1:22" s="347" customFormat="1" ht="15" customHeight="1" x14ac:dyDescent="0.2">
      <c r="A52" s="869"/>
      <c r="B52" s="956">
        <f t="shared" si="0"/>
        <v>43</v>
      </c>
      <c r="C52" s="862" t="s">
        <v>1064</v>
      </c>
      <c r="D52" s="863"/>
      <c r="E52" s="828"/>
      <c r="F52" s="827"/>
      <c r="G52" s="828"/>
      <c r="H52" s="827"/>
      <c r="I52" s="828">
        <f>2515+1134</f>
        <v>3649</v>
      </c>
      <c r="J52" s="827"/>
      <c r="K52" s="828"/>
      <c r="L52" s="829"/>
      <c r="M52" s="828"/>
      <c r="N52" s="827"/>
      <c r="O52" s="828"/>
      <c r="P52" s="827"/>
      <c r="Q52" s="828"/>
      <c r="R52" s="839">
        <f t="shared" si="1"/>
        <v>3649</v>
      </c>
      <c r="S52" s="116"/>
      <c r="T52" s="348"/>
      <c r="U52" s="348"/>
      <c r="V52" s="348"/>
    </row>
    <row r="53" spans="1:22" s="347" customFormat="1" ht="15" customHeight="1" x14ac:dyDescent="0.2">
      <c r="A53" s="869"/>
      <c r="B53" s="956">
        <f t="shared" si="0"/>
        <v>44</v>
      </c>
      <c r="C53" s="862" t="s">
        <v>1065</v>
      </c>
      <c r="D53" s="863"/>
      <c r="E53" s="828"/>
      <c r="F53" s="827"/>
      <c r="G53" s="828"/>
      <c r="H53" s="827"/>
      <c r="I53" s="828"/>
      <c r="J53" s="827"/>
      <c r="K53" s="828"/>
      <c r="L53" s="829"/>
      <c r="M53" s="828"/>
      <c r="N53" s="827">
        <v>367</v>
      </c>
      <c r="O53" s="828"/>
      <c r="P53" s="827"/>
      <c r="Q53" s="828"/>
      <c r="R53" s="839">
        <f t="shared" si="1"/>
        <v>367</v>
      </c>
      <c r="S53" s="116"/>
      <c r="T53" s="348"/>
      <c r="U53" s="348"/>
      <c r="V53" s="348"/>
    </row>
    <row r="54" spans="1:22" s="347" customFormat="1" ht="15" customHeight="1" x14ac:dyDescent="0.2">
      <c r="A54" s="869"/>
      <c r="B54" s="956">
        <f t="shared" si="0"/>
        <v>45</v>
      </c>
      <c r="C54" s="862" t="s">
        <v>1066</v>
      </c>
      <c r="D54" s="863"/>
      <c r="E54" s="828"/>
      <c r="F54" s="827"/>
      <c r="G54" s="828"/>
      <c r="H54" s="827">
        <v>295</v>
      </c>
      <c r="I54" s="828"/>
      <c r="J54" s="827"/>
      <c r="K54" s="828"/>
      <c r="L54" s="829"/>
      <c r="M54" s="828"/>
      <c r="N54" s="827"/>
      <c r="O54" s="828"/>
      <c r="P54" s="827"/>
      <c r="Q54" s="828"/>
      <c r="R54" s="839">
        <f t="shared" si="1"/>
        <v>295</v>
      </c>
      <c r="S54" s="116"/>
      <c r="T54" s="348"/>
      <c r="U54" s="348"/>
      <c r="V54" s="348"/>
    </row>
    <row r="55" spans="1:22" s="347" customFormat="1" ht="15" customHeight="1" x14ac:dyDescent="0.2">
      <c r="A55" s="869"/>
      <c r="B55" s="956">
        <f t="shared" si="0"/>
        <v>46</v>
      </c>
      <c r="C55" s="862" t="s">
        <v>1067</v>
      </c>
      <c r="D55" s="863"/>
      <c r="E55" s="828">
        <f>301+64</f>
        <v>365</v>
      </c>
      <c r="F55" s="827"/>
      <c r="G55" s="828">
        <f>28+13</f>
        <v>41</v>
      </c>
      <c r="H55" s="827"/>
      <c r="I55" s="828">
        <f>1782+3</f>
        <v>1785</v>
      </c>
      <c r="J55" s="827"/>
      <c r="K55" s="828"/>
      <c r="L55" s="829"/>
      <c r="M55" s="828"/>
      <c r="N55" s="827"/>
      <c r="O55" s="828"/>
      <c r="P55" s="827"/>
      <c r="Q55" s="828"/>
      <c r="R55" s="839">
        <f t="shared" si="1"/>
        <v>2191</v>
      </c>
      <c r="S55" s="116"/>
      <c r="T55" s="348"/>
      <c r="U55" s="348"/>
      <c r="V55" s="348"/>
    </row>
    <row r="56" spans="1:22" s="347" customFormat="1" ht="15" customHeight="1" x14ac:dyDescent="0.2">
      <c r="A56" s="869"/>
      <c r="B56" s="956">
        <f t="shared" si="0"/>
        <v>47</v>
      </c>
      <c r="C56" s="862" t="s">
        <v>1068</v>
      </c>
      <c r="D56" s="863">
        <v>4766</v>
      </c>
      <c r="E56" s="828"/>
      <c r="F56" s="827">
        <v>1748</v>
      </c>
      <c r="G56" s="828"/>
      <c r="H56" s="827">
        <f>13917-1221</f>
        <v>12696</v>
      </c>
      <c r="I56" s="828"/>
      <c r="J56" s="827"/>
      <c r="K56" s="828"/>
      <c r="L56" s="829"/>
      <c r="M56" s="828"/>
      <c r="N56" s="827"/>
      <c r="O56" s="828"/>
      <c r="P56" s="827"/>
      <c r="Q56" s="828"/>
      <c r="R56" s="839">
        <f t="shared" si="1"/>
        <v>19210</v>
      </c>
      <c r="S56" s="116"/>
      <c r="T56" s="348"/>
      <c r="U56" s="348"/>
      <c r="V56" s="348"/>
    </row>
    <row r="57" spans="1:22" s="347" customFormat="1" ht="15" customHeight="1" x14ac:dyDescent="0.2">
      <c r="A57" s="869"/>
      <c r="B57" s="956">
        <f t="shared" si="0"/>
        <v>48</v>
      </c>
      <c r="C57" s="862" t="s">
        <v>1070</v>
      </c>
      <c r="D57" s="863"/>
      <c r="E57" s="828"/>
      <c r="F57" s="827"/>
      <c r="G57" s="828"/>
      <c r="H57" s="827">
        <v>15347</v>
      </c>
      <c r="I57" s="828"/>
      <c r="J57" s="827"/>
      <c r="K57" s="828"/>
      <c r="L57" s="829"/>
      <c r="M57" s="828"/>
      <c r="N57" s="827"/>
      <c r="O57" s="828"/>
      <c r="P57" s="827"/>
      <c r="Q57" s="828"/>
      <c r="R57" s="839">
        <f t="shared" si="1"/>
        <v>15347</v>
      </c>
      <c r="S57" s="116"/>
      <c r="T57" s="348"/>
      <c r="U57" s="348"/>
      <c r="V57" s="348"/>
    </row>
    <row r="58" spans="1:22" s="347" customFormat="1" ht="15" customHeight="1" x14ac:dyDescent="0.2">
      <c r="A58" s="869"/>
      <c r="B58" s="956">
        <f t="shared" si="0"/>
        <v>49</v>
      </c>
      <c r="C58" s="862" t="s">
        <v>1071</v>
      </c>
      <c r="D58" s="863">
        <v>10</v>
      </c>
      <c r="E58" s="828"/>
      <c r="F58" s="827"/>
      <c r="G58" s="828"/>
      <c r="H58" s="827">
        <v>15357</v>
      </c>
      <c r="I58" s="828"/>
      <c r="J58" s="827"/>
      <c r="K58" s="828"/>
      <c r="L58" s="829"/>
      <c r="M58" s="828"/>
      <c r="N58" s="827"/>
      <c r="O58" s="828"/>
      <c r="P58" s="827"/>
      <c r="Q58" s="828"/>
      <c r="R58" s="839">
        <f t="shared" si="1"/>
        <v>15367</v>
      </c>
      <c r="S58" s="116"/>
      <c r="T58" s="348"/>
      <c r="U58" s="348"/>
      <c r="V58" s="348"/>
    </row>
    <row r="59" spans="1:22" s="347" customFormat="1" ht="15" customHeight="1" x14ac:dyDescent="0.2">
      <c r="A59" s="869"/>
      <c r="B59" s="956">
        <f t="shared" si="0"/>
        <v>50</v>
      </c>
      <c r="C59" s="862" t="s">
        <v>1072</v>
      </c>
      <c r="D59" s="863"/>
      <c r="E59" s="828">
        <f>14017-50+2+59</f>
        <v>14028</v>
      </c>
      <c r="F59" s="827"/>
      <c r="G59" s="828">
        <f>2843-22+1+11</f>
        <v>2833</v>
      </c>
      <c r="H59" s="827">
        <v>17522</v>
      </c>
      <c r="I59" s="828">
        <v>76287</v>
      </c>
      <c r="J59" s="827"/>
      <c r="K59" s="828"/>
      <c r="L59" s="829"/>
      <c r="M59" s="828"/>
      <c r="N59" s="827">
        <v>84</v>
      </c>
      <c r="O59" s="828"/>
      <c r="P59" s="827"/>
      <c r="Q59" s="828"/>
      <c r="R59" s="839">
        <f t="shared" si="1"/>
        <v>110754</v>
      </c>
      <c r="S59" s="116"/>
      <c r="T59" s="348"/>
      <c r="U59" s="348"/>
      <c r="V59" s="348"/>
    </row>
    <row r="60" spans="1:22" s="347" customFormat="1" ht="21.75" customHeight="1" x14ac:dyDescent="0.2">
      <c r="A60" s="869"/>
      <c r="B60" s="956">
        <f t="shared" si="0"/>
        <v>51</v>
      </c>
      <c r="C60" s="862" t="s">
        <v>1271</v>
      </c>
      <c r="D60" s="863"/>
      <c r="E60" s="828"/>
      <c r="F60" s="827"/>
      <c r="G60" s="828"/>
      <c r="H60" s="827">
        <v>294</v>
      </c>
      <c r="I60" s="828"/>
      <c r="J60" s="827"/>
      <c r="K60" s="828"/>
      <c r="L60" s="829"/>
      <c r="M60" s="828"/>
      <c r="N60" s="827"/>
      <c r="O60" s="828"/>
      <c r="P60" s="827"/>
      <c r="Q60" s="828"/>
      <c r="R60" s="839">
        <f t="shared" si="1"/>
        <v>294</v>
      </c>
      <c r="S60" s="116"/>
      <c r="T60" s="348"/>
      <c r="U60" s="348"/>
      <c r="V60" s="348"/>
    </row>
    <row r="61" spans="1:22" s="347" customFormat="1" ht="15" customHeight="1" x14ac:dyDescent="0.2">
      <c r="A61" s="869"/>
      <c r="B61" s="956">
        <f t="shared" si="0"/>
        <v>52</v>
      </c>
      <c r="C61" s="862" t="s">
        <v>1272</v>
      </c>
      <c r="D61" s="863"/>
      <c r="E61" s="828"/>
      <c r="F61" s="827"/>
      <c r="G61" s="828"/>
      <c r="H61" s="827"/>
      <c r="I61" s="828">
        <v>2</v>
      </c>
      <c r="J61" s="827"/>
      <c r="K61" s="828"/>
      <c r="L61" s="829"/>
      <c r="M61" s="828"/>
      <c r="N61" s="827"/>
      <c r="O61" s="828"/>
      <c r="P61" s="827"/>
      <c r="Q61" s="828"/>
      <c r="R61" s="839">
        <f t="shared" si="1"/>
        <v>2</v>
      </c>
      <c r="S61" s="116"/>
      <c r="T61" s="348"/>
      <c r="U61" s="348"/>
      <c r="V61" s="348"/>
    </row>
    <row r="62" spans="1:22" s="347" customFormat="1" ht="15" customHeight="1" thickBot="1" x14ac:dyDescent="0.25">
      <c r="A62" s="869"/>
      <c r="B62" s="956">
        <f t="shared" si="0"/>
        <v>53</v>
      </c>
      <c r="C62" s="862" t="s">
        <v>1273</v>
      </c>
      <c r="D62" s="863"/>
      <c r="E62" s="828"/>
      <c r="F62" s="827"/>
      <c r="G62" s="828"/>
      <c r="H62" s="827"/>
      <c r="I62" s="828">
        <v>2450</v>
      </c>
      <c r="J62" s="827"/>
      <c r="K62" s="828"/>
      <c r="L62" s="829"/>
      <c r="M62" s="828"/>
      <c r="N62" s="827"/>
      <c r="O62" s="828"/>
      <c r="P62" s="827"/>
      <c r="Q62" s="828"/>
      <c r="R62" s="839">
        <f t="shared" si="1"/>
        <v>2450</v>
      </c>
      <c r="S62" s="116"/>
      <c r="T62" s="348"/>
      <c r="U62" s="348"/>
      <c r="V62" s="348"/>
    </row>
    <row r="63" spans="1:22" ht="15.6" customHeight="1" thickBot="1" x14ac:dyDescent="0.25">
      <c r="B63" s="1291" t="s">
        <v>632</v>
      </c>
      <c r="C63" s="1292"/>
      <c r="D63" s="312">
        <f>SUM(D10:D62)</f>
        <v>60378</v>
      </c>
      <c r="E63" s="312">
        <f t="shared" ref="E63:R63" si="5">SUM(E10:E62)</f>
        <v>47841</v>
      </c>
      <c r="F63" s="312">
        <f t="shared" si="5"/>
        <v>18106</v>
      </c>
      <c r="G63" s="312">
        <f t="shared" si="5"/>
        <v>16376.32</v>
      </c>
      <c r="H63" s="312">
        <f t="shared" si="5"/>
        <v>280679</v>
      </c>
      <c r="I63" s="312">
        <f t="shared" si="5"/>
        <v>182582</v>
      </c>
      <c r="J63" s="312">
        <f t="shared" si="5"/>
        <v>5750</v>
      </c>
      <c r="K63" s="312">
        <f t="shared" si="5"/>
        <v>45623</v>
      </c>
      <c r="L63" s="312">
        <f t="shared" si="5"/>
        <v>116685</v>
      </c>
      <c r="M63" s="312">
        <f t="shared" si="5"/>
        <v>170408</v>
      </c>
      <c r="N63" s="312">
        <f t="shared" si="5"/>
        <v>451</v>
      </c>
      <c r="O63" s="312">
        <f t="shared" si="5"/>
        <v>0</v>
      </c>
      <c r="P63" s="312">
        <f t="shared" si="5"/>
        <v>2800</v>
      </c>
      <c r="Q63" s="312">
        <f t="shared" si="5"/>
        <v>10950</v>
      </c>
      <c r="R63" s="312">
        <f t="shared" si="5"/>
        <v>958629.32000000007</v>
      </c>
      <c r="S63" s="118"/>
    </row>
    <row r="64" spans="1:22" x14ac:dyDescent="0.2">
      <c r="S64" s="358"/>
    </row>
    <row r="68" spans="12:19" x14ac:dyDescent="0.2">
      <c r="S68" s="355"/>
    </row>
    <row r="69" spans="12:19" x14ac:dyDescent="0.2">
      <c r="S69" s="355"/>
    </row>
    <row r="73" spans="12:19" x14ac:dyDescent="0.2">
      <c r="L73" s="354"/>
    </row>
  </sheetData>
  <sheetProtection selectLockedCells="1" selectUnlockedCells="1"/>
  <mergeCells count="23"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  <mergeCell ref="C7:C9"/>
    <mergeCell ref="B63:C63"/>
    <mergeCell ref="N5:O5"/>
    <mergeCell ref="J5:K5"/>
    <mergeCell ref="F7:G8"/>
    <mergeCell ref="L7:M8"/>
    <mergeCell ref="F5:G5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75" firstPageNumber="0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S43"/>
  <sheetViews>
    <sheetView workbookViewId="0">
      <selection activeCell="O31" sqref="O31"/>
    </sheetView>
  </sheetViews>
  <sheetFormatPr defaultColWidth="9.140625" defaultRowHeight="18" customHeight="1" x14ac:dyDescent="0.25"/>
  <cols>
    <col min="1" max="1" width="6.140625" style="32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302" hidden="1" customWidth="1"/>
    <col min="10" max="10" width="9.42578125" style="32" hidden="1" customWidth="1"/>
    <col min="11" max="16384" width="9.140625" style="32"/>
  </cols>
  <sheetData>
    <row r="1" spans="2:11" ht="18" customHeight="1" x14ac:dyDescent="0.25">
      <c r="B1" s="1235" t="s">
        <v>1263</v>
      </c>
      <c r="C1" s="1235"/>
      <c r="D1" s="1235"/>
      <c r="E1" s="1235"/>
      <c r="F1" s="1235"/>
      <c r="G1" s="1235"/>
      <c r="H1" s="1189"/>
      <c r="I1" s="1189"/>
      <c r="J1" s="1189"/>
    </row>
    <row r="3" spans="2:11" ht="15.75" customHeight="1" x14ac:dyDescent="0.25">
      <c r="B3" s="1237" t="s">
        <v>78</v>
      </c>
      <c r="C3" s="1237"/>
      <c r="D3" s="1237"/>
      <c r="E3" s="1237"/>
      <c r="F3" s="1237"/>
      <c r="G3" s="1237"/>
      <c r="H3" s="1189"/>
      <c r="I3" s="1189"/>
      <c r="J3" s="1189"/>
    </row>
    <row r="4" spans="2:11" ht="15.75" customHeight="1" x14ac:dyDescent="0.25">
      <c r="B4" s="1323" t="s">
        <v>1124</v>
      </c>
      <c r="C4" s="1324"/>
      <c r="D4" s="1324"/>
      <c r="E4" s="1324"/>
      <c r="F4" s="1324"/>
      <c r="G4" s="1324"/>
    </row>
    <row r="5" spans="2:11" ht="15.75" customHeight="1" x14ac:dyDescent="0.25">
      <c r="B5" s="1237" t="s">
        <v>973</v>
      </c>
      <c r="C5" s="1237"/>
      <c r="D5" s="1237"/>
      <c r="E5" s="1237"/>
      <c r="F5" s="1237"/>
      <c r="G5" s="1237"/>
      <c r="H5" s="1189"/>
      <c r="I5" s="1189"/>
      <c r="J5" s="1189"/>
    </row>
    <row r="6" spans="2:11" s="34" customFormat="1" ht="14.25" customHeight="1" x14ac:dyDescent="0.25">
      <c r="B6" s="1316" t="s">
        <v>336</v>
      </c>
      <c r="C6" s="1316"/>
      <c r="D6" s="1316"/>
      <c r="E6" s="1316"/>
      <c r="F6" s="1316"/>
      <c r="G6" s="1316"/>
      <c r="H6" s="1189"/>
      <c r="I6" s="1189"/>
      <c r="J6" s="1189"/>
    </row>
    <row r="7" spans="2:11" s="34" customFormat="1" ht="14.25" customHeight="1" x14ac:dyDescent="0.25">
      <c r="B7" s="29"/>
      <c r="C7" s="250"/>
      <c r="D7" s="251"/>
      <c r="E7" s="29"/>
      <c r="F7" s="29"/>
      <c r="G7" s="29"/>
    </row>
    <row r="8" spans="2:11" ht="30.6" customHeight="1" x14ac:dyDescent="0.25">
      <c r="B8" s="1317" t="s">
        <v>498</v>
      </c>
      <c r="C8" s="1319" t="s">
        <v>57</v>
      </c>
      <c r="D8" s="1319"/>
      <c r="E8" s="20" t="s">
        <v>58</v>
      </c>
      <c r="F8" s="20" t="s">
        <v>59</v>
      </c>
      <c r="G8" s="20" t="s">
        <v>60</v>
      </c>
      <c r="H8" s="32"/>
      <c r="I8" s="32"/>
    </row>
    <row r="9" spans="2:11" ht="30" customHeight="1" x14ac:dyDescent="0.25">
      <c r="B9" s="1318"/>
      <c r="C9" s="1320" t="s">
        <v>563</v>
      </c>
      <c r="D9" s="1320"/>
      <c r="E9" s="1322" t="s">
        <v>1189</v>
      </c>
      <c r="F9" s="1322"/>
      <c r="G9" s="1322"/>
      <c r="H9" s="32"/>
      <c r="I9" s="32"/>
    </row>
    <row r="10" spans="2:11" ht="52.9" customHeight="1" x14ac:dyDescent="0.25">
      <c r="B10" s="1318"/>
      <c r="C10" s="1320"/>
      <c r="D10" s="1321"/>
      <c r="E10" s="252" t="s">
        <v>62</v>
      </c>
      <c r="F10" s="252" t="s">
        <v>63</v>
      </c>
      <c r="G10" s="252" t="s">
        <v>64</v>
      </c>
      <c r="H10" s="32"/>
      <c r="I10" s="32"/>
    </row>
    <row r="11" spans="2:11" ht="23.25" customHeight="1" x14ac:dyDescent="0.25">
      <c r="B11" s="1032" t="s">
        <v>508</v>
      </c>
      <c r="C11" s="1315" t="s">
        <v>633</v>
      </c>
      <c r="D11" s="1315"/>
      <c r="E11" s="253"/>
      <c r="F11" s="253"/>
      <c r="G11" s="253"/>
      <c r="H11" s="32"/>
      <c r="I11" s="32"/>
      <c r="K11" s="627"/>
    </row>
    <row r="12" spans="2:11" ht="18" customHeight="1" x14ac:dyDescent="0.25">
      <c r="B12" s="1033" t="s">
        <v>516</v>
      </c>
      <c r="C12" s="254" t="s">
        <v>597</v>
      </c>
      <c r="D12" s="251"/>
      <c r="E12" s="253"/>
      <c r="F12" s="253"/>
      <c r="G12" s="253"/>
      <c r="H12" s="32"/>
      <c r="I12" s="32"/>
      <c r="K12" s="627"/>
    </row>
    <row r="13" spans="2:11" ht="18" customHeight="1" x14ac:dyDescent="0.25">
      <c r="B13" s="1033" t="s">
        <v>518</v>
      </c>
      <c r="C13" s="255"/>
      <c r="D13" s="256" t="s">
        <v>969</v>
      </c>
      <c r="E13" s="253">
        <v>0</v>
      </c>
      <c r="F13" s="253">
        <v>850</v>
      </c>
      <c r="G13" s="253">
        <f>SUM(E13:F13)</f>
        <v>850</v>
      </c>
      <c r="H13" s="32"/>
      <c r="I13" s="32"/>
      <c r="K13" s="627"/>
    </row>
    <row r="14" spans="2:11" ht="18" customHeight="1" x14ac:dyDescent="0.25">
      <c r="B14" s="1033" t="s">
        <v>519</v>
      </c>
      <c r="C14" s="255"/>
      <c r="D14" s="24" t="s">
        <v>597</v>
      </c>
      <c r="E14" s="253"/>
      <c r="F14" s="257">
        <v>0</v>
      </c>
      <c r="G14" s="253">
        <f>SUM(E14:F14)</f>
        <v>0</v>
      </c>
      <c r="H14" s="32"/>
      <c r="I14" s="32"/>
      <c r="K14" s="627"/>
    </row>
    <row r="15" spans="2:11" ht="18" customHeight="1" x14ac:dyDescent="0.25">
      <c r="B15" s="1033" t="s">
        <v>520</v>
      </c>
      <c r="C15" s="255"/>
      <c r="D15" s="24" t="s">
        <v>1029</v>
      </c>
      <c r="E15" s="253"/>
      <c r="F15" s="257">
        <v>600</v>
      </c>
      <c r="G15" s="253">
        <f>SUM(E15:F15)</f>
        <v>600</v>
      </c>
      <c r="H15" s="32"/>
      <c r="I15" s="32"/>
      <c r="K15" s="627"/>
    </row>
    <row r="16" spans="2:11" ht="18" customHeight="1" x14ac:dyDescent="0.25">
      <c r="B16" s="1033" t="s">
        <v>521</v>
      </c>
      <c r="C16" s="255"/>
      <c r="D16" s="24" t="s">
        <v>1030</v>
      </c>
      <c r="E16" s="253"/>
      <c r="F16" s="257">
        <v>800</v>
      </c>
      <c r="G16" s="253">
        <f t="shared" ref="G16:G20" si="0">SUM(E16:F16)</f>
        <v>800</v>
      </c>
      <c r="H16" s="32"/>
      <c r="I16" s="32"/>
      <c r="K16" s="627"/>
    </row>
    <row r="17" spans="2:19" ht="18" customHeight="1" x14ac:dyDescent="0.25">
      <c r="B17" s="1033" t="s">
        <v>522</v>
      </c>
      <c r="C17" s="255"/>
      <c r="D17" s="24" t="s">
        <v>1031</v>
      </c>
      <c r="E17" s="253"/>
      <c r="F17" s="257">
        <v>1000</v>
      </c>
      <c r="G17" s="253">
        <f t="shared" si="0"/>
        <v>1000</v>
      </c>
      <c r="H17" s="32"/>
      <c r="I17" s="32"/>
      <c r="K17" s="627"/>
    </row>
    <row r="18" spans="2:19" ht="18" customHeight="1" x14ac:dyDescent="0.25">
      <c r="B18" s="1033" t="s">
        <v>523</v>
      </c>
      <c r="C18" s="255"/>
      <c r="D18" s="24" t="s">
        <v>1032</v>
      </c>
      <c r="E18" s="253"/>
      <c r="F18" s="257">
        <v>600</v>
      </c>
      <c r="G18" s="253">
        <f t="shared" si="0"/>
        <v>600</v>
      </c>
      <c r="H18" s="32"/>
      <c r="I18" s="32"/>
      <c r="K18" s="627"/>
    </row>
    <row r="19" spans="2:19" ht="18" customHeight="1" x14ac:dyDescent="0.25">
      <c r="B19" s="1033" t="s">
        <v>565</v>
      </c>
      <c r="C19" s="255"/>
      <c r="D19" s="24" t="s">
        <v>1033</v>
      </c>
      <c r="E19" s="253">
        <v>2300</v>
      </c>
      <c r="F19" s="257">
        <v>0</v>
      </c>
      <c r="G19" s="253">
        <f t="shared" si="0"/>
        <v>2300</v>
      </c>
      <c r="H19" s="32"/>
      <c r="I19" s="32"/>
      <c r="K19" s="627"/>
    </row>
    <row r="20" spans="2:19" ht="18" customHeight="1" x14ac:dyDescent="0.25">
      <c r="B20" s="1033" t="s">
        <v>566</v>
      </c>
      <c r="C20" s="255"/>
      <c r="D20" s="600" t="s">
        <v>630</v>
      </c>
      <c r="E20" s="253">
        <v>500</v>
      </c>
      <c r="F20" s="257">
        <v>0</v>
      </c>
      <c r="G20" s="253">
        <f t="shared" si="0"/>
        <v>500</v>
      </c>
      <c r="H20" s="32"/>
      <c r="I20" s="32"/>
      <c r="K20" s="627"/>
    </row>
    <row r="21" spans="2:19" ht="18" customHeight="1" x14ac:dyDescent="0.25">
      <c r="B21" s="1033" t="s">
        <v>567</v>
      </c>
      <c r="C21" s="791"/>
      <c r="D21" s="600" t="s">
        <v>594</v>
      </c>
      <c r="E21" s="253"/>
      <c r="F21" s="257">
        <v>1800</v>
      </c>
      <c r="G21" s="253">
        <f>SUM(E21:F21)</f>
        <v>1800</v>
      </c>
      <c r="H21" s="32"/>
      <c r="I21" s="32"/>
      <c r="K21" s="627"/>
    </row>
    <row r="22" spans="2:19" ht="18" customHeight="1" x14ac:dyDescent="0.25">
      <c r="B22" s="1033" t="s">
        <v>568</v>
      </c>
      <c r="C22" s="791"/>
      <c r="D22" s="793" t="s">
        <v>593</v>
      </c>
      <c r="E22" s="792"/>
      <c r="F22" s="257">
        <v>1100</v>
      </c>
      <c r="G22" s="601">
        <f>SUM(E22:F22)</f>
        <v>1100</v>
      </c>
      <c r="H22" s="33"/>
      <c r="I22" s="33"/>
      <c r="J22" s="33"/>
      <c r="K22" s="627"/>
      <c r="M22" s="33"/>
    </row>
    <row r="23" spans="2:19" ht="18" customHeight="1" x14ac:dyDescent="0.25">
      <c r="B23" s="1033" t="s">
        <v>569</v>
      </c>
      <c r="C23" s="254" t="s">
        <v>970</v>
      </c>
      <c r="D23" s="251"/>
      <c r="E23" s="258">
        <f>SUM(E13:E22)</f>
        <v>2800</v>
      </c>
      <c r="F23" s="258">
        <f>SUM(F13:F22)</f>
        <v>6750</v>
      </c>
      <c r="G23" s="258">
        <f t="shared" ref="G23:J23" si="1">SUM(G13:G22)</f>
        <v>9550</v>
      </c>
      <c r="H23" s="258">
        <f t="shared" si="1"/>
        <v>0</v>
      </c>
      <c r="I23" s="258">
        <f t="shared" si="1"/>
        <v>0</v>
      </c>
      <c r="J23" s="258">
        <f t="shared" si="1"/>
        <v>0</v>
      </c>
      <c r="K23" s="627"/>
    </row>
    <row r="24" spans="2:19" ht="20.25" customHeight="1" x14ac:dyDescent="0.25">
      <c r="B24" s="1033"/>
      <c r="D24" s="28"/>
      <c r="E24" s="253"/>
      <c r="F24" s="253"/>
      <c r="G24" s="253"/>
      <c r="H24" s="32"/>
      <c r="I24" s="32"/>
      <c r="K24" s="627"/>
    </row>
    <row r="25" spans="2:19" ht="18" customHeight="1" x14ac:dyDescent="0.25">
      <c r="B25" s="1033" t="s">
        <v>570</v>
      </c>
      <c r="C25" s="17" t="s">
        <v>635</v>
      </c>
      <c r="E25" s="253"/>
      <c r="F25" s="253"/>
      <c r="G25" s="253"/>
      <c r="H25" s="32"/>
      <c r="I25" s="32"/>
      <c r="K25" s="627"/>
      <c r="S25" s="33"/>
    </row>
    <row r="26" spans="2:19" ht="18" customHeight="1" x14ac:dyDescent="0.25">
      <c r="B26" s="1033" t="s">
        <v>571</v>
      </c>
      <c r="D26" s="24" t="s">
        <v>636</v>
      </c>
      <c r="E26" s="253"/>
      <c r="F26" s="253">
        <v>0</v>
      </c>
      <c r="G26" s="253">
        <f>SUM(E26:F26)</f>
        <v>0</v>
      </c>
      <c r="H26" s="32"/>
      <c r="I26" s="32"/>
      <c r="K26" s="627"/>
    </row>
    <row r="27" spans="2:19" ht="18" customHeight="1" x14ac:dyDescent="0.25">
      <c r="B27" s="1033" t="s">
        <v>572</v>
      </c>
      <c r="D27" s="24" t="s">
        <v>584</v>
      </c>
      <c r="E27" s="257">
        <v>0</v>
      </c>
      <c r="F27" s="253">
        <v>0</v>
      </c>
      <c r="G27" s="253">
        <f>SUM(E27:F27)</f>
        <v>0</v>
      </c>
      <c r="H27" s="32"/>
      <c r="I27" s="32"/>
      <c r="K27" s="627"/>
    </row>
    <row r="28" spans="2:19" ht="18" customHeight="1" x14ac:dyDescent="0.25">
      <c r="B28" s="1033" t="s">
        <v>574</v>
      </c>
      <c r="C28" s="29" t="s">
        <v>971</v>
      </c>
      <c r="E28" s="794">
        <f>SUM(E26:E27)</f>
        <v>0</v>
      </c>
      <c r="F28" s="794">
        <f>SUM(F26:F27)</f>
        <v>0</v>
      </c>
      <c r="G28" s="794">
        <f>SUM(G26:G27)</f>
        <v>0</v>
      </c>
      <c r="H28" s="32"/>
      <c r="I28" s="32"/>
      <c r="K28" s="627"/>
    </row>
    <row r="29" spans="2:19" ht="18" customHeight="1" x14ac:dyDescent="0.25">
      <c r="B29" s="1033"/>
      <c r="E29" s="253"/>
      <c r="F29" s="253"/>
      <c r="G29" s="253"/>
      <c r="H29" s="32"/>
      <c r="I29" s="32"/>
      <c r="K29" s="627"/>
    </row>
    <row r="30" spans="2:19" ht="37.9" customHeight="1" x14ac:dyDescent="0.25">
      <c r="B30" s="1034" t="s">
        <v>575</v>
      </c>
      <c r="D30" s="24" t="s">
        <v>638</v>
      </c>
      <c r="E30" s="253"/>
      <c r="F30" s="253">
        <v>4200</v>
      </c>
      <c r="G30" s="253">
        <f>SUM(E30:F30)</f>
        <v>4200</v>
      </c>
      <c r="H30" s="32"/>
      <c r="I30" s="32"/>
      <c r="K30" s="627"/>
    </row>
    <row r="31" spans="2:19" ht="23.25" customHeight="1" thickBot="1" x14ac:dyDescent="0.3">
      <c r="B31" s="1035" t="s">
        <v>576</v>
      </c>
      <c r="C31" s="1003"/>
      <c r="D31" s="1001" t="s">
        <v>634</v>
      </c>
      <c r="E31" s="795">
        <f>E30</f>
        <v>0</v>
      </c>
      <c r="F31" s="795">
        <f t="shared" ref="F31:G31" si="2">F30</f>
        <v>4200</v>
      </c>
      <c r="G31" s="795">
        <f t="shared" si="2"/>
        <v>4200</v>
      </c>
      <c r="H31" s="32"/>
      <c r="I31" s="32"/>
      <c r="K31" s="627"/>
    </row>
    <row r="32" spans="2:19" s="34" customFormat="1" ht="18" customHeight="1" thickBot="1" x14ac:dyDescent="0.3">
      <c r="B32" s="1036" t="s">
        <v>577</v>
      </c>
      <c r="C32" s="1002" t="s">
        <v>972</v>
      </c>
      <c r="D32" s="303"/>
      <c r="E32" s="796">
        <f>E23+E28+E30</f>
        <v>2800</v>
      </c>
      <c r="F32" s="796">
        <f t="shared" ref="F32:G32" si="3">F23+F28+F30</f>
        <v>10950</v>
      </c>
      <c r="G32" s="796">
        <f t="shared" si="3"/>
        <v>13750</v>
      </c>
      <c r="K32" s="628"/>
      <c r="M32" s="38"/>
    </row>
    <row r="33" spans="2:9" ht="18" customHeight="1" x14ac:dyDescent="0.25">
      <c r="B33" s="601"/>
      <c r="H33" s="32"/>
      <c r="I33" s="32"/>
    </row>
    <row r="34" spans="2:9" ht="18" customHeight="1" x14ac:dyDescent="0.25">
      <c r="H34" s="32"/>
      <c r="I34" s="32"/>
    </row>
    <row r="35" spans="2:9" ht="18" customHeight="1" x14ac:dyDescent="0.25">
      <c r="H35" s="32"/>
      <c r="I35" s="32"/>
    </row>
    <row r="36" spans="2:9" ht="18" customHeight="1" x14ac:dyDescent="0.25">
      <c r="H36" s="32"/>
      <c r="I36" s="32"/>
    </row>
    <row r="37" spans="2:9" ht="18" customHeight="1" x14ac:dyDescent="0.25">
      <c r="H37" s="32"/>
      <c r="I37" s="32"/>
    </row>
    <row r="38" spans="2:9" ht="18" customHeight="1" x14ac:dyDescent="0.25">
      <c r="H38" s="32"/>
      <c r="I38" s="32"/>
    </row>
    <row r="39" spans="2:9" ht="18" customHeight="1" x14ac:dyDescent="0.25">
      <c r="H39" s="32"/>
      <c r="I39" s="32"/>
    </row>
    <row r="40" spans="2:9" ht="18" customHeight="1" x14ac:dyDescent="0.25">
      <c r="H40" s="32"/>
      <c r="I40" s="32"/>
    </row>
    <row r="41" spans="2:9" ht="18" customHeight="1" x14ac:dyDescent="0.25">
      <c r="H41" s="32"/>
      <c r="I41" s="32"/>
    </row>
    <row r="42" spans="2:9" ht="18" customHeight="1" x14ac:dyDescent="0.25">
      <c r="H42" s="32"/>
      <c r="I42" s="32"/>
    </row>
    <row r="43" spans="2:9" ht="18" customHeight="1" x14ac:dyDescent="0.25">
      <c r="H43" s="32"/>
      <c r="I43" s="32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4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8"/>
  <sheetViews>
    <sheetView workbookViewId="0">
      <selection activeCell="P14" sqref="P14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242" customWidth="1"/>
    <col min="5" max="6" width="9.42578125" style="3" customWidth="1"/>
    <col min="7" max="7" width="9.7109375" style="3" customWidth="1"/>
    <col min="8" max="9" width="0" style="248" hidden="1" customWidth="1"/>
    <col min="10" max="10" width="9.85546875" style="267" hidden="1" customWidth="1"/>
    <col min="11" max="11" width="0" style="267" hidden="1" customWidth="1"/>
    <col min="12" max="16384" width="9.140625" style="4"/>
  </cols>
  <sheetData>
    <row r="1" spans="1:12" ht="31.5" customHeight="1" x14ac:dyDescent="0.2">
      <c r="B1" s="1326" t="s">
        <v>1217</v>
      </c>
      <c r="C1" s="1326"/>
      <c r="D1" s="1326"/>
      <c r="E1" s="1326"/>
      <c r="F1" s="1326"/>
      <c r="G1" s="1326"/>
      <c r="H1" s="1327"/>
      <c r="I1" s="1327"/>
      <c r="J1" s="1327"/>
      <c r="K1" s="1189"/>
    </row>
    <row r="3" spans="1:12" ht="12.75" customHeight="1" x14ac:dyDescent="0.2">
      <c r="B3" s="1188" t="s">
        <v>538</v>
      </c>
      <c r="C3" s="1188"/>
      <c r="D3" s="1188"/>
      <c r="E3" s="1188"/>
      <c r="F3" s="1188"/>
      <c r="G3" s="1188"/>
      <c r="H3" s="1189"/>
      <c r="I3" s="1189"/>
      <c r="J3" s="1189"/>
    </row>
    <row r="4" spans="1:12" ht="12.75" customHeight="1" x14ac:dyDescent="0.2">
      <c r="B4" s="1188" t="s">
        <v>1124</v>
      </c>
      <c r="C4" s="1188"/>
      <c r="D4" s="1188"/>
      <c r="E4" s="1188"/>
      <c r="F4" s="1188"/>
      <c r="G4" s="1188"/>
      <c r="H4" s="1189"/>
      <c r="I4" s="1189"/>
      <c r="J4" s="1189"/>
    </row>
    <row r="5" spans="1:12" ht="12.75" customHeight="1" x14ac:dyDescent="0.2">
      <c r="B5" s="1188" t="s">
        <v>973</v>
      </c>
      <c r="C5" s="1188"/>
      <c r="D5" s="1188"/>
      <c r="E5" s="1188"/>
      <c r="F5" s="1188"/>
      <c r="G5" s="1188"/>
      <c r="H5" s="1189"/>
      <c r="I5" s="1189"/>
      <c r="J5" s="1189"/>
    </row>
    <row r="6" spans="1:12" s="143" customFormat="1" ht="14.25" customHeight="1" x14ac:dyDescent="0.2">
      <c r="B6" s="235"/>
      <c r="C6" s="1325" t="s">
        <v>321</v>
      </c>
      <c r="D6" s="1325"/>
      <c r="E6" s="1279"/>
      <c r="F6" s="1279"/>
      <c r="G6" s="1279"/>
      <c r="H6" s="1189"/>
      <c r="I6" s="1189"/>
      <c r="J6" s="1189"/>
      <c r="K6" s="269"/>
    </row>
    <row r="7" spans="1:12" s="143" customFormat="1" ht="6" customHeight="1" x14ac:dyDescent="0.2">
      <c r="B7" s="235"/>
      <c r="C7" s="230"/>
      <c r="D7" s="259"/>
      <c r="E7" s="235"/>
      <c r="F7" s="235"/>
      <c r="G7" s="235"/>
      <c r="H7" s="301"/>
      <c r="I7" s="301"/>
      <c r="J7" s="269"/>
      <c r="K7" s="269"/>
    </row>
    <row r="8" spans="1:12" ht="27" customHeight="1" x14ac:dyDescent="0.25">
      <c r="B8" s="1328" t="s">
        <v>498</v>
      </c>
      <c r="C8" s="1331" t="s">
        <v>57</v>
      </c>
      <c r="D8" s="1331"/>
      <c r="E8" s="20" t="s">
        <v>58</v>
      </c>
      <c r="F8" s="20" t="s">
        <v>59</v>
      </c>
      <c r="G8" s="20" t="s">
        <v>60</v>
      </c>
      <c r="H8" s="267"/>
      <c r="I8" s="4"/>
      <c r="J8" s="4"/>
      <c r="K8" s="4"/>
    </row>
    <row r="9" spans="1:12" ht="30" customHeight="1" x14ac:dyDescent="0.2">
      <c r="B9" s="1329"/>
      <c r="C9" s="1320" t="s">
        <v>86</v>
      </c>
      <c r="D9" s="1320"/>
      <c r="E9" s="1333" t="s">
        <v>1120</v>
      </c>
      <c r="F9" s="1333"/>
      <c r="G9" s="1333"/>
      <c r="H9" s="267"/>
      <c r="I9" s="4"/>
      <c r="J9" s="4"/>
      <c r="K9" s="4"/>
    </row>
    <row r="10" spans="1:12" ht="41.25" customHeight="1" x14ac:dyDescent="0.2">
      <c r="B10" s="1330"/>
      <c r="C10" s="1320"/>
      <c r="D10" s="1320"/>
      <c r="E10" s="252" t="s">
        <v>62</v>
      </c>
      <c r="F10" s="252" t="s">
        <v>63</v>
      </c>
      <c r="G10" s="252" t="s">
        <v>64</v>
      </c>
      <c r="H10" s="267"/>
      <c r="I10" s="4"/>
      <c r="J10" s="4"/>
      <c r="K10" s="4"/>
    </row>
    <row r="11" spans="1:12" ht="18" customHeight="1" x14ac:dyDescent="0.2">
      <c r="A11" s="1028"/>
      <c r="B11" s="1029" t="s">
        <v>508</v>
      </c>
      <c r="C11" s="1334" t="s">
        <v>639</v>
      </c>
      <c r="D11" s="1334"/>
      <c r="E11" s="260"/>
      <c r="F11" s="238"/>
      <c r="G11" s="596"/>
      <c r="H11" s="267"/>
      <c r="I11" s="4"/>
      <c r="J11" s="4"/>
      <c r="K11" s="4"/>
      <c r="L11" s="625"/>
    </row>
    <row r="12" spans="1:12" ht="26.45" customHeight="1" x14ac:dyDescent="0.2">
      <c r="A12" s="1028"/>
      <c r="B12" s="1030" t="s">
        <v>516</v>
      </c>
      <c r="C12" s="238"/>
      <c r="D12" s="332" t="s">
        <v>974</v>
      </c>
      <c r="E12" s="262">
        <f>'tám, végl. pe.átv  '!C27</f>
        <v>350</v>
      </c>
      <c r="F12" s="261"/>
      <c r="G12" s="596">
        <f>SUM(E12:F12)</f>
        <v>350</v>
      </c>
      <c r="H12" s="267"/>
      <c r="I12" s="4"/>
      <c r="J12" s="4"/>
      <c r="K12" s="4"/>
      <c r="L12" s="625"/>
    </row>
    <row r="13" spans="1:12" ht="20.25" customHeight="1" x14ac:dyDescent="0.2">
      <c r="A13" s="1028"/>
      <c r="B13" s="1030" t="s">
        <v>517</v>
      </c>
      <c r="C13" s="238"/>
      <c r="D13" s="332" t="s">
        <v>114</v>
      </c>
      <c r="E13" s="260">
        <v>0</v>
      </c>
      <c r="F13" s="238">
        <f>SUM(F12)</f>
        <v>0</v>
      </c>
      <c r="G13" s="596">
        <f>SUM(E13:F13)</f>
        <v>0</v>
      </c>
      <c r="H13" s="267"/>
      <c r="I13" s="4"/>
      <c r="J13" s="4"/>
      <c r="K13" s="4"/>
      <c r="L13" s="625"/>
    </row>
    <row r="14" spans="1:12" ht="18" customHeight="1" x14ac:dyDescent="0.2">
      <c r="A14" s="1028"/>
      <c r="B14" s="1030" t="s">
        <v>518</v>
      </c>
      <c r="D14" s="263" t="s">
        <v>634</v>
      </c>
      <c r="E14" s="264">
        <f>SUM(E12:E13)</f>
        <v>350</v>
      </c>
      <c r="F14" s="240"/>
      <c r="G14" s="597">
        <f>SUM(G12:G13)</f>
        <v>350</v>
      </c>
      <c r="H14" s="267"/>
      <c r="I14" s="4"/>
      <c r="J14" s="4"/>
      <c r="K14" s="4"/>
      <c r="L14" s="625"/>
    </row>
    <row r="15" spans="1:12" ht="18" customHeight="1" x14ac:dyDescent="0.2">
      <c r="A15" s="1028"/>
      <c r="B15" s="1030" t="s">
        <v>519</v>
      </c>
      <c r="D15" s="263"/>
      <c r="E15" s="260"/>
      <c r="F15" s="238"/>
      <c r="G15" s="596"/>
      <c r="H15" s="267"/>
      <c r="I15" s="4"/>
      <c r="J15" s="4"/>
      <c r="K15" s="4"/>
      <c r="L15" s="625"/>
    </row>
    <row r="16" spans="1:12" ht="18" customHeight="1" x14ac:dyDescent="0.2">
      <c r="A16" s="1028"/>
      <c r="B16" s="1031" t="s">
        <v>520</v>
      </c>
      <c r="E16" s="304"/>
      <c r="F16" s="238"/>
      <c r="G16" s="598"/>
      <c r="H16" s="267"/>
      <c r="I16" s="4"/>
      <c r="J16" s="4"/>
      <c r="K16" s="4"/>
      <c r="L16" s="625"/>
    </row>
    <row r="17" spans="2:12" ht="18" customHeight="1" x14ac:dyDescent="0.2">
      <c r="B17" s="265" t="s">
        <v>521</v>
      </c>
      <c r="C17" s="1332" t="s">
        <v>637</v>
      </c>
      <c r="D17" s="1332"/>
      <c r="E17" s="266">
        <f>E14</f>
        <v>350</v>
      </c>
      <c r="F17" s="266">
        <f t="shared" ref="F17:G17" si="0">F14</f>
        <v>0</v>
      </c>
      <c r="G17" s="266">
        <f t="shared" si="0"/>
        <v>350</v>
      </c>
      <c r="H17" s="267"/>
      <c r="I17" s="4"/>
      <c r="J17" s="4"/>
      <c r="K17" s="4"/>
      <c r="L17" s="625"/>
    </row>
    <row r="18" spans="2:12" ht="18" customHeight="1" x14ac:dyDescent="0.2">
      <c r="B18" s="5"/>
      <c r="H18" s="267"/>
      <c r="I18" s="4"/>
      <c r="J18" s="4"/>
      <c r="K18" s="4"/>
    </row>
  </sheetData>
  <sheetProtection selectLockedCells="1" selectUnlockedCells="1"/>
  <mergeCells count="11">
    <mergeCell ref="B8:B10"/>
    <mergeCell ref="C8:D8"/>
    <mergeCell ref="C17:D17"/>
    <mergeCell ref="E9:G9"/>
    <mergeCell ref="C11:D11"/>
    <mergeCell ref="C9:D10"/>
    <mergeCell ref="B3:J3"/>
    <mergeCell ref="B4:J4"/>
    <mergeCell ref="B5:J5"/>
    <mergeCell ref="C6:J6"/>
    <mergeCell ref="B1:K1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5"/>
  <sheetViews>
    <sheetView zoomScale="120" workbookViewId="0">
      <selection activeCell="H19" sqref="H19"/>
    </sheetView>
  </sheetViews>
  <sheetFormatPr defaultColWidth="9.140625" defaultRowHeight="11.25" x14ac:dyDescent="0.2"/>
  <cols>
    <col min="1" max="1" width="4.85546875" style="157" customWidth="1"/>
    <col min="2" max="2" width="39.85546875" style="157" customWidth="1"/>
    <col min="3" max="3" width="10.28515625" style="158" customWidth="1"/>
    <col min="4" max="4" width="11" style="158" customWidth="1"/>
    <col min="5" max="5" width="10.85546875" style="158" customWidth="1"/>
    <col min="6" max="6" width="33.7109375" style="158" customWidth="1"/>
    <col min="7" max="7" width="10.5703125" style="291" customWidth="1"/>
    <col min="8" max="8" width="12.42578125" style="291" customWidth="1"/>
    <col min="9" max="9" width="13" style="291" customWidth="1"/>
    <col min="10" max="10" width="9.140625" style="157"/>
    <col min="11" max="16384" width="9.140625" style="10"/>
  </cols>
  <sheetData>
    <row r="1" spans="1:10" ht="12.75" customHeight="1" x14ac:dyDescent="0.2">
      <c r="B1" s="1141" t="s">
        <v>1277</v>
      </c>
      <c r="C1" s="1189"/>
      <c r="D1" s="1189"/>
      <c r="E1" s="1189"/>
      <c r="F1" s="1189"/>
      <c r="G1" s="1189"/>
      <c r="H1" s="1189"/>
      <c r="I1" s="1189"/>
    </row>
    <row r="2" spans="1:10" x14ac:dyDescent="0.2">
      <c r="I2" s="361"/>
    </row>
    <row r="3" spans="1:10" x14ac:dyDescent="0.2">
      <c r="I3" s="361"/>
    </row>
    <row r="4" spans="1:10" s="122" customFormat="1" x14ac:dyDescent="0.2">
      <c r="A4" s="160"/>
      <c r="B4" s="1144" t="s">
        <v>78</v>
      </c>
      <c r="C4" s="1144"/>
      <c r="D4" s="1144"/>
      <c r="E4" s="1144"/>
      <c r="F4" s="1144"/>
      <c r="G4" s="1144"/>
      <c r="H4" s="1144"/>
      <c r="I4" s="1144"/>
      <c r="J4" s="160"/>
    </row>
    <row r="5" spans="1:10" s="122" customFormat="1" x14ac:dyDescent="0.2">
      <c r="A5" s="160"/>
      <c r="B5" s="1246" t="s">
        <v>196</v>
      </c>
      <c r="C5" s="1246"/>
      <c r="D5" s="1246"/>
      <c r="E5" s="1246"/>
      <c r="F5" s="1246"/>
      <c r="G5" s="1246"/>
      <c r="H5" s="1246"/>
      <c r="I5" s="1246"/>
      <c r="J5" s="160"/>
    </row>
    <row r="6" spans="1:10" s="122" customFormat="1" x14ac:dyDescent="0.2">
      <c r="A6" s="160"/>
      <c r="B6" s="1144" t="s">
        <v>1126</v>
      </c>
      <c r="C6" s="1144"/>
      <c r="D6" s="1144"/>
      <c r="E6" s="1144"/>
      <c r="F6" s="1144"/>
      <c r="G6" s="1144"/>
      <c r="H6" s="1144"/>
      <c r="I6" s="1144"/>
      <c r="J6" s="160"/>
    </row>
    <row r="7" spans="1:10" s="122" customFormat="1" x14ac:dyDescent="0.2">
      <c r="A7" s="160"/>
      <c r="B7" s="1145" t="s">
        <v>321</v>
      </c>
      <c r="C7" s="1145"/>
      <c r="D7" s="1145"/>
      <c r="E7" s="1145"/>
      <c r="F7" s="1145"/>
      <c r="G7" s="1145"/>
      <c r="H7" s="1145"/>
      <c r="I7" s="1145"/>
      <c r="J7" s="160"/>
    </row>
    <row r="8" spans="1:10" s="122" customFormat="1" ht="12.75" customHeight="1" x14ac:dyDescent="0.2">
      <c r="A8" s="1149" t="s">
        <v>56</v>
      </c>
      <c r="B8" s="1150" t="s">
        <v>57</v>
      </c>
      <c r="C8" s="1165" t="s">
        <v>58</v>
      </c>
      <c r="D8" s="1165"/>
      <c r="E8" s="1166"/>
      <c r="F8" s="1245" t="s">
        <v>59</v>
      </c>
      <c r="G8" s="1163" t="s">
        <v>60</v>
      </c>
      <c r="H8" s="1164"/>
      <c r="I8" s="1164"/>
      <c r="J8" s="622"/>
    </row>
    <row r="9" spans="1:10" s="122" customFormat="1" ht="12.75" customHeight="1" x14ac:dyDescent="0.2">
      <c r="A9" s="1149"/>
      <c r="B9" s="1150"/>
      <c r="C9" s="1142" t="s">
        <v>1120</v>
      </c>
      <c r="D9" s="1142"/>
      <c r="E9" s="1143"/>
      <c r="F9" s="1245"/>
      <c r="G9" s="1155" t="s">
        <v>1120</v>
      </c>
      <c r="H9" s="1155"/>
      <c r="I9" s="1155"/>
      <c r="J9" s="622"/>
    </row>
    <row r="10" spans="1:10" s="310" customFormat="1" ht="36.6" customHeight="1" x14ac:dyDescent="0.2">
      <c r="A10" s="1149"/>
      <c r="B10" s="308" t="s">
        <v>61</v>
      </c>
      <c r="C10" s="135" t="s">
        <v>62</v>
      </c>
      <c r="D10" s="135" t="s">
        <v>63</v>
      </c>
      <c r="E10" s="162" t="s">
        <v>64</v>
      </c>
      <c r="F10" s="309" t="s">
        <v>65</v>
      </c>
      <c r="G10" s="362" t="s">
        <v>62</v>
      </c>
      <c r="H10" s="362" t="s">
        <v>63</v>
      </c>
      <c r="I10" s="362" t="s">
        <v>64</v>
      </c>
      <c r="J10" s="629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67"/>
      <c r="H11" s="367"/>
      <c r="I11" s="477"/>
      <c r="J11" s="191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231</v>
      </c>
      <c r="G12" s="286">
        <v>200542</v>
      </c>
      <c r="H12" s="286">
        <v>35565</v>
      </c>
      <c r="I12" s="478">
        <f>SUM(G12:H12)</f>
        <v>236107</v>
      </c>
      <c r="J12" s="191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551" t="s">
        <v>232</v>
      </c>
      <c r="G13" s="286">
        <v>43074</v>
      </c>
      <c r="H13" s="286">
        <v>6765</v>
      </c>
      <c r="I13" s="478">
        <f>SUM(G13:H13)</f>
        <v>49839</v>
      </c>
      <c r="J13" s="621"/>
    </row>
    <row r="14" spans="1:10" x14ac:dyDescent="0.2">
      <c r="A14" s="164">
        <f t="shared" si="0"/>
        <v>4</v>
      </c>
      <c r="B14" s="167" t="s">
        <v>207</v>
      </c>
      <c r="C14" s="118">
        <f>'tám, végl. pe.átv  '!C56</f>
        <v>0</v>
      </c>
      <c r="D14" s="118">
        <f>'tám, végl. pe.átv  '!D56</f>
        <v>1235</v>
      </c>
      <c r="E14" s="286">
        <f t="shared" si="1"/>
        <v>1235</v>
      </c>
      <c r="F14" s="139" t="s">
        <v>233</v>
      </c>
      <c r="G14" s="286">
        <v>177000</v>
      </c>
      <c r="H14" s="286">
        <v>49746</v>
      </c>
      <c r="I14" s="478">
        <f>SUM(G14:H14)</f>
        <v>226746</v>
      </c>
      <c r="J14" s="191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85"/>
      <c r="H15" s="385"/>
      <c r="I15" s="479"/>
      <c r="J15" s="191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293"/>
      <c r="H16" s="293"/>
      <c r="I16" s="480"/>
      <c r="J16" s="191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3"/>
      <c r="H17" s="293"/>
      <c r="I17" s="480"/>
      <c r="J17" s="191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472</v>
      </c>
      <c r="G18" s="293"/>
      <c r="H18" s="293"/>
      <c r="I18" s="480"/>
      <c r="J18" s="191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471</v>
      </c>
      <c r="G19" s="293"/>
      <c r="H19" s="293"/>
      <c r="I19" s="480"/>
      <c r="J19" s="191"/>
    </row>
    <row r="20" spans="1:10" x14ac:dyDescent="0.2">
      <c r="A20" s="164">
        <f t="shared" si="0"/>
        <v>10</v>
      </c>
      <c r="B20" s="116" t="s">
        <v>210</v>
      </c>
      <c r="C20" s="363">
        <f>54374+1800</f>
        <v>56174</v>
      </c>
      <c r="D20" s="363">
        <f>47860-1960</f>
        <v>45900</v>
      </c>
      <c r="E20" s="363">
        <f>SUM(C20:D20)</f>
        <v>102074</v>
      </c>
      <c r="F20" s="139" t="s">
        <v>205</v>
      </c>
      <c r="G20" s="293"/>
      <c r="H20" s="293"/>
      <c r="I20" s="480"/>
      <c r="J20" s="191"/>
    </row>
    <row r="21" spans="1:10" x14ac:dyDescent="0.2">
      <c r="A21" s="164">
        <f t="shared" si="0"/>
        <v>11</v>
      </c>
      <c r="C21" s="168"/>
      <c r="D21" s="168"/>
      <c r="E21" s="168"/>
      <c r="F21" s="139" t="s">
        <v>978</v>
      </c>
      <c r="G21" s="293"/>
      <c r="H21" s="293"/>
      <c r="I21" s="480"/>
      <c r="J21" s="191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979</v>
      </c>
      <c r="G22" s="293"/>
      <c r="H22" s="293"/>
      <c r="I22" s="480"/>
      <c r="J22" s="624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3"/>
      <c r="H23" s="293"/>
      <c r="I23" s="480"/>
      <c r="J23" s="624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64">
        <f>SUM(G12:G22)</f>
        <v>420616</v>
      </c>
      <c r="H24" s="364">
        <f>SUM(H12:H22)</f>
        <v>92076</v>
      </c>
      <c r="I24" s="481">
        <f>SUM(I12:I22)</f>
        <v>512692</v>
      </c>
      <c r="J24" s="191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3"/>
      <c r="H25" s="293"/>
      <c r="I25" s="480"/>
      <c r="J25" s="191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66"/>
      <c r="H26" s="366"/>
      <c r="I26" s="480"/>
      <c r="J26" s="191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291</v>
      </c>
      <c r="G27" s="293">
        <f>'felhalm. kiad.  '!G108</f>
        <v>6000</v>
      </c>
      <c r="H27" s="293">
        <f>'felhalm. kiad.  '!H108</f>
        <v>0</v>
      </c>
      <c r="I27" s="480">
        <f>SUM(G27:H27)</f>
        <v>6000</v>
      </c>
      <c r="J27" s="191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3"/>
      <c r="H28" s="293"/>
      <c r="I28" s="480"/>
      <c r="J28" s="191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3"/>
      <c r="H29" s="293"/>
      <c r="I29" s="480"/>
      <c r="J29" s="191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473</v>
      </c>
      <c r="G30" s="293"/>
      <c r="H30" s="293"/>
      <c r="I30" s="480"/>
      <c r="J30" s="624"/>
    </row>
    <row r="31" spans="1:10" x14ac:dyDescent="0.2">
      <c r="A31" s="164">
        <f t="shared" si="0"/>
        <v>21</v>
      </c>
      <c r="C31" s="119"/>
      <c r="D31" s="119"/>
      <c r="E31" s="119"/>
      <c r="F31" s="139" t="s">
        <v>470</v>
      </c>
      <c r="G31" s="293"/>
      <c r="H31" s="293"/>
      <c r="I31" s="480"/>
      <c r="J31" s="191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56174</v>
      </c>
      <c r="D32" s="168">
        <f>D14+D20</f>
        <v>47135</v>
      </c>
      <c r="E32" s="168">
        <f>E14+E20</f>
        <v>103309</v>
      </c>
      <c r="F32" s="139" t="s">
        <v>466</v>
      </c>
      <c r="G32" s="291"/>
      <c r="H32" s="291"/>
      <c r="I32" s="480"/>
      <c r="J32" s="526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65">
        <f>SUM(G27:G32)</f>
        <v>6000</v>
      </c>
      <c r="H33" s="365">
        <f>SUM(H27:H32)</f>
        <v>0</v>
      </c>
      <c r="I33" s="482">
        <f>SUM(I27:I31)</f>
        <v>6000</v>
      </c>
      <c r="J33" s="191"/>
    </row>
    <row r="34" spans="1:10" x14ac:dyDescent="0.2">
      <c r="A34" s="164">
        <f t="shared" si="0"/>
        <v>24</v>
      </c>
      <c r="B34" s="178" t="s">
        <v>51</v>
      </c>
      <c r="C34" s="173">
        <f>SUM(C32:C33)</f>
        <v>56174</v>
      </c>
      <c r="D34" s="173">
        <f>SUM(D32:D33)</f>
        <v>47135</v>
      </c>
      <c r="E34" s="173">
        <f>SUM(C34:D34)</f>
        <v>103309</v>
      </c>
      <c r="F34" s="179" t="s">
        <v>69</v>
      </c>
      <c r="G34" s="366">
        <f>G24+G33</f>
        <v>426616</v>
      </c>
      <c r="H34" s="366">
        <f>H24+H33</f>
        <v>92076</v>
      </c>
      <c r="I34" s="454">
        <f>I24+I33</f>
        <v>518692</v>
      </c>
      <c r="J34" s="191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3"/>
      <c r="H35" s="293"/>
      <c r="I35" s="480"/>
      <c r="J35" s="191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64"/>
      <c r="H36" s="364"/>
      <c r="I36" s="481"/>
      <c r="J36" s="191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3"/>
      <c r="H37" s="293"/>
      <c r="I37" s="480"/>
      <c r="J37" s="526"/>
    </row>
    <row r="38" spans="1:10" s="11" customFormat="1" x14ac:dyDescent="0.2">
      <c r="A38" s="798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66"/>
      <c r="H38" s="366"/>
      <c r="I38" s="454"/>
      <c r="J38" s="526"/>
    </row>
    <row r="39" spans="1:10" s="11" customFormat="1" x14ac:dyDescent="0.2">
      <c r="A39" s="164">
        <f t="shared" si="0"/>
        <v>29</v>
      </c>
      <c r="B39" s="136" t="s">
        <v>726</v>
      </c>
      <c r="C39" s="126"/>
      <c r="D39" s="126"/>
      <c r="E39" s="126"/>
      <c r="F39" s="181" t="s">
        <v>4</v>
      </c>
      <c r="G39" s="190"/>
      <c r="I39" s="483"/>
      <c r="J39" s="526"/>
    </row>
    <row r="40" spans="1:10" s="11" customFormat="1" x14ac:dyDescent="0.2">
      <c r="A40" s="164">
        <f t="shared" si="0"/>
        <v>30</v>
      </c>
      <c r="B40" s="116" t="s">
        <v>1017</v>
      </c>
      <c r="C40" s="126"/>
      <c r="D40" s="126"/>
      <c r="E40" s="126"/>
      <c r="F40" s="552" t="s">
        <v>3</v>
      </c>
      <c r="G40" s="366"/>
      <c r="H40" s="366"/>
      <c r="I40" s="454"/>
      <c r="J40" s="526"/>
    </row>
    <row r="41" spans="1:10" x14ac:dyDescent="0.2">
      <c r="A41" s="164">
        <f t="shared" si="0"/>
        <v>31</v>
      </c>
      <c r="B41" s="118" t="s">
        <v>728</v>
      </c>
      <c r="C41" s="185"/>
      <c r="D41" s="185"/>
      <c r="E41" s="185"/>
      <c r="F41" s="139" t="s">
        <v>5</v>
      </c>
      <c r="G41" s="366"/>
      <c r="H41" s="366"/>
      <c r="I41" s="454"/>
      <c r="J41" s="191"/>
    </row>
    <row r="42" spans="1:10" x14ac:dyDescent="0.2">
      <c r="A42" s="164">
        <f t="shared" si="0"/>
        <v>32</v>
      </c>
      <c r="B42" s="118" t="s">
        <v>223</v>
      </c>
      <c r="C42" s="119"/>
      <c r="D42" s="119"/>
      <c r="E42" s="119"/>
      <c r="F42" s="139" t="s">
        <v>6</v>
      </c>
      <c r="G42" s="190"/>
      <c r="H42" s="190"/>
      <c r="I42" s="454"/>
      <c r="J42" s="191"/>
    </row>
    <row r="43" spans="1:10" x14ac:dyDescent="0.2">
      <c r="A43" s="164">
        <f t="shared" si="0"/>
        <v>33</v>
      </c>
      <c r="B43" s="550" t="s">
        <v>290</v>
      </c>
      <c r="C43" s="119"/>
      <c r="D43" s="119"/>
      <c r="E43" s="119">
        <f>C43+D43</f>
        <v>0</v>
      </c>
      <c r="F43" s="139" t="s">
        <v>7</v>
      </c>
      <c r="G43" s="190"/>
      <c r="H43" s="190"/>
      <c r="I43" s="454"/>
      <c r="J43" s="191"/>
    </row>
    <row r="44" spans="1:10" x14ac:dyDescent="0.2">
      <c r="A44" s="164">
        <f t="shared" si="0"/>
        <v>34</v>
      </c>
      <c r="B44" s="550" t="s">
        <v>1013</v>
      </c>
      <c r="C44" s="119"/>
      <c r="D44" s="119"/>
      <c r="E44" s="119"/>
      <c r="F44" s="139"/>
      <c r="G44" s="190"/>
      <c r="H44" s="190"/>
      <c r="I44" s="454"/>
      <c r="J44" s="191"/>
    </row>
    <row r="45" spans="1:10" x14ac:dyDescent="0.2">
      <c r="A45" s="164">
        <f t="shared" si="0"/>
        <v>35</v>
      </c>
      <c r="B45" s="119" t="s">
        <v>729</v>
      </c>
      <c r="C45" s="119"/>
      <c r="D45" s="119"/>
      <c r="E45" s="119"/>
      <c r="F45" s="139" t="s">
        <v>8</v>
      </c>
      <c r="G45" s="366"/>
      <c r="H45" s="366"/>
      <c r="I45" s="480"/>
      <c r="J45" s="191"/>
    </row>
    <row r="46" spans="1:10" x14ac:dyDescent="0.2">
      <c r="A46" s="164">
        <f t="shared" si="0"/>
        <v>36</v>
      </c>
      <c r="B46" s="119" t="s">
        <v>730</v>
      </c>
      <c r="C46" s="126"/>
      <c r="D46" s="126"/>
      <c r="E46" s="126"/>
      <c r="F46" s="139" t="s">
        <v>9</v>
      </c>
      <c r="G46" s="366"/>
      <c r="H46" s="366"/>
      <c r="I46" s="480"/>
      <c r="J46" s="191"/>
    </row>
    <row r="47" spans="1:10" x14ac:dyDescent="0.2">
      <c r="A47" s="164">
        <f t="shared" si="0"/>
        <v>37</v>
      </c>
      <c r="B47" s="118" t="s">
        <v>227</v>
      </c>
      <c r="C47" s="119"/>
      <c r="D47" s="119"/>
      <c r="E47" s="119"/>
      <c r="F47" s="139" t="s">
        <v>10</v>
      </c>
      <c r="G47" s="293"/>
      <c r="H47" s="293"/>
      <c r="I47" s="480"/>
      <c r="J47" s="191"/>
    </row>
    <row r="48" spans="1:10" x14ac:dyDescent="0.2">
      <c r="A48" s="164">
        <f t="shared" si="0"/>
        <v>38</v>
      </c>
      <c r="B48" s="550" t="s">
        <v>228</v>
      </c>
      <c r="C48" s="119">
        <f>G24-(C34+C43)</f>
        <v>364442</v>
      </c>
      <c r="D48" s="119">
        <f>H24-(D34+D43)</f>
        <v>44941</v>
      </c>
      <c r="E48" s="119">
        <f>I24-(E34+E43)</f>
        <v>409383</v>
      </c>
      <c r="F48" s="139" t="s">
        <v>11</v>
      </c>
      <c r="G48" s="293"/>
      <c r="H48" s="293"/>
      <c r="I48" s="480"/>
      <c r="J48" s="191"/>
    </row>
    <row r="49" spans="1:10" x14ac:dyDescent="0.2">
      <c r="A49" s="164">
        <f t="shared" si="0"/>
        <v>39</v>
      </c>
      <c r="B49" s="550" t="s">
        <v>229</v>
      </c>
      <c r="C49" s="119">
        <f>G33-C33</f>
        <v>6000</v>
      </c>
      <c r="D49" s="119">
        <f>H33-D33</f>
        <v>0</v>
      </c>
      <c r="E49" s="119">
        <f>I33-E33</f>
        <v>6000</v>
      </c>
      <c r="F49" s="139" t="s">
        <v>12</v>
      </c>
      <c r="G49" s="293"/>
      <c r="H49" s="293"/>
      <c r="I49" s="480"/>
      <c r="J49" s="191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3"/>
      <c r="H50" s="293"/>
      <c r="I50" s="480"/>
      <c r="J50" s="191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3"/>
      <c r="H51" s="293"/>
      <c r="I51" s="480"/>
      <c r="J51" s="191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3"/>
      <c r="H52" s="293"/>
      <c r="I52" s="480"/>
      <c r="J52" s="191"/>
    </row>
    <row r="53" spans="1:10" ht="12" thickBot="1" x14ac:dyDescent="0.25">
      <c r="A53" s="164">
        <f t="shared" si="0"/>
        <v>43</v>
      </c>
      <c r="B53" s="178" t="s">
        <v>474</v>
      </c>
      <c r="C53" s="126">
        <f>SUM(C39:C51)</f>
        <v>370442</v>
      </c>
      <c r="D53" s="337">
        <f>SUM(D39:D51)</f>
        <v>44941</v>
      </c>
      <c r="E53" s="337">
        <f>SUM(E39:E51)</f>
        <v>415383</v>
      </c>
      <c r="F53" s="140" t="s">
        <v>467</v>
      </c>
      <c r="G53" s="366">
        <f>SUM(G39:G52)</f>
        <v>0</v>
      </c>
      <c r="H53" s="366">
        <f>SUM(H39:H52)</f>
        <v>0</v>
      </c>
      <c r="I53" s="484">
        <f>SUM(I39:I52)</f>
        <v>0</v>
      </c>
      <c r="J53" s="191"/>
    </row>
    <row r="54" spans="1:10" ht="12" thickBot="1" x14ac:dyDescent="0.25">
      <c r="A54" s="164">
        <f t="shared" si="0"/>
        <v>44</v>
      </c>
      <c r="B54" s="305" t="s">
        <v>469</v>
      </c>
      <c r="C54" s="1138">
        <f>C34+C53</f>
        <v>426616</v>
      </c>
      <c r="D54" s="306">
        <f>D34+D53</f>
        <v>92076</v>
      </c>
      <c r="E54" s="958">
        <f>E34+E53</f>
        <v>518692</v>
      </c>
      <c r="F54" s="518" t="s">
        <v>468</v>
      </c>
      <c r="G54" s="368">
        <f>G34+G53</f>
        <v>426616</v>
      </c>
      <c r="H54" s="520">
        <f>H34+H53</f>
        <v>92076</v>
      </c>
      <c r="I54" s="517">
        <f>I34+I53</f>
        <v>518692</v>
      </c>
      <c r="J54" s="292"/>
    </row>
    <row r="55" spans="1:10" x14ac:dyDescent="0.2">
      <c r="B55" s="183"/>
      <c r="C55" s="182"/>
      <c r="D55" s="182"/>
      <c r="E55" s="182"/>
      <c r="F55" s="182"/>
      <c r="G55" s="190"/>
      <c r="H55" s="190"/>
      <c r="I55" s="190"/>
    </row>
  </sheetData>
  <sheetProtection selectLockedCells="1" selectUnlockedCells="1"/>
  <mergeCells count="12">
    <mergeCell ref="B1:I1"/>
    <mergeCell ref="F8:F9"/>
    <mergeCell ref="B4:I4"/>
    <mergeCell ref="B5:I5"/>
    <mergeCell ref="B6:I6"/>
    <mergeCell ref="G8:I8"/>
    <mergeCell ref="B7:I7"/>
    <mergeCell ref="A8:A10"/>
    <mergeCell ref="B8:B9"/>
    <mergeCell ref="C8:E8"/>
    <mergeCell ref="C9:E9"/>
    <mergeCell ref="G9:I9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6"/>
  <sheetViews>
    <sheetView zoomScale="120" workbookViewId="0">
      <selection activeCell="B3" sqref="B3:I3"/>
    </sheetView>
  </sheetViews>
  <sheetFormatPr defaultColWidth="9.140625" defaultRowHeight="11.25" x14ac:dyDescent="0.2"/>
  <cols>
    <col min="1" max="1" width="4.85546875" style="157" customWidth="1"/>
    <col min="2" max="2" width="41.85546875" style="157" customWidth="1"/>
    <col min="3" max="3" width="10.140625" style="158" customWidth="1"/>
    <col min="4" max="4" width="11.140625" style="158" customWidth="1"/>
    <col min="5" max="5" width="11.28515625" style="158" customWidth="1"/>
    <col min="6" max="6" width="32.42578125" style="158" customWidth="1"/>
    <col min="7" max="7" width="11.5703125" style="158" customWidth="1"/>
    <col min="8" max="8" width="14.7109375" style="158" customWidth="1"/>
    <col min="9" max="9" width="14.5703125" style="158" customWidth="1"/>
    <col min="10" max="25" width="9.140625" style="157"/>
    <col min="26" max="16384" width="9.140625" style="10"/>
  </cols>
  <sheetData>
    <row r="1" spans="1:25" ht="12.75" customHeight="1" x14ac:dyDescent="0.2">
      <c r="B1" s="1141" t="s">
        <v>1225</v>
      </c>
      <c r="C1" s="1141"/>
      <c r="D1" s="1141"/>
      <c r="E1" s="1141"/>
      <c r="F1" s="1141"/>
      <c r="G1" s="1141"/>
      <c r="H1" s="1141"/>
      <c r="I1" s="1141"/>
      <c r="J1" s="753"/>
    </row>
    <row r="2" spans="1:25" x14ac:dyDescent="0.2">
      <c r="B2" s="588"/>
      <c r="I2" s="159"/>
    </row>
    <row r="3" spans="1:25" s="122" customFormat="1" x14ac:dyDescent="0.2">
      <c r="A3" s="160"/>
      <c r="B3" s="1144" t="s">
        <v>54</v>
      </c>
      <c r="C3" s="1144"/>
      <c r="D3" s="1144"/>
      <c r="E3" s="1144"/>
      <c r="F3" s="1144"/>
      <c r="G3" s="1144"/>
      <c r="H3" s="1144"/>
      <c r="I3" s="1144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1:25" s="122" customFormat="1" x14ac:dyDescent="0.2">
      <c r="A4" s="160"/>
      <c r="B4" s="1144" t="s">
        <v>1119</v>
      </c>
      <c r="C4" s="1144"/>
      <c r="D4" s="1144"/>
      <c r="E4" s="1144"/>
      <c r="F4" s="1144"/>
      <c r="G4" s="1144"/>
      <c r="H4" s="1144"/>
      <c r="I4" s="1144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</row>
    <row r="5" spans="1:25" s="122" customFormat="1" ht="12.75" customHeight="1" x14ac:dyDescent="0.2">
      <c r="A5" s="1157" t="s">
        <v>326</v>
      </c>
      <c r="B5" s="1157"/>
      <c r="C5" s="1157"/>
      <c r="D5" s="1157"/>
      <c r="E5" s="1157"/>
      <c r="F5" s="1157"/>
      <c r="G5" s="1157"/>
      <c r="H5" s="1157"/>
      <c r="I5" s="1157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1:25" s="122" customFormat="1" ht="12.75" customHeight="1" x14ac:dyDescent="0.2">
      <c r="A6" s="1158" t="s">
        <v>56</v>
      </c>
      <c r="B6" s="1159" t="s">
        <v>57</v>
      </c>
      <c r="C6" s="1160" t="s">
        <v>58</v>
      </c>
      <c r="D6" s="1160"/>
      <c r="E6" s="1161"/>
      <c r="F6" s="1162" t="s">
        <v>59</v>
      </c>
      <c r="G6" s="1163" t="s">
        <v>60</v>
      </c>
      <c r="H6" s="1164"/>
      <c r="I6" s="1164"/>
      <c r="J6" s="160"/>
      <c r="K6" s="160"/>
      <c r="L6" s="160"/>
      <c r="M6" s="160"/>
      <c r="N6" s="160"/>
      <c r="O6" s="160"/>
      <c r="P6" s="160"/>
      <c r="Q6" s="160"/>
      <c r="R6" s="160"/>
      <c r="S6" s="160"/>
    </row>
    <row r="7" spans="1:25" s="122" customFormat="1" ht="12.75" customHeight="1" x14ac:dyDescent="0.2">
      <c r="A7" s="1158"/>
      <c r="B7" s="1159"/>
      <c r="C7" s="1155" t="s">
        <v>1120</v>
      </c>
      <c r="D7" s="1155"/>
      <c r="E7" s="1156"/>
      <c r="F7" s="1162"/>
      <c r="G7" s="1155" t="s">
        <v>1120</v>
      </c>
      <c r="H7" s="1155"/>
      <c r="I7" s="1156"/>
      <c r="J7" s="160"/>
      <c r="K7" s="160"/>
      <c r="L7" s="160"/>
      <c r="M7" s="160"/>
      <c r="N7" s="160"/>
      <c r="O7" s="160"/>
      <c r="P7" s="160"/>
      <c r="Q7" s="160"/>
      <c r="R7" s="160"/>
      <c r="S7" s="160"/>
    </row>
    <row r="8" spans="1:25" s="123" customFormat="1" ht="36.6" customHeight="1" x14ac:dyDescent="0.2">
      <c r="A8" s="1158"/>
      <c r="B8" s="894" t="s">
        <v>61</v>
      </c>
      <c r="C8" s="895" t="s">
        <v>62</v>
      </c>
      <c r="D8" s="895" t="s">
        <v>63</v>
      </c>
      <c r="E8" s="896" t="s">
        <v>64</v>
      </c>
      <c r="F8" s="897" t="s">
        <v>65</v>
      </c>
      <c r="G8" s="362" t="s">
        <v>62</v>
      </c>
      <c r="H8" s="362" t="s">
        <v>63</v>
      </c>
      <c r="I8" s="362" t="s">
        <v>64</v>
      </c>
      <c r="J8" s="605"/>
      <c r="K8" s="188"/>
      <c r="L8" s="188"/>
      <c r="M8" s="188"/>
      <c r="N8" s="188"/>
      <c r="O8" s="188"/>
      <c r="P8" s="188"/>
      <c r="Q8" s="188"/>
      <c r="R8" s="188"/>
      <c r="S8" s="188"/>
    </row>
    <row r="9" spans="1:25" ht="11.45" customHeight="1" x14ac:dyDescent="0.2">
      <c r="A9" s="898">
        <v>1</v>
      </c>
      <c r="B9" s="899" t="s">
        <v>24</v>
      </c>
      <c r="C9" s="900"/>
      <c r="D9" s="900"/>
      <c r="E9" s="900"/>
      <c r="F9" s="901" t="s">
        <v>25</v>
      </c>
      <c r="G9" s="367"/>
      <c r="H9" s="367"/>
      <c r="I9" s="477"/>
      <c r="J9" s="184"/>
      <c r="T9" s="10"/>
      <c r="U9" s="10"/>
      <c r="V9" s="10"/>
      <c r="W9" s="10"/>
      <c r="X9" s="10"/>
      <c r="Y9" s="10"/>
    </row>
    <row r="10" spans="1:25" x14ac:dyDescent="0.2">
      <c r="A10" s="898">
        <f>A9+1</f>
        <v>2</v>
      </c>
      <c r="B10" s="81" t="s">
        <v>35</v>
      </c>
      <c r="C10" s="298"/>
      <c r="D10" s="298"/>
      <c r="E10" s="286">
        <f>SUM(C10:D10)</f>
        <v>0</v>
      </c>
      <c r="F10" s="511" t="s">
        <v>26</v>
      </c>
      <c r="G10" s="286">
        <f>Össz.önkor.mérleg.!G10</f>
        <v>574562</v>
      </c>
      <c r="H10" s="286">
        <f>Össz.önkor.mérleg.!H10</f>
        <v>341812</v>
      </c>
      <c r="I10" s="479">
        <f>Össz.önkor.mérleg.!I10</f>
        <v>916374</v>
      </c>
      <c r="J10" s="184"/>
      <c r="T10" s="10"/>
      <c r="U10" s="10"/>
      <c r="V10" s="10"/>
      <c r="W10" s="10"/>
      <c r="X10" s="10"/>
      <c r="Y10" s="10"/>
    </row>
    <row r="11" spans="1:25" x14ac:dyDescent="0.2">
      <c r="A11" s="898">
        <f t="shared" ref="A11:A45" si="0">A10+1</f>
        <v>3</v>
      </c>
      <c r="B11" s="81" t="s">
        <v>36</v>
      </c>
      <c r="C11" s="298">
        <f>Össz.önkor.mérleg.!C11</f>
        <v>740982</v>
      </c>
      <c r="D11" s="298">
        <f>Össz.önkor.mérleg.!D11</f>
        <v>93769</v>
      </c>
      <c r="E11" s="298">
        <f>Össz.önkor.mérleg.!E11</f>
        <v>834751</v>
      </c>
      <c r="F11" s="511" t="s">
        <v>27</v>
      </c>
      <c r="G11" s="286">
        <f>Össz.önkor.mérleg.!G11</f>
        <v>127979</v>
      </c>
      <c r="H11" s="286">
        <f>Össz.önkor.mérleg.!H11</f>
        <v>82755.320000000007</v>
      </c>
      <c r="I11" s="479">
        <f>Össz.önkor.mérleg.!I11</f>
        <v>210734.32</v>
      </c>
      <c r="J11" s="184"/>
      <c r="T11" s="10"/>
      <c r="U11" s="10"/>
      <c r="V11" s="10"/>
      <c r="W11" s="10"/>
      <c r="X11" s="10"/>
      <c r="Y11" s="10"/>
    </row>
    <row r="12" spans="1:25" x14ac:dyDescent="0.2">
      <c r="A12" s="898">
        <f t="shared" si="0"/>
        <v>4</v>
      </c>
      <c r="B12" s="81" t="s">
        <v>982</v>
      </c>
      <c r="C12" s="298">
        <f>Össz.önkor.mérleg.!C12</f>
        <v>0</v>
      </c>
      <c r="D12" s="298">
        <f>Össz.önkor.mérleg.!D12</f>
        <v>0</v>
      </c>
      <c r="E12" s="298">
        <f>Össz.önkor.mérleg.!E12</f>
        <v>0</v>
      </c>
      <c r="F12" s="511" t="s">
        <v>29</v>
      </c>
      <c r="G12" s="286">
        <f>Össz.önkor.mérleg.!G12</f>
        <v>566793</v>
      </c>
      <c r="H12" s="286">
        <f>Össz.önkor.mérleg.!H12</f>
        <v>486300</v>
      </c>
      <c r="I12" s="479">
        <f>Össz.önkor.mérleg.!I12</f>
        <v>1053093</v>
      </c>
      <c r="J12" s="184"/>
      <c r="T12" s="10"/>
      <c r="U12" s="10"/>
      <c r="V12" s="10"/>
      <c r="W12" s="10"/>
      <c r="X12" s="10"/>
      <c r="Y12" s="10"/>
    </row>
    <row r="13" spans="1:25" ht="12" customHeight="1" x14ac:dyDescent="0.2">
      <c r="A13" s="898">
        <f t="shared" si="0"/>
        <v>5</v>
      </c>
      <c r="B13" s="81" t="s">
        <v>37</v>
      </c>
      <c r="C13" s="298">
        <f>Össz.önkor.mérleg.!C13</f>
        <v>31477</v>
      </c>
      <c r="D13" s="298">
        <f>Össz.önkor.mérleg.!D13</f>
        <v>5071</v>
      </c>
      <c r="E13" s="298">
        <f>Össz.önkor.mérleg.!E13</f>
        <v>36548</v>
      </c>
      <c r="F13" s="511"/>
      <c r="G13" s="286">
        <f>Össz.önkor.mérleg.!G13</f>
        <v>0</v>
      </c>
      <c r="H13" s="298"/>
      <c r="I13" s="478"/>
      <c r="J13" s="184"/>
      <c r="T13" s="10"/>
      <c r="U13" s="10"/>
      <c r="V13" s="10"/>
      <c r="W13" s="10"/>
      <c r="X13" s="10"/>
      <c r="Y13" s="10"/>
    </row>
    <row r="14" spans="1:25" x14ac:dyDescent="0.2">
      <c r="A14" s="898">
        <f t="shared" si="0"/>
        <v>6</v>
      </c>
      <c r="B14" s="81" t="s">
        <v>39</v>
      </c>
      <c r="C14" s="298">
        <f>Össz.önkor.mérleg.!C16</f>
        <v>456306</v>
      </c>
      <c r="D14" s="298">
        <f>Össz.önkor.mérleg.!D16</f>
        <v>779014</v>
      </c>
      <c r="E14" s="298">
        <f>Össz.önkor.mérleg.!E16</f>
        <v>1235320</v>
      </c>
      <c r="F14" s="511" t="s">
        <v>28</v>
      </c>
      <c r="G14" s="286">
        <f>Össz.önkor.mérleg.!G14</f>
        <v>3150</v>
      </c>
      <c r="H14" s="286">
        <f>Össz.önkor.mérleg.!H14</f>
        <v>10950</v>
      </c>
      <c r="I14" s="479">
        <f>Össz.önkor.mérleg.!I14</f>
        <v>14100</v>
      </c>
      <c r="J14" s="184"/>
      <c r="T14" s="10"/>
      <c r="U14" s="10"/>
      <c r="V14" s="10"/>
      <c r="W14" s="10"/>
      <c r="X14" s="10"/>
      <c r="Y14" s="10"/>
    </row>
    <row r="15" spans="1:25" x14ac:dyDescent="0.2">
      <c r="A15" s="898">
        <f t="shared" si="0"/>
        <v>7</v>
      </c>
      <c r="B15" s="81"/>
      <c r="C15" s="298"/>
      <c r="D15" s="298"/>
      <c r="E15" s="286"/>
      <c r="F15" s="511" t="s">
        <v>30</v>
      </c>
      <c r="G15" s="286">
        <f>Össz.önkor.mérleg.!G15</f>
        <v>0</v>
      </c>
      <c r="H15" s="293"/>
      <c r="I15" s="478"/>
      <c r="J15" s="184"/>
      <c r="T15" s="10"/>
      <c r="U15" s="10"/>
      <c r="V15" s="10"/>
      <c r="W15" s="10"/>
      <c r="X15" s="10"/>
      <c r="Y15" s="10"/>
    </row>
    <row r="16" spans="1:25" x14ac:dyDescent="0.2">
      <c r="A16" s="898">
        <f t="shared" si="0"/>
        <v>8</v>
      </c>
      <c r="B16" s="80" t="s">
        <v>41</v>
      </c>
      <c r="C16" s="363">
        <f>Össz.önkor.mérleg.!C19</f>
        <v>164294</v>
      </c>
      <c r="D16" s="363">
        <f>Össz.önkor.mérleg.!D19</f>
        <v>195202</v>
      </c>
      <c r="E16" s="363">
        <f>Össz.önkor.mérleg.!E19</f>
        <v>359496</v>
      </c>
      <c r="F16" s="511" t="s">
        <v>472</v>
      </c>
      <c r="G16" s="286">
        <f>Össz.önkor.mérleg.!G16</f>
        <v>5750</v>
      </c>
      <c r="H16" s="286">
        <f>Össz.önkor.mérleg.!H16</f>
        <v>45623</v>
      </c>
      <c r="I16" s="479">
        <f>Össz.önkor.mérleg.!I16</f>
        <v>51373</v>
      </c>
      <c r="J16" s="184"/>
      <c r="T16" s="10"/>
      <c r="U16" s="10"/>
      <c r="V16" s="10"/>
      <c r="W16" s="10"/>
      <c r="X16" s="10"/>
      <c r="Y16" s="10"/>
    </row>
    <row r="17" spans="1:25" x14ac:dyDescent="0.2">
      <c r="A17" s="898">
        <f t="shared" si="0"/>
        <v>9</v>
      </c>
      <c r="B17" s="860" t="s">
        <v>40</v>
      </c>
      <c r="C17" s="363"/>
      <c r="D17" s="363"/>
      <c r="E17" s="363"/>
      <c r="F17" s="511" t="s">
        <v>471</v>
      </c>
      <c r="G17" s="286">
        <f>Össz.önkor.mérleg.!G17</f>
        <v>116685</v>
      </c>
      <c r="H17" s="286">
        <f>Össz.önkor.mérleg.!H17</f>
        <v>170408</v>
      </c>
      <c r="I17" s="479">
        <f>Össz.önkor.mérleg.!I17</f>
        <v>287093</v>
      </c>
      <c r="J17" s="184"/>
      <c r="T17" s="10"/>
      <c r="U17" s="10"/>
      <c r="V17" s="10"/>
      <c r="W17" s="10"/>
      <c r="X17" s="10"/>
      <c r="Y17" s="10"/>
    </row>
    <row r="18" spans="1:25" x14ac:dyDescent="0.2">
      <c r="A18" s="898">
        <f t="shared" si="0"/>
        <v>10</v>
      </c>
      <c r="B18" s="860"/>
      <c r="C18" s="363"/>
      <c r="D18" s="363"/>
      <c r="E18" s="363"/>
      <c r="F18" s="511" t="s">
        <v>205</v>
      </c>
      <c r="G18" s="286">
        <f>Össz.önkor.mérleg.!G18</f>
        <v>451</v>
      </c>
      <c r="H18" s="286">
        <f>Össz.önkor.mérleg.!H18</f>
        <v>0</v>
      </c>
      <c r="I18" s="286">
        <f>Össz.önkor.mérleg.!I18</f>
        <v>451</v>
      </c>
      <c r="J18" s="184"/>
      <c r="T18" s="10"/>
      <c r="U18" s="10"/>
      <c r="V18" s="10"/>
      <c r="W18" s="10"/>
      <c r="X18" s="10"/>
      <c r="Y18" s="10"/>
    </row>
    <row r="19" spans="1:25" x14ac:dyDescent="0.2">
      <c r="A19" s="898">
        <f t="shared" si="0"/>
        <v>11</v>
      </c>
      <c r="B19" s="10" t="s">
        <v>50</v>
      </c>
      <c r="C19" s="291">
        <f>Össz.önkor.mérleg.!C28</f>
        <v>0</v>
      </c>
      <c r="D19" s="291">
        <f>Össz.önkor.mérleg.!D28</f>
        <v>62024</v>
      </c>
      <c r="E19" s="291">
        <f>Össz.önkor.mérleg.!E28</f>
        <v>62024</v>
      </c>
      <c r="F19" s="511" t="s">
        <v>464</v>
      </c>
      <c r="G19" s="286">
        <f>Össz.önkor.mérleg.!G19</f>
        <v>0</v>
      </c>
      <c r="H19" s="286">
        <f>Össz.önkor.mérleg.!H19</f>
        <v>64029</v>
      </c>
      <c r="I19" s="479">
        <f>Össz.önkor.mérleg.!I19</f>
        <v>64029</v>
      </c>
      <c r="J19" s="184"/>
      <c r="T19" s="10"/>
      <c r="U19" s="10"/>
      <c r="V19" s="10"/>
      <c r="W19" s="10"/>
      <c r="X19" s="10"/>
      <c r="Y19" s="10"/>
    </row>
    <row r="20" spans="1:25" x14ac:dyDescent="0.2">
      <c r="A20" s="898">
        <f t="shared" si="0"/>
        <v>12</v>
      </c>
      <c r="B20" s="10"/>
      <c r="C20" s="363"/>
      <c r="D20" s="363"/>
      <c r="E20" s="363"/>
      <c r="F20" s="511" t="s">
        <v>465</v>
      </c>
      <c r="G20" s="286">
        <f>Össz.önkor.mérleg.!G20</f>
        <v>4083</v>
      </c>
      <c r="H20" s="286">
        <f>Össz.önkor.mérleg.!H20</f>
        <v>152</v>
      </c>
      <c r="I20" s="479">
        <f>Össz.önkor.mérleg.!I20</f>
        <v>4235</v>
      </c>
      <c r="J20" s="184"/>
      <c r="T20" s="10"/>
      <c r="U20" s="10"/>
      <c r="V20" s="10"/>
      <c r="W20" s="10"/>
      <c r="X20" s="10"/>
      <c r="Y20" s="10"/>
    </row>
    <row r="21" spans="1:25" x14ac:dyDescent="0.2">
      <c r="A21" s="898">
        <f t="shared" si="0"/>
        <v>13</v>
      </c>
      <c r="B21" s="10"/>
      <c r="C21" s="363"/>
      <c r="D21" s="363"/>
      <c r="E21" s="363"/>
      <c r="F21" s="511"/>
      <c r="G21" s="286"/>
      <c r="H21" s="293"/>
      <c r="I21" s="478"/>
      <c r="J21" s="184"/>
      <c r="T21" s="10"/>
      <c r="U21" s="10"/>
      <c r="V21" s="10"/>
      <c r="W21" s="10"/>
      <c r="X21" s="10"/>
      <c r="Y21" s="10"/>
    </row>
    <row r="22" spans="1:25" s="124" customFormat="1" x14ac:dyDescent="0.2">
      <c r="A22" s="898">
        <f t="shared" si="0"/>
        <v>14</v>
      </c>
      <c r="B22" s="12" t="s">
        <v>52</v>
      </c>
      <c r="C22" s="902">
        <f>SUM(C11:C20)</f>
        <v>1393059</v>
      </c>
      <c r="D22" s="902">
        <f>SUM(D11:D20)</f>
        <v>1135080</v>
      </c>
      <c r="E22" s="902">
        <f>SUM(E11:E20)</f>
        <v>2528139</v>
      </c>
      <c r="F22" s="887" t="s">
        <v>66</v>
      </c>
      <c r="G22" s="364">
        <f>SUM(G10:G21)</f>
        <v>1399453</v>
      </c>
      <c r="H22" s="364">
        <f>SUM(H10:H21)</f>
        <v>1202029.32</v>
      </c>
      <c r="I22" s="481">
        <f>SUM(I10:I21)</f>
        <v>2601482.3200000003</v>
      </c>
      <c r="J22" s="549"/>
      <c r="K22" s="189"/>
      <c r="L22" s="189"/>
      <c r="M22" s="189"/>
      <c r="N22" s="189"/>
      <c r="O22" s="189"/>
      <c r="P22" s="189"/>
      <c r="Q22" s="189"/>
      <c r="R22" s="189"/>
      <c r="S22" s="189"/>
    </row>
    <row r="23" spans="1:25" s="124" customFormat="1" x14ac:dyDescent="0.2">
      <c r="A23" s="898">
        <f t="shared" si="0"/>
        <v>15</v>
      </c>
      <c r="B23" s="10"/>
      <c r="C23" s="363"/>
      <c r="D23" s="363"/>
      <c r="E23" s="363"/>
      <c r="F23" s="621"/>
      <c r="G23" s="293"/>
      <c r="H23" s="293"/>
      <c r="I23" s="480"/>
      <c r="J23" s="549"/>
      <c r="K23" s="189"/>
      <c r="L23" s="189"/>
      <c r="M23" s="189"/>
      <c r="N23" s="189"/>
      <c r="O23" s="189"/>
      <c r="P23" s="189"/>
      <c r="Q23" s="189"/>
      <c r="R23" s="189"/>
      <c r="S23" s="189"/>
    </row>
    <row r="24" spans="1:25" x14ac:dyDescent="0.2">
      <c r="A24" s="898">
        <f t="shared" si="0"/>
        <v>16</v>
      </c>
      <c r="B24" s="903" t="s">
        <v>51</v>
      </c>
      <c r="C24" s="886">
        <f>SUM(C22:C23)</f>
        <v>1393059</v>
      </c>
      <c r="D24" s="886">
        <f>SUM(D22:D23)</f>
        <v>1135080</v>
      </c>
      <c r="E24" s="886">
        <f>SUM(E22:E23)</f>
        <v>2528139</v>
      </c>
      <c r="F24" s="890" t="s">
        <v>69</v>
      </c>
      <c r="G24" s="190">
        <f>SUM(G22:G23)</f>
        <v>1399453</v>
      </c>
      <c r="H24" s="190">
        <f>SUM(H22:H23)</f>
        <v>1202029.32</v>
      </c>
      <c r="I24" s="454">
        <f>SUM(I22:I23)</f>
        <v>2601482.3200000003</v>
      </c>
      <c r="J24" s="184"/>
      <c r="T24" s="10"/>
      <c r="U24" s="10"/>
      <c r="V24" s="10"/>
      <c r="W24" s="10"/>
      <c r="X24" s="10"/>
      <c r="Y24" s="10"/>
    </row>
    <row r="25" spans="1:25" x14ac:dyDescent="0.2">
      <c r="A25" s="898">
        <f t="shared" si="0"/>
        <v>17</v>
      </c>
      <c r="B25" s="81"/>
      <c r="C25" s="363"/>
      <c r="D25" s="363"/>
      <c r="E25" s="363"/>
      <c r="F25" s="621"/>
      <c r="G25" s="293"/>
      <c r="H25" s="293"/>
      <c r="I25" s="480"/>
      <c r="J25" s="184"/>
      <c r="T25" s="10"/>
      <c r="U25" s="10"/>
      <c r="V25" s="10"/>
      <c r="W25" s="10"/>
      <c r="X25" s="10"/>
      <c r="Y25" s="10"/>
    </row>
    <row r="26" spans="1:25" x14ac:dyDescent="0.2">
      <c r="A26" s="904">
        <f t="shared" si="0"/>
        <v>18</v>
      </c>
      <c r="B26" s="905" t="s">
        <v>669</v>
      </c>
      <c r="C26" s="648">
        <f>C24-G24</f>
        <v>-6394</v>
      </c>
      <c r="D26" s="648">
        <f t="shared" ref="D26:E26" si="1">D24-H24</f>
        <v>-66949.320000000065</v>
      </c>
      <c r="E26" s="648">
        <f t="shared" si="1"/>
        <v>-73343.320000000298</v>
      </c>
      <c r="F26" s="888"/>
      <c r="G26" s="366"/>
      <c r="H26" s="366"/>
      <c r="I26" s="480"/>
      <c r="J26" s="184"/>
      <c r="T26" s="10"/>
      <c r="U26" s="10"/>
      <c r="V26" s="10"/>
      <c r="W26" s="10"/>
      <c r="X26" s="10"/>
      <c r="Y26" s="10"/>
    </row>
    <row r="27" spans="1:25" x14ac:dyDescent="0.2">
      <c r="A27" s="904">
        <f t="shared" si="0"/>
        <v>19</v>
      </c>
      <c r="B27" s="81"/>
      <c r="C27" s="286"/>
      <c r="D27" s="286"/>
      <c r="E27" s="286"/>
      <c r="F27" s="511"/>
      <c r="G27" s="293"/>
      <c r="H27" s="293"/>
      <c r="I27" s="480"/>
      <c r="J27" s="184"/>
      <c r="T27" s="10"/>
      <c r="U27" s="10"/>
      <c r="V27" s="10"/>
      <c r="W27" s="10"/>
      <c r="X27" s="10"/>
      <c r="Y27" s="10"/>
    </row>
    <row r="28" spans="1:25" x14ac:dyDescent="0.2">
      <c r="A28" s="904">
        <f t="shared" si="0"/>
        <v>20</v>
      </c>
      <c r="B28" s="648" t="s">
        <v>53</v>
      </c>
      <c r="C28" s="648"/>
      <c r="D28" s="648"/>
      <c r="E28" s="648"/>
      <c r="F28" s="888" t="s">
        <v>33</v>
      </c>
      <c r="G28" s="293"/>
      <c r="H28" s="293"/>
      <c r="I28" s="480"/>
      <c r="J28" s="184"/>
      <c r="T28" s="10"/>
      <c r="U28" s="10"/>
      <c r="V28" s="10"/>
      <c r="W28" s="10"/>
      <c r="X28" s="10"/>
      <c r="Y28" s="10"/>
    </row>
    <row r="29" spans="1:25" s="124" customFormat="1" x14ac:dyDescent="0.2">
      <c r="A29" s="904">
        <f t="shared" si="0"/>
        <v>21</v>
      </c>
      <c r="B29" s="906" t="s">
        <v>726</v>
      </c>
      <c r="C29" s="648"/>
      <c r="D29" s="648"/>
      <c r="E29" s="648"/>
      <c r="F29" s="891" t="s">
        <v>4</v>
      </c>
      <c r="G29" s="293"/>
      <c r="H29" s="293"/>
      <c r="I29" s="480"/>
      <c r="J29" s="549"/>
      <c r="K29" s="189"/>
      <c r="L29" s="189"/>
      <c r="M29" s="189"/>
      <c r="N29" s="189"/>
      <c r="O29" s="189"/>
      <c r="P29" s="189"/>
      <c r="Q29" s="189"/>
      <c r="R29" s="189"/>
      <c r="S29" s="189"/>
    </row>
    <row r="30" spans="1:25" ht="21.75" x14ac:dyDescent="0.2">
      <c r="A30" s="904">
        <f t="shared" si="0"/>
        <v>22</v>
      </c>
      <c r="B30" s="961" t="s">
        <v>1077</v>
      </c>
      <c r="C30" s="286">
        <f>Össz.önkor.mérleg.!C39</f>
        <v>1243160</v>
      </c>
      <c r="D30" s="286">
        <f>Össz.önkor.mérleg.!D39</f>
        <v>0</v>
      </c>
      <c r="E30" s="286">
        <f>Össz.önkor.mérleg.!E39</f>
        <v>1243160</v>
      </c>
      <c r="F30" s="191" t="s">
        <v>3</v>
      </c>
      <c r="G30" s="293"/>
      <c r="H30" s="293"/>
      <c r="I30" s="480"/>
      <c r="J30" s="184"/>
      <c r="T30" s="10"/>
      <c r="U30" s="10"/>
      <c r="V30" s="10"/>
      <c r="W30" s="10"/>
      <c r="X30" s="10"/>
      <c r="Y30" s="10"/>
    </row>
    <row r="31" spans="1:25" x14ac:dyDescent="0.2">
      <c r="A31" s="904">
        <f t="shared" si="0"/>
        <v>23</v>
      </c>
      <c r="B31" s="10" t="s">
        <v>1075</v>
      </c>
      <c r="C31" s="648">
        <f>-997160-244511-1489</f>
        <v>-1243160</v>
      </c>
      <c r="D31" s="648">
        <v>0</v>
      </c>
      <c r="E31" s="286">
        <f>C31+D31</f>
        <v>-1243160</v>
      </c>
      <c r="F31" s="191"/>
      <c r="G31" s="293"/>
      <c r="H31" s="293"/>
      <c r="I31" s="480"/>
      <c r="J31" s="184"/>
      <c r="T31" s="10"/>
      <c r="U31" s="10"/>
      <c r="V31" s="10"/>
      <c r="W31" s="10"/>
      <c r="X31" s="10"/>
      <c r="Y31" s="10"/>
    </row>
    <row r="32" spans="1:25" s="11" customFormat="1" x14ac:dyDescent="0.2">
      <c r="A32" s="904">
        <f t="shared" si="0"/>
        <v>24</v>
      </c>
      <c r="B32" s="298" t="s">
        <v>677</v>
      </c>
      <c r="C32" s="892"/>
      <c r="D32" s="893"/>
      <c r="E32" s="893">
        <f>SUM(C32:D32)</f>
        <v>0</v>
      </c>
      <c r="F32" s="511" t="s">
        <v>5</v>
      </c>
      <c r="G32" s="291"/>
      <c r="H32" s="291"/>
      <c r="I32" s="480"/>
      <c r="J32" s="527"/>
      <c r="K32" s="183"/>
      <c r="L32" s="183"/>
      <c r="M32" s="183"/>
      <c r="N32" s="183"/>
      <c r="O32" s="183"/>
      <c r="P32" s="183"/>
      <c r="Q32" s="183"/>
      <c r="R32" s="183"/>
      <c r="S32" s="183"/>
    </row>
    <row r="33" spans="1:25" x14ac:dyDescent="0.2">
      <c r="A33" s="904">
        <f t="shared" si="0"/>
        <v>25</v>
      </c>
      <c r="B33" s="298" t="s">
        <v>727</v>
      </c>
      <c r="C33" s="286"/>
      <c r="D33" s="286"/>
      <c r="E33" s="286"/>
      <c r="F33" s="511" t="s">
        <v>6</v>
      </c>
      <c r="G33" s="365"/>
      <c r="H33" s="365"/>
      <c r="I33" s="482"/>
      <c r="J33" s="184"/>
      <c r="T33" s="10"/>
      <c r="U33" s="10"/>
      <c r="V33" s="10"/>
      <c r="W33" s="10"/>
      <c r="X33" s="10"/>
      <c r="Y33" s="10"/>
    </row>
    <row r="34" spans="1:25" x14ac:dyDescent="0.2">
      <c r="A34" s="904">
        <f t="shared" si="0"/>
        <v>26</v>
      </c>
      <c r="B34" s="298" t="s">
        <v>679</v>
      </c>
      <c r="C34" s="286">
        <f>Össz.önkor.mérleg.!C42</f>
        <v>1193985</v>
      </c>
      <c r="D34" s="286">
        <f>Össz.önkor.mérleg.!D42</f>
        <v>160130</v>
      </c>
      <c r="E34" s="286">
        <f>SUM(C34:D34)</f>
        <v>1354115</v>
      </c>
      <c r="F34" s="511" t="s">
        <v>7</v>
      </c>
      <c r="G34" s="366"/>
      <c r="H34" s="366"/>
      <c r="I34" s="454"/>
      <c r="J34" s="184"/>
      <c r="T34" s="10"/>
      <c r="U34" s="10"/>
      <c r="V34" s="10"/>
      <c r="W34" s="10"/>
      <c r="X34" s="10"/>
      <c r="Y34" s="10"/>
    </row>
    <row r="35" spans="1:25" x14ac:dyDescent="0.2">
      <c r="A35" s="904">
        <f t="shared" si="0"/>
        <v>27</v>
      </c>
      <c r="B35" s="298" t="s">
        <v>1013</v>
      </c>
      <c r="C35" s="286">
        <f>Össz.önkor.mérleg.!C43</f>
        <v>0</v>
      </c>
      <c r="D35" s="286">
        <f>Össz.önkor.mérleg.!D43</f>
        <v>0</v>
      </c>
      <c r="E35" s="286">
        <f>Össz.önkor.mérleg.!E43</f>
        <v>0</v>
      </c>
      <c r="F35" s="511"/>
      <c r="G35" s="366"/>
      <c r="H35" s="366"/>
      <c r="I35" s="454"/>
      <c r="J35" s="184"/>
      <c r="T35" s="10"/>
      <c r="U35" s="10"/>
      <c r="V35" s="10"/>
      <c r="W35" s="10"/>
      <c r="X35" s="10"/>
      <c r="Y35" s="10"/>
    </row>
    <row r="36" spans="1:25" x14ac:dyDescent="0.2">
      <c r="A36" s="904">
        <f t="shared" si="0"/>
        <v>28</v>
      </c>
      <c r="B36" s="80" t="s">
        <v>678</v>
      </c>
      <c r="C36" s="286">
        <f>-'felhalm. mérleg'!C33</f>
        <v>-1159898</v>
      </c>
      <c r="D36" s="286">
        <f>-'felhalm. mérleg'!D33</f>
        <v>-89430</v>
      </c>
      <c r="E36" s="286">
        <f>-'felhalm. mérleg'!E33</f>
        <v>-1249328</v>
      </c>
      <c r="F36" s="511" t="s">
        <v>8</v>
      </c>
      <c r="G36" s="293"/>
      <c r="H36" s="293"/>
      <c r="I36" s="480"/>
      <c r="J36" s="184"/>
      <c r="T36" s="10"/>
      <c r="U36" s="10"/>
      <c r="V36" s="10"/>
      <c r="W36" s="10"/>
      <c r="X36" s="10"/>
      <c r="Y36" s="10"/>
    </row>
    <row r="37" spans="1:25" x14ac:dyDescent="0.2">
      <c r="A37" s="904">
        <f t="shared" si="0"/>
        <v>29</v>
      </c>
      <c r="B37" s="286" t="s">
        <v>729</v>
      </c>
      <c r="C37" s="648"/>
      <c r="D37" s="648"/>
      <c r="E37" s="648"/>
      <c r="F37" s="511" t="s">
        <v>9</v>
      </c>
      <c r="G37" s="364">
        <f>Össz.önkor.mérleg.!G45</f>
        <v>27693</v>
      </c>
      <c r="H37" s="364">
        <f>Össz.önkor.mérleg.!H45</f>
        <v>3751</v>
      </c>
      <c r="I37" s="481">
        <f>Össz.önkor.mérleg.!I45</f>
        <v>31444</v>
      </c>
      <c r="J37" s="184"/>
      <c r="T37" s="10"/>
      <c r="U37" s="10"/>
      <c r="V37" s="10"/>
      <c r="W37" s="10"/>
      <c r="X37" s="10"/>
      <c r="Y37" s="10"/>
    </row>
    <row r="38" spans="1:25" s="11" customFormat="1" x14ac:dyDescent="0.2">
      <c r="A38" s="904">
        <f t="shared" si="0"/>
        <v>30</v>
      </c>
      <c r="B38" s="286" t="s">
        <v>730</v>
      </c>
      <c r="C38" s="286"/>
      <c r="D38" s="286"/>
      <c r="E38" s="286"/>
      <c r="F38" s="511" t="s">
        <v>10</v>
      </c>
      <c r="G38" s="293"/>
      <c r="H38" s="293"/>
      <c r="I38" s="480"/>
      <c r="J38" s="527"/>
      <c r="K38" s="183"/>
      <c r="L38" s="183"/>
      <c r="M38" s="183"/>
      <c r="N38" s="183"/>
      <c r="O38" s="183"/>
      <c r="P38" s="183"/>
      <c r="Q38" s="183"/>
      <c r="R38" s="183"/>
      <c r="S38" s="183"/>
    </row>
    <row r="39" spans="1:25" s="11" customFormat="1" x14ac:dyDescent="0.2">
      <c r="A39" s="904">
        <f t="shared" si="0"/>
        <v>31</v>
      </c>
      <c r="B39" s="298" t="s">
        <v>731</v>
      </c>
      <c r="C39" s="286"/>
      <c r="D39" s="286"/>
      <c r="E39" s="286"/>
      <c r="F39" s="511" t="s">
        <v>11</v>
      </c>
      <c r="G39" s="366"/>
      <c r="H39" s="366"/>
      <c r="I39" s="454"/>
      <c r="J39" s="527"/>
      <c r="K39" s="183"/>
      <c r="L39" s="183"/>
      <c r="M39" s="183"/>
      <c r="N39" s="183"/>
      <c r="O39" s="183"/>
      <c r="P39" s="183"/>
      <c r="Q39" s="183"/>
      <c r="R39" s="183"/>
      <c r="S39" s="183"/>
    </row>
    <row r="40" spans="1:25" s="11" customFormat="1" x14ac:dyDescent="0.2">
      <c r="A40" s="904">
        <f t="shared" si="0"/>
        <v>32</v>
      </c>
      <c r="B40" s="298" t="s">
        <v>732</v>
      </c>
      <c r="C40" s="286"/>
      <c r="D40" s="286"/>
      <c r="E40" s="286"/>
      <c r="F40" s="511" t="s">
        <v>12</v>
      </c>
      <c r="G40" s="190"/>
      <c r="I40" s="483"/>
      <c r="J40" s="527"/>
      <c r="K40" s="183"/>
      <c r="L40" s="183"/>
      <c r="M40" s="183"/>
      <c r="N40" s="183"/>
      <c r="O40" s="183"/>
      <c r="P40" s="183"/>
      <c r="Q40" s="183"/>
      <c r="R40" s="183"/>
      <c r="S40" s="183"/>
    </row>
    <row r="41" spans="1:25" s="11" customFormat="1" x14ac:dyDescent="0.2">
      <c r="A41" s="904">
        <f t="shared" si="0"/>
        <v>33</v>
      </c>
      <c r="B41" s="298" t="s">
        <v>0</v>
      </c>
      <c r="C41" s="286"/>
      <c r="D41" s="286"/>
      <c r="E41" s="286"/>
      <c r="F41" s="511" t="s">
        <v>13</v>
      </c>
      <c r="G41" s="366"/>
      <c r="H41" s="366"/>
      <c r="I41" s="454"/>
      <c r="J41" s="527"/>
      <c r="K41" s="183"/>
      <c r="L41" s="183"/>
      <c r="M41" s="183"/>
      <c r="N41" s="183"/>
      <c r="O41" s="183"/>
      <c r="P41" s="183"/>
      <c r="Q41" s="183"/>
      <c r="R41" s="183"/>
      <c r="S41" s="183"/>
    </row>
    <row r="42" spans="1:25" x14ac:dyDescent="0.2">
      <c r="A42" s="904">
        <f t="shared" si="0"/>
        <v>34</v>
      </c>
      <c r="B42" s="298" t="s">
        <v>1</v>
      </c>
      <c r="C42" s="286">
        <f>Össz.önkor.mérleg.!C49</f>
        <v>0</v>
      </c>
      <c r="D42" s="286">
        <f>Össz.önkor.mérleg.!D49</f>
        <v>0</v>
      </c>
      <c r="E42" s="286">
        <f>Össz.önkor.mérleg.!E49</f>
        <v>0</v>
      </c>
      <c r="F42" s="511" t="s">
        <v>14</v>
      </c>
      <c r="G42" s="366"/>
      <c r="H42" s="366"/>
      <c r="I42" s="454"/>
      <c r="J42" s="184"/>
      <c r="T42" s="10"/>
      <c r="U42" s="10"/>
      <c r="V42" s="10"/>
      <c r="W42" s="10"/>
      <c r="X42" s="10"/>
      <c r="Y42" s="10"/>
    </row>
    <row r="43" spans="1:25" x14ac:dyDescent="0.2">
      <c r="A43" s="904">
        <f t="shared" si="0"/>
        <v>35</v>
      </c>
      <c r="B43" s="298" t="s">
        <v>2</v>
      </c>
      <c r="C43" s="286"/>
      <c r="D43" s="286"/>
      <c r="E43" s="286"/>
      <c r="F43" s="511" t="s">
        <v>15</v>
      </c>
      <c r="G43" s="190"/>
      <c r="H43" s="190"/>
      <c r="I43" s="454"/>
      <c r="J43" s="184"/>
      <c r="T43" s="10"/>
      <c r="U43" s="10"/>
      <c r="V43" s="10"/>
      <c r="W43" s="10"/>
      <c r="X43" s="10"/>
      <c r="Y43" s="10"/>
    </row>
    <row r="44" spans="1:25" ht="12" thickBot="1" x14ac:dyDescent="0.25">
      <c r="A44" s="904">
        <f t="shared" si="0"/>
        <v>36</v>
      </c>
      <c r="B44" s="903" t="s">
        <v>474</v>
      </c>
      <c r="C44" s="648">
        <f>SUM(C29:C42)</f>
        <v>34087</v>
      </c>
      <c r="D44" s="648">
        <f>SUM(D29:D42)</f>
        <v>70700</v>
      </c>
      <c r="E44" s="648">
        <f>SUM(E29:E42)</f>
        <v>104787</v>
      </c>
      <c r="F44" s="888" t="s">
        <v>467</v>
      </c>
      <c r="G44" s="190">
        <f>SUM(G29:G43)</f>
        <v>27693</v>
      </c>
      <c r="H44" s="190">
        <f>SUM(H29:H43)</f>
        <v>3751</v>
      </c>
      <c r="I44" s="454">
        <f>SUM(I29:I43)</f>
        <v>31444</v>
      </c>
      <c r="J44" s="184"/>
      <c r="T44" s="10"/>
      <c r="U44" s="10"/>
      <c r="V44" s="10"/>
      <c r="W44" s="10"/>
      <c r="X44" s="10"/>
      <c r="Y44" s="10"/>
    </row>
    <row r="45" spans="1:25" ht="12" thickBot="1" x14ac:dyDescent="0.25">
      <c r="A45" s="904">
        <f t="shared" si="0"/>
        <v>37</v>
      </c>
      <c r="B45" s="1134" t="s">
        <v>469</v>
      </c>
      <c r="C45" s="907">
        <f>C24+C44</f>
        <v>1427146</v>
      </c>
      <c r="D45" s="907">
        <f>D24+D44</f>
        <v>1205780</v>
      </c>
      <c r="E45" s="907">
        <f>E24+E44</f>
        <v>2632926</v>
      </c>
      <c r="F45" s="1129" t="s">
        <v>468</v>
      </c>
      <c r="G45" s="368">
        <f>G24+G44</f>
        <v>1427146</v>
      </c>
      <c r="H45" s="520">
        <f>H24+H44</f>
        <v>1205780.32</v>
      </c>
      <c r="I45" s="1130">
        <f>I24+I44</f>
        <v>2632926.3200000003</v>
      </c>
      <c r="J45" s="180"/>
      <c r="T45" s="10"/>
      <c r="U45" s="10"/>
      <c r="V45" s="10"/>
      <c r="W45" s="10"/>
      <c r="X45" s="10"/>
      <c r="Y45" s="10"/>
    </row>
    <row r="46" spans="1:25" x14ac:dyDescent="0.2">
      <c r="B46" s="183"/>
      <c r="C46" s="182"/>
      <c r="D46" s="182"/>
      <c r="E46" s="182"/>
      <c r="F46" s="182"/>
      <c r="G46" s="182"/>
      <c r="H46" s="182"/>
      <c r="I46" s="182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6.85546875" style="157" customWidth="1"/>
    <col min="3" max="3" width="11.28515625" style="158" customWidth="1"/>
    <col min="4" max="4" width="13.85546875" style="158" customWidth="1"/>
    <col min="5" max="5" width="13" style="158" customWidth="1"/>
    <col min="6" max="6" width="35.42578125" style="158" customWidth="1"/>
    <col min="7" max="7" width="12.140625" style="291" customWidth="1"/>
    <col min="8" max="8" width="11.42578125" style="291" customWidth="1"/>
    <col min="9" max="9" width="12.85546875" style="291" customWidth="1"/>
    <col min="10" max="10" width="9.140625" style="157"/>
    <col min="11" max="16384" width="9.140625" style="10"/>
  </cols>
  <sheetData>
    <row r="1" spans="1:10" ht="12.75" x14ac:dyDescent="0.2">
      <c r="B1" s="1141" t="s">
        <v>1218</v>
      </c>
      <c r="C1" s="1189"/>
      <c r="D1" s="1189"/>
      <c r="E1" s="1189"/>
      <c r="F1" s="1189"/>
      <c r="G1" s="1189"/>
      <c r="H1" s="1189"/>
      <c r="I1" s="1189"/>
    </row>
    <row r="2" spans="1:10" x14ac:dyDescent="0.2">
      <c r="I2" s="361"/>
    </row>
    <row r="3" spans="1:10" x14ac:dyDescent="0.2">
      <c r="I3" s="361"/>
    </row>
    <row r="4" spans="1:10" s="122" customFormat="1" x14ac:dyDescent="0.2">
      <c r="A4" s="160"/>
      <c r="B4" s="1144" t="s">
        <v>78</v>
      </c>
      <c r="C4" s="1144"/>
      <c r="D4" s="1144"/>
      <c r="E4" s="1144"/>
      <c r="F4" s="1144"/>
      <c r="G4" s="1144"/>
      <c r="H4" s="1144"/>
      <c r="I4" s="1144"/>
      <c r="J4" s="160"/>
    </row>
    <row r="5" spans="1:10" s="122" customFormat="1" x14ac:dyDescent="0.2">
      <c r="A5" s="160"/>
      <c r="B5" s="1246" t="s">
        <v>197</v>
      </c>
      <c r="C5" s="1246"/>
      <c r="D5" s="1246"/>
      <c r="E5" s="1246"/>
      <c r="F5" s="1246"/>
      <c r="G5" s="1246"/>
      <c r="H5" s="1246"/>
      <c r="I5" s="1246"/>
      <c r="J5" s="160"/>
    </row>
    <row r="6" spans="1:10" s="122" customFormat="1" x14ac:dyDescent="0.2">
      <c r="A6" s="160"/>
      <c r="B6" s="1144" t="s">
        <v>1126</v>
      </c>
      <c r="C6" s="1144"/>
      <c r="D6" s="1144"/>
      <c r="E6" s="1144"/>
      <c r="F6" s="1144"/>
      <c r="G6" s="1144"/>
      <c r="H6" s="1144"/>
      <c r="I6" s="1144"/>
      <c r="J6" s="160"/>
    </row>
    <row r="7" spans="1:10" s="122" customFormat="1" x14ac:dyDescent="0.2">
      <c r="A7" s="160"/>
      <c r="B7" s="1145" t="s">
        <v>321</v>
      </c>
      <c r="C7" s="1145"/>
      <c r="D7" s="1145"/>
      <c r="E7" s="1145"/>
      <c r="F7" s="1145"/>
      <c r="G7" s="1145"/>
      <c r="H7" s="1145"/>
      <c r="I7" s="1145"/>
      <c r="J7" s="160"/>
    </row>
    <row r="8" spans="1:10" s="122" customFormat="1" ht="12.75" customHeight="1" x14ac:dyDescent="0.2">
      <c r="A8" s="1168" t="s">
        <v>56</v>
      </c>
      <c r="B8" s="1335" t="s">
        <v>57</v>
      </c>
      <c r="C8" s="1166" t="s">
        <v>58</v>
      </c>
      <c r="D8" s="1150"/>
      <c r="E8" s="1194"/>
      <c r="F8" s="1337" t="s">
        <v>59</v>
      </c>
      <c r="G8" s="1163" t="s">
        <v>60</v>
      </c>
      <c r="H8" s="1164"/>
      <c r="I8" s="1164"/>
      <c r="J8" s="622"/>
    </row>
    <row r="9" spans="1:10" s="122" customFormat="1" ht="12.75" customHeight="1" x14ac:dyDescent="0.2">
      <c r="A9" s="1169"/>
      <c r="B9" s="1336"/>
      <c r="C9" s="1143" t="s">
        <v>1120</v>
      </c>
      <c r="D9" s="1272"/>
      <c r="E9" s="1339"/>
      <c r="F9" s="1338"/>
      <c r="G9" s="1156" t="s">
        <v>1120</v>
      </c>
      <c r="H9" s="1340"/>
      <c r="I9" s="1341"/>
      <c r="J9" s="622"/>
    </row>
    <row r="10" spans="1:10" s="310" customFormat="1" ht="36.6" customHeight="1" x14ac:dyDescent="0.2">
      <c r="A10" s="1170"/>
      <c r="B10" s="308" t="s">
        <v>61</v>
      </c>
      <c r="C10" s="135" t="s">
        <v>62</v>
      </c>
      <c r="D10" s="135" t="s">
        <v>63</v>
      </c>
      <c r="E10" s="135" t="s">
        <v>64</v>
      </c>
      <c r="F10" s="294" t="s">
        <v>65</v>
      </c>
      <c r="G10" s="362" t="s">
        <v>62</v>
      </c>
      <c r="H10" s="362" t="s">
        <v>63</v>
      </c>
      <c r="I10" s="362" t="s">
        <v>64</v>
      </c>
      <c r="J10" s="629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67"/>
      <c r="H11" s="367"/>
      <c r="I11" s="477"/>
      <c r="J11" s="191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>SUM(C12:D12)</f>
        <v>0</v>
      </c>
      <c r="F12" s="139" t="s">
        <v>231</v>
      </c>
      <c r="G12" s="286">
        <v>85000</v>
      </c>
      <c r="H12" s="286">
        <v>2719</v>
      </c>
      <c r="I12" s="478">
        <f>SUM(G12:H12)</f>
        <v>87719</v>
      </c>
      <c r="J12" s="191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>SUM(C13:D13)</f>
        <v>0</v>
      </c>
      <c r="F13" s="551" t="s">
        <v>232</v>
      </c>
      <c r="G13" s="286">
        <v>16138</v>
      </c>
      <c r="H13" s="286">
        <v>1160</v>
      </c>
      <c r="I13" s="478">
        <f>SUM(G13:H13)</f>
        <v>17298</v>
      </c>
      <c r="J13" s="191"/>
    </row>
    <row r="14" spans="1:10" x14ac:dyDescent="0.2">
      <c r="A14" s="164">
        <f t="shared" si="0"/>
        <v>4</v>
      </c>
      <c r="B14" s="167" t="s">
        <v>37</v>
      </c>
      <c r="C14" s="118"/>
      <c r="D14" s="118"/>
      <c r="E14" s="119">
        <f>SUM(C14:D14)</f>
        <v>0</v>
      </c>
      <c r="F14" s="139" t="s">
        <v>233</v>
      </c>
      <c r="G14" s="286">
        <v>13994</v>
      </c>
      <c r="H14" s="286"/>
      <c r="I14" s="478">
        <f>SUM(G14:H14)</f>
        <v>13994</v>
      </c>
      <c r="J14" s="191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298"/>
      <c r="H15" s="298"/>
      <c r="I15" s="479"/>
      <c r="J15" s="191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>SUM(C16:D16)</f>
        <v>0</v>
      </c>
      <c r="F16" s="139" t="s">
        <v>28</v>
      </c>
      <c r="G16" s="293"/>
      <c r="H16" s="293"/>
      <c r="I16" s="480"/>
      <c r="J16" s="191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3"/>
      <c r="H17" s="293"/>
      <c r="I17" s="480"/>
      <c r="J17" s="191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>SUM(C18:D18)</f>
        <v>0</v>
      </c>
      <c r="F18" s="139" t="s">
        <v>472</v>
      </c>
      <c r="G18" s="293"/>
      <c r="H18" s="293"/>
      <c r="I18" s="480"/>
      <c r="J18" s="191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471</v>
      </c>
      <c r="G19" s="293"/>
      <c r="H19" s="293"/>
      <c r="I19" s="480"/>
      <c r="J19" s="191"/>
    </row>
    <row r="20" spans="1:10" x14ac:dyDescent="0.2">
      <c r="A20" s="164">
        <f t="shared" si="0"/>
        <v>10</v>
      </c>
      <c r="B20" s="116" t="s">
        <v>41</v>
      </c>
      <c r="C20" s="168"/>
      <c r="D20" s="168"/>
      <c r="E20" s="168">
        <f>SUM(C20:D20)</f>
        <v>0</v>
      </c>
      <c r="F20" s="158" t="s">
        <v>977</v>
      </c>
      <c r="G20" s="293"/>
      <c r="H20" s="293"/>
      <c r="I20" s="480"/>
      <c r="J20" s="191"/>
    </row>
    <row r="21" spans="1:10" x14ac:dyDescent="0.2">
      <c r="A21" s="164">
        <f t="shared" si="0"/>
        <v>11</v>
      </c>
      <c r="C21" s="168"/>
      <c r="D21" s="168"/>
      <c r="E21" s="168"/>
      <c r="F21" s="139" t="s">
        <v>978</v>
      </c>
      <c r="G21" s="293"/>
      <c r="H21" s="293"/>
      <c r="I21" s="480"/>
      <c r="J21" s="191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979</v>
      </c>
      <c r="G22" s="293"/>
      <c r="H22" s="293"/>
      <c r="I22" s="480"/>
      <c r="J22" s="624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3"/>
      <c r="H23" s="293"/>
      <c r="I23" s="480"/>
      <c r="J23" s="624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64">
        <f>SUM(G12:G22)</f>
        <v>115132</v>
      </c>
      <c r="H24" s="364">
        <f>SUM(H12:H22)</f>
        <v>3879</v>
      </c>
      <c r="I24" s="481">
        <f>SUM(I12:I22)</f>
        <v>119011</v>
      </c>
      <c r="J24" s="191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3"/>
      <c r="H25" s="293"/>
      <c r="I25" s="480"/>
      <c r="J25" s="191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66"/>
      <c r="H26" s="366"/>
      <c r="I26" s="480"/>
      <c r="J26" s="191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242</v>
      </c>
      <c r="G27" s="293">
        <f>'felhalm. kiad.  '!G127</f>
        <v>1400</v>
      </c>
      <c r="H27" s="293">
        <f>'felhalm. kiad.  '!H127</f>
        <v>0</v>
      </c>
      <c r="I27" s="480">
        <f>SUM(G27:H27)</f>
        <v>1400</v>
      </c>
      <c r="J27" s="191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3"/>
      <c r="H28" s="293"/>
      <c r="I28" s="480"/>
      <c r="J28" s="191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3"/>
      <c r="H29" s="293"/>
      <c r="I29" s="480"/>
      <c r="J29" s="191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473</v>
      </c>
      <c r="G30" s="293"/>
      <c r="H30" s="293"/>
      <c r="I30" s="480"/>
      <c r="J30" s="624"/>
    </row>
    <row r="31" spans="1:10" x14ac:dyDescent="0.2">
      <c r="A31" s="164">
        <f t="shared" si="0"/>
        <v>21</v>
      </c>
      <c r="C31" s="119"/>
      <c r="D31" s="119"/>
      <c r="E31" s="119"/>
      <c r="F31" s="139" t="s">
        <v>470</v>
      </c>
      <c r="G31" s="293"/>
      <c r="H31" s="293"/>
      <c r="I31" s="480"/>
      <c r="J31" s="191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0</v>
      </c>
      <c r="D32" s="168">
        <f>D14+D20</f>
        <v>0</v>
      </c>
      <c r="E32" s="168">
        <f>E14+E20</f>
        <v>0</v>
      </c>
      <c r="F32" s="139" t="s">
        <v>466</v>
      </c>
      <c r="G32" s="291"/>
      <c r="H32" s="291"/>
      <c r="I32" s="480"/>
      <c r="J32" s="526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65">
        <f>SUM(G27:G32)</f>
        <v>1400</v>
      </c>
      <c r="H33" s="365">
        <f>SUM(H27:H32)</f>
        <v>0</v>
      </c>
      <c r="I33" s="482">
        <f>SUM(I27:I31)</f>
        <v>1400</v>
      </c>
      <c r="J33" s="191"/>
    </row>
    <row r="34" spans="1:10" x14ac:dyDescent="0.2">
      <c r="A34" s="164">
        <f t="shared" si="0"/>
        <v>24</v>
      </c>
      <c r="B34" s="178" t="s">
        <v>51</v>
      </c>
      <c r="C34" s="173">
        <f>SUM(C32:C33)</f>
        <v>0</v>
      </c>
      <c r="D34" s="173">
        <f>SUM(D32:D33)</f>
        <v>0</v>
      </c>
      <c r="E34" s="173">
        <f>SUM(C34:D34)</f>
        <v>0</v>
      </c>
      <c r="F34" s="179" t="s">
        <v>69</v>
      </c>
      <c r="G34" s="366">
        <f>G24+G33</f>
        <v>116532</v>
      </c>
      <c r="H34" s="366">
        <f>H24+H33</f>
        <v>3879</v>
      </c>
      <c r="I34" s="454">
        <f>I24+I33</f>
        <v>120411</v>
      </c>
      <c r="J34" s="191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3"/>
      <c r="H35" s="293"/>
      <c r="I35" s="480"/>
      <c r="J35" s="191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64"/>
      <c r="H36" s="364"/>
      <c r="I36" s="481"/>
      <c r="J36" s="191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3"/>
      <c r="H37" s="293"/>
      <c r="I37" s="480"/>
      <c r="J37" s="526"/>
    </row>
    <row r="38" spans="1:10" s="11" customFormat="1" x14ac:dyDescent="0.2">
      <c r="A38" s="798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66"/>
      <c r="H38" s="366"/>
      <c r="I38" s="454"/>
      <c r="J38" s="526"/>
    </row>
    <row r="39" spans="1:10" s="11" customFormat="1" x14ac:dyDescent="0.2">
      <c r="A39" s="164">
        <f t="shared" si="0"/>
        <v>29</v>
      </c>
      <c r="B39" s="136" t="s">
        <v>726</v>
      </c>
      <c r="C39" s="126"/>
      <c r="D39" s="126"/>
      <c r="E39" s="126"/>
      <c r="F39" s="181" t="s">
        <v>4</v>
      </c>
      <c r="G39" s="190"/>
      <c r="I39" s="483"/>
      <c r="J39" s="526"/>
    </row>
    <row r="40" spans="1:10" s="11" customFormat="1" x14ac:dyDescent="0.2">
      <c r="A40" s="164">
        <f t="shared" si="0"/>
        <v>30</v>
      </c>
      <c r="B40" s="116" t="s">
        <v>1018</v>
      </c>
      <c r="C40" s="126"/>
      <c r="D40" s="126"/>
      <c r="E40" s="126"/>
      <c r="F40" s="552" t="s">
        <v>3</v>
      </c>
      <c r="G40" s="366"/>
      <c r="H40" s="366"/>
      <c r="I40" s="454"/>
      <c r="J40" s="526"/>
    </row>
    <row r="41" spans="1:10" x14ac:dyDescent="0.2">
      <c r="A41" s="164">
        <f t="shared" si="0"/>
        <v>31</v>
      </c>
      <c r="B41" s="118" t="s">
        <v>728</v>
      </c>
      <c r="C41" s="185"/>
      <c r="D41" s="185"/>
      <c r="E41" s="185"/>
      <c r="F41" s="139" t="s">
        <v>5</v>
      </c>
      <c r="G41" s="366"/>
      <c r="H41" s="366"/>
      <c r="I41" s="454"/>
      <c r="J41" s="191"/>
    </row>
    <row r="42" spans="1:10" x14ac:dyDescent="0.2">
      <c r="A42" s="164">
        <f t="shared" si="0"/>
        <v>32</v>
      </c>
      <c r="B42" s="118" t="s">
        <v>223</v>
      </c>
      <c r="C42" s="119"/>
      <c r="D42" s="119"/>
      <c r="E42" s="119"/>
      <c r="F42" s="139" t="s">
        <v>6</v>
      </c>
      <c r="G42" s="190"/>
      <c r="H42" s="190"/>
      <c r="I42" s="454"/>
      <c r="J42" s="191"/>
    </row>
    <row r="43" spans="1:10" x14ac:dyDescent="0.2">
      <c r="A43" s="164">
        <f t="shared" si="0"/>
        <v>33</v>
      </c>
      <c r="B43" s="550" t="s">
        <v>224</v>
      </c>
      <c r="C43" s="119"/>
      <c r="D43" s="119"/>
      <c r="E43" s="119">
        <f>C43+D43</f>
        <v>0</v>
      </c>
      <c r="F43" s="139" t="s">
        <v>7</v>
      </c>
      <c r="G43" s="190"/>
      <c r="H43" s="190"/>
      <c r="I43" s="454"/>
      <c r="J43" s="191"/>
    </row>
    <row r="44" spans="1:10" x14ac:dyDescent="0.2">
      <c r="A44" s="164">
        <f t="shared" si="0"/>
        <v>34</v>
      </c>
      <c r="B44" s="550" t="s">
        <v>1013</v>
      </c>
      <c r="C44" s="119"/>
      <c r="D44" s="119"/>
      <c r="E44" s="119"/>
      <c r="F44" s="139"/>
      <c r="G44" s="190"/>
      <c r="H44" s="190"/>
      <c r="I44" s="454"/>
      <c r="J44" s="191"/>
    </row>
    <row r="45" spans="1:10" x14ac:dyDescent="0.2">
      <c r="A45" s="164">
        <f t="shared" si="0"/>
        <v>35</v>
      </c>
      <c r="B45" s="119" t="s">
        <v>729</v>
      </c>
      <c r="C45" s="119"/>
      <c r="D45" s="119"/>
      <c r="E45" s="119"/>
      <c r="F45" s="139" t="s">
        <v>8</v>
      </c>
      <c r="G45" s="366"/>
      <c r="H45" s="366"/>
      <c r="I45" s="480"/>
      <c r="J45" s="191"/>
    </row>
    <row r="46" spans="1:10" x14ac:dyDescent="0.2">
      <c r="A46" s="164">
        <f t="shared" si="0"/>
        <v>36</v>
      </c>
      <c r="B46" s="119" t="s">
        <v>730</v>
      </c>
      <c r="C46" s="126"/>
      <c r="D46" s="126"/>
      <c r="E46" s="126"/>
      <c r="F46" s="139" t="s">
        <v>9</v>
      </c>
      <c r="G46" s="366"/>
      <c r="H46" s="366"/>
      <c r="I46" s="480"/>
      <c r="J46" s="191"/>
    </row>
    <row r="47" spans="1:10" x14ac:dyDescent="0.2">
      <c r="A47" s="164">
        <f t="shared" si="0"/>
        <v>37</v>
      </c>
      <c r="B47" s="118" t="s">
        <v>227</v>
      </c>
      <c r="C47" s="119"/>
      <c r="D47" s="119"/>
      <c r="E47" s="119"/>
      <c r="F47" s="139" t="s">
        <v>10</v>
      </c>
      <c r="G47" s="293"/>
      <c r="H47" s="293"/>
      <c r="I47" s="480"/>
      <c r="J47" s="191"/>
    </row>
    <row r="48" spans="1:10" x14ac:dyDescent="0.2">
      <c r="A48" s="164">
        <f t="shared" si="0"/>
        <v>38</v>
      </c>
      <c r="B48" s="550" t="s">
        <v>228</v>
      </c>
      <c r="C48" s="119">
        <f>G24-(C34+C43)</f>
        <v>115132</v>
      </c>
      <c r="D48" s="119">
        <f>H24-(D34+D43)</f>
        <v>3879</v>
      </c>
      <c r="E48" s="119">
        <f>I24-(E34+E43)</f>
        <v>119011</v>
      </c>
      <c r="F48" s="139" t="s">
        <v>11</v>
      </c>
      <c r="G48" s="293"/>
      <c r="H48" s="293"/>
      <c r="I48" s="480"/>
      <c r="J48" s="191"/>
    </row>
    <row r="49" spans="1:10" x14ac:dyDescent="0.2">
      <c r="A49" s="164">
        <f t="shared" si="0"/>
        <v>39</v>
      </c>
      <c r="B49" s="550" t="s">
        <v>229</v>
      </c>
      <c r="C49" s="119">
        <f>G33-C33</f>
        <v>1400</v>
      </c>
      <c r="D49" s="119"/>
      <c r="E49" s="119">
        <f>I33-E33</f>
        <v>1400</v>
      </c>
      <c r="F49" s="139" t="s">
        <v>12</v>
      </c>
      <c r="G49" s="293"/>
      <c r="H49" s="293"/>
      <c r="I49" s="480"/>
      <c r="J49" s="191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3"/>
      <c r="H50" s="293"/>
      <c r="I50" s="480"/>
      <c r="J50" s="191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3"/>
      <c r="H51" s="293"/>
      <c r="I51" s="480"/>
      <c r="J51" s="191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3"/>
      <c r="H52" s="293"/>
      <c r="I52" s="480"/>
      <c r="J52" s="191"/>
    </row>
    <row r="53" spans="1:10" ht="12" thickBot="1" x14ac:dyDescent="0.25">
      <c r="A53" s="164">
        <f t="shared" si="0"/>
        <v>43</v>
      </c>
      <c r="B53" s="178" t="s">
        <v>474</v>
      </c>
      <c r="C53" s="337">
        <f>SUM(C39:C51)</f>
        <v>116532</v>
      </c>
      <c r="D53" s="337">
        <f>SUM(D39:D51)</f>
        <v>3879</v>
      </c>
      <c r="E53" s="337">
        <f>SUM(E39:E51)</f>
        <v>120411</v>
      </c>
      <c r="F53" s="140" t="s">
        <v>467</v>
      </c>
      <c r="G53" s="366">
        <f>SUM(G39:G52)</f>
        <v>0</v>
      </c>
      <c r="H53" s="366">
        <f>SUM(H39:H52)</f>
        <v>0</v>
      </c>
      <c r="I53" s="484">
        <f>SUM(I39:I52)</f>
        <v>0</v>
      </c>
      <c r="J53" s="191"/>
    </row>
    <row r="54" spans="1:10" ht="12" thickBot="1" x14ac:dyDescent="0.25">
      <c r="A54" s="164">
        <f t="shared" si="0"/>
        <v>44</v>
      </c>
      <c r="B54" s="186" t="s">
        <v>469</v>
      </c>
      <c r="C54" s="333">
        <f>C34+C53</f>
        <v>116532</v>
      </c>
      <c r="D54" s="333">
        <f>D34+D53</f>
        <v>3879</v>
      </c>
      <c r="E54" s="334">
        <f>E34+E53</f>
        <v>120411</v>
      </c>
      <c r="F54" s="518" t="s">
        <v>468</v>
      </c>
      <c r="G54" s="368">
        <f>G34+G53</f>
        <v>116532</v>
      </c>
      <c r="H54" s="369">
        <f>H34+H53</f>
        <v>3879</v>
      </c>
      <c r="I54" s="368">
        <f>I34+I53</f>
        <v>120411</v>
      </c>
      <c r="J54" s="10"/>
    </row>
    <row r="55" spans="1:10" x14ac:dyDescent="0.2">
      <c r="B55" s="183"/>
      <c r="C55" s="182"/>
      <c r="D55" s="182"/>
      <c r="E55" s="182"/>
      <c r="F55" s="182"/>
      <c r="G55" s="190"/>
      <c r="H55" s="190"/>
      <c r="I55" s="190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55"/>
  <sheetViews>
    <sheetView workbookViewId="0">
      <selection activeCell="N26" sqref="N26"/>
    </sheetView>
  </sheetViews>
  <sheetFormatPr defaultColWidth="9.140625" defaultRowHeight="11.25" x14ac:dyDescent="0.2"/>
  <cols>
    <col min="1" max="1" width="4.85546875" style="157" customWidth="1"/>
    <col min="2" max="2" width="38.28515625" style="157" customWidth="1"/>
    <col min="3" max="3" width="10.140625" style="158" customWidth="1"/>
    <col min="4" max="4" width="11.140625" style="158" customWidth="1"/>
    <col min="5" max="5" width="11.5703125" style="158" customWidth="1"/>
    <col min="6" max="6" width="38" style="158" customWidth="1"/>
    <col min="7" max="7" width="10.42578125" style="158" customWidth="1"/>
    <col min="8" max="8" width="12" style="291" customWidth="1"/>
    <col min="9" max="9" width="13.28515625" style="291" customWidth="1"/>
    <col min="10" max="10" width="9.140625" style="157"/>
    <col min="11" max="16384" width="9.140625" style="10"/>
  </cols>
  <sheetData>
    <row r="1" spans="1:10" ht="12.75" customHeight="1" x14ac:dyDescent="0.2">
      <c r="C1" s="1141" t="s">
        <v>1278</v>
      </c>
      <c r="D1" s="1141"/>
      <c r="E1" s="1141"/>
      <c r="F1" s="1141"/>
      <c r="G1" s="1141"/>
      <c r="H1" s="1141"/>
      <c r="I1" s="1141"/>
    </row>
    <row r="2" spans="1:10" x14ac:dyDescent="0.2">
      <c r="I2" s="361"/>
    </row>
    <row r="3" spans="1:10" x14ac:dyDescent="0.2">
      <c r="I3" s="361"/>
    </row>
    <row r="4" spans="1:10" s="122" customFormat="1" x14ac:dyDescent="0.2">
      <c r="A4" s="160"/>
      <c r="B4" s="1144" t="s">
        <v>78</v>
      </c>
      <c r="C4" s="1144"/>
      <c r="D4" s="1144"/>
      <c r="E4" s="1144"/>
      <c r="F4" s="1144"/>
      <c r="G4" s="1144"/>
      <c r="H4" s="1144"/>
      <c r="I4" s="1144"/>
      <c r="J4" s="160"/>
    </row>
    <row r="5" spans="1:10" s="122" customFormat="1" x14ac:dyDescent="0.2">
      <c r="A5" s="160"/>
      <c r="B5" s="1246" t="s">
        <v>734</v>
      </c>
      <c r="C5" s="1246"/>
      <c r="D5" s="1246"/>
      <c r="E5" s="1246"/>
      <c r="F5" s="1246"/>
      <c r="G5" s="1246"/>
      <c r="H5" s="1246"/>
      <c r="I5" s="1246"/>
      <c r="J5" s="160"/>
    </row>
    <row r="6" spans="1:10" s="122" customFormat="1" ht="12.75" customHeight="1" x14ac:dyDescent="0.2">
      <c r="A6" s="160"/>
      <c r="B6" s="1342" t="s">
        <v>1128</v>
      </c>
      <c r="C6" s="1342"/>
      <c r="D6" s="1342"/>
      <c r="E6" s="1342"/>
      <c r="F6" s="1342"/>
      <c r="G6" s="1342"/>
      <c r="H6" s="1342"/>
      <c r="I6" s="1342"/>
    </row>
    <row r="7" spans="1:10" s="122" customFormat="1" x14ac:dyDescent="0.2">
      <c r="A7" s="160"/>
      <c r="B7" s="1145" t="s">
        <v>321</v>
      </c>
      <c r="C7" s="1145"/>
      <c r="D7" s="1145"/>
      <c r="E7" s="1145"/>
      <c r="F7" s="1145"/>
      <c r="G7" s="1145"/>
      <c r="H7" s="1145"/>
      <c r="I7" s="1145"/>
      <c r="J7" s="160"/>
    </row>
    <row r="8" spans="1:10" s="122" customFormat="1" ht="12.75" customHeight="1" x14ac:dyDescent="0.2">
      <c r="A8" s="1149" t="s">
        <v>56</v>
      </c>
      <c r="B8" s="1150" t="s">
        <v>57</v>
      </c>
      <c r="C8" s="1166" t="s">
        <v>58</v>
      </c>
      <c r="D8" s="1150"/>
      <c r="E8" s="1194"/>
      <c r="F8" s="1343" t="s">
        <v>59</v>
      </c>
      <c r="G8" s="1163" t="s">
        <v>60</v>
      </c>
      <c r="H8" s="1164"/>
      <c r="I8" s="1164"/>
    </row>
    <row r="9" spans="1:10" s="122" customFormat="1" ht="12.75" customHeight="1" x14ac:dyDescent="0.2">
      <c r="A9" s="1149"/>
      <c r="B9" s="1150"/>
      <c r="C9" s="1143" t="s">
        <v>1120</v>
      </c>
      <c r="D9" s="1272"/>
      <c r="E9" s="1339"/>
      <c r="F9" s="1343"/>
      <c r="G9" s="1156" t="s">
        <v>1120</v>
      </c>
      <c r="H9" s="1340"/>
      <c r="I9" s="1341"/>
    </row>
    <row r="10" spans="1:10" s="123" customFormat="1" ht="36.6" customHeight="1" x14ac:dyDescent="0.2">
      <c r="A10" s="1149"/>
      <c r="B10" s="161" t="s">
        <v>61</v>
      </c>
      <c r="C10" s="135" t="s">
        <v>62</v>
      </c>
      <c r="D10" s="135" t="s">
        <v>63</v>
      </c>
      <c r="E10" s="135" t="s">
        <v>64</v>
      </c>
      <c r="F10" s="649" t="s">
        <v>65</v>
      </c>
      <c r="G10" s="135" t="s">
        <v>62</v>
      </c>
      <c r="H10" s="362" t="s">
        <v>63</v>
      </c>
      <c r="I10" s="362" t="s">
        <v>64</v>
      </c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67"/>
      <c r="I11" s="477"/>
      <c r="J11" s="1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231</v>
      </c>
      <c r="G12" s="286">
        <v>50000</v>
      </c>
      <c r="H12" s="286">
        <f>36406+1935</f>
        <v>38341</v>
      </c>
      <c r="I12" s="478">
        <f>SUM(G12:H12)</f>
        <v>88341</v>
      </c>
      <c r="J12" s="1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139" t="s">
        <v>232</v>
      </c>
      <c r="G13" s="286">
        <v>8783</v>
      </c>
      <c r="H13" s="286">
        <f>9182+392</f>
        <v>9574</v>
      </c>
      <c r="I13" s="478">
        <f>SUM(G13:H13)</f>
        <v>18357</v>
      </c>
      <c r="J13" s="10"/>
    </row>
    <row r="14" spans="1:10" x14ac:dyDescent="0.2">
      <c r="A14" s="164">
        <f t="shared" si="0"/>
        <v>4</v>
      </c>
      <c r="B14" s="167" t="s">
        <v>37</v>
      </c>
      <c r="C14" s="118"/>
      <c r="D14" s="118"/>
      <c r="E14" s="119">
        <f t="shared" si="1"/>
        <v>0</v>
      </c>
      <c r="F14" s="139" t="s">
        <v>233</v>
      </c>
      <c r="G14" s="286">
        <v>52172</v>
      </c>
      <c r="H14" s="286">
        <v>106052</v>
      </c>
      <c r="I14" s="478">
        <f>SUM(G14:H14)</f>
        <v>158224</v>
      </c>
      <c r="J14" s="1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298"/>
      <c r="H15" s="298"/>
      <c r="I15" s="479"/>
      <c r="J15" s="1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169"/>
      <c r="H16" s="293"/>
      <c r="I16" s="480"/>
      <c r="J16" s="10"/>
    </row>
    <row r="17" spans="1:12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3"/>
      <c r="I17" s="480"/>
      <c r="J17" s="10"/>
    </row>
    <row r="18" spans="1:12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472</v>
      </c>
      <c r="G18" s="169"/>
      <c r="H18" s="293"/>
      <c r="I18" s="480"/>
      <c r="J18" s="10"/>
    </row>
    <row r="19" spans="1:12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471</v>
      </c>
      <c r="G19" s="169"/>
      <c r="H19" s="293"/>
      <c r="I19" s="480"/>
      <c r="J19" s="10"/>
    </row>
    <row r="20" spans="1:12" x14ac:dyDescent="0.2">
      <c r="A20" s="164">
        <f t="shared" si="0"/>
        <v>10</v>
      </c>
      <c r="B20" s="116" t="s">
        <v>210</v>
      </c>
      <c r="C20" s="363">
        <f>39290+10000</f>
        <v>49290</v>
      </c>
      <c r="D20" s="363">
        <f>28191+4500+2420</f>
        <v>35111</v>
      </c>
      <c r="E20" s="168">
        <f>SUM(C20:D20)</f>
        <v>84401</v>
      </c>
      <c r="F20" s="139" t="s">
        <v>976</v>
      </c>
      <c r="G20" s="169"/>
      <c r="H20" s="293"/>
      <c r="I20" s="480">
        <f>G20+H20</f>
        <v>0</v>
      </c>
      <c r="J20" s="10"/>
    </row>
    <row r="21" spans="1:12" x14ac:dyDescent="0.2">
      <c r="A21" s="164">
        <f t="shared" si="0"/>
        <v>11</v>
      </c>
      <c r="C21" s="168"/>
      <c r="D21" s="168"/>
      <c r="E21" s="168"/>
      <c r="F21" s="139" t="s">
        <v>464</v>
      </c>
      <c r="G21" s="169"/>
      <c r="H21" s="293"/>
      <c r="I21" s="480"/>
      <c r="J21" s="10"/>
    </row>
    <row r="22" spans="1:12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465</v>
      </c>
      <c r="G22" s="169"/>
      <c r="H22" s="293"/>
      <c r="I22" s="480"/>
    </row>
    <row r="23" spans="1:12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3"/>
      <c r="I23" s="480"/>
    </row>
    <row r="24" spans="1:12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110955</v>
      </c>
      <c r="H24" s="364">
        <f>SUM(H12:H22)</f>
        <v>153967</v>
      </c>
      <c r="I24" s="481">
        <f>SUM(I12:I22)</f>
        <v>264922</v>
      </c>
      <c r="J24" s="10"/>
    </row>
    <row r="25" spans="1:12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169"/>
      <c r="H25" s="293"/>
      <c r="I25" s="480"/>
      <c r="J25" s="10"/>
      <c r="L25" s="292"/>
    </row>
    <row r="26" spans="1:12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66"/>
      <c r="I26" s="480"/>
      <c r="J26" s="10"/>
    </row>
    <row r="27" spans="1:12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291</v>
      </c>
      <c r="G27" s="169">
        <f>'felhalm. kiad.  '!G114</f>
        <v>0</v>
      </c>
      <c r="H27" s="169">
        <f>'felhalm. kiad.  '!H114</f>
        <v>7370</v>
      </c>
      <c r="I27" s="453">
        <f>'felhalm. kiad.  '!F114</f>
        <v>7370</v>
      </c>
      <c r="J27" s="10"/>
    </row>
    <row r="28" spans="1:12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3"/>
      <c r="I28" s="480"/>
      <c r="J28" s="10"/>
    </row>
    <row r="29" spans="1:12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169"/>
      <c r="H29" s="293"/>
      <c r="I29" s="480"/>
      <c r="J29" s="10"/>
    </row>
    <row r="30" spans="1:12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473</v>
      </c>
      <c r="G30" s="169"/>
      <c r="H30" s="293"/>
      <c r="I30" s="480"/>
      <c r="K30" s="821"/>
    </row>
    <row r="31" spans="1:12" x14ac:dyDescent="0.2">
      <c r="A31" s="164">
        <f t="shared" si="0"/>
        <v>21</v>
      </c>
      <c r="C31" s="119"/>
      <c r="D31" s="119"/>
      <c r="E31" s="119"/>
      <c r="F31" s="139" t="s">
        <v>470</v>
      </c>
      <c r="G31" s="169"/>
      <c r="H31" s="293"/>
      <c r="I31" s="480"/>
      <c r="J31" s="10"/>
    </row>
    <row r="32" spans="1:12" s="11" customFormat="1" x14ac:dyDescent="0.2">
      <c r="A32" s="164">
        <f t="shared" si="0"/>
        <v>22</v>
      </c>
      <c r="B32" s="174" t="s">
        <v>52</v>
      </c>
      <c r="C32" s="168">
        <f>C14+C20</f>
        <v>49290</v>
      </c>
      <c r="D32" s="168">
        <f>D14+D20</f>
        <v>35111</v>
      </c>
      <c r="E32" s="168">
        <f>E14+E20</f>
        <v>84401</v>
      </c>
      <c r="F32" s="139" t="s">
        <v>466</v>
      </c>
      <c r="G32" s="158"/>
      <c r="H32" s="291"/>
      <c r="I32" s="480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177">
        <f>SUM(G27:G32)</f>
        <v>0</v>
      </c>
      <c r="H33" s="365">
        <f>SUM(H27:H32)</f>
        <v>7370</v>
      </c>
      <c r="I33" s="482">
        <f>SUM(I27:I31)</f>
        <v>7370</v>
      </c>
      <c r="J33" s="191"/>
    </row>
    <row r="34" spans="1:10" x14ac:dyDescent="0.2">
      <c r="A34" s="164">
        <f t="shared" si="0"/>
        <v>24</v>
      </c>
      <c r="B34" s="178" t="s">
        <v>51</v>
      </c>
      <c r="C34" s="173">
        <f>SUM(C32:C33)</f>
        <v>49290</v>
      </c>
      <c r="D34" s="173">
        <f>SUM(D32:D33)</f>
        <v>35111</v>
      </c>
      <c r="E34" s="173">
        <f>SUM(C34:D34)</f>
        <v>84401</v>
      </c>
      <c r="F34" s="179" t="s">
        <v>69</v>
      </c>
      <c r="G34" s="173">
        <f>G24+G33</f>
        <v>110955</v>
      </c>
      <c r="H34" s="366">
        <f>H24+H33</f>
        <v>161337</v>
      </c>
      <c r="I34" s="454">
        <f>I24+I33</f>
        <v>272292</v>
      </c>
      <c r="J34" s="191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3"/>
      <c r="I35" s="480"/>
      <c r="J35" s="1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64"/>
      <c r="I36" s="481"/>
      <c r="J36" s="1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3"/>
      <c r="I37" s="480"/>
    </row>
    <row r="38" spans="1:10" s="11" customFormat="1" x14ac:dyDescent="0.2">
      <c r="A38" s="798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66"/>
      <c r="I38" s="454"/>
    </row>
    <row r="39" spans="1:10" s="11" customFormat="1" ht="12" customHeight="1" x14ac:dyDescent="0.2">
      <c r="A39" s="164">
        <f t="shared" si="0"/>
        <v>29</v>
      </c>
      <c r="B39" s="136" t="s">
        <v>726</v>
      </c>
      <c r="C39" s="126"/>
      <c r="D39" s="126"/>
      <c r="E39" s="126"/>
      <c r="F39" s="181" t="s">
        <v>4</v>
      </c>
      <c r="G39" s="182"/>
      <c r="I39" s="483"/>
    </row>
    <row r="40" spans="1:10" s="11" customFormat="1" x14ac:dyDescent="0.2">
      <c r="A40" s="164">
        <f t="shared" si="0"/>
        <v>30</v>
      </c>
      <c r="B40" s="157" t="s">
        <v>1019</v>
      </c>
      <c r="C40" s="126"/>
      <c r="D40" s="126"/>
      <c r="E40" s="126"/>
      <c r="F40" s="552" t="s">
        <v>3</v>
      </c>
      <c r="G40" s="173"/>
      <c r="H40" s="366"/>
      <c r="I40" s="454"/>
    </row>
    <row r="41" spans="1:10" x14ac:dyDescent="0.2">
      <c r="A41" s="164">
        <f t="shared" si="0"/>
        <v>31</v>
      </c>
      <c r="B41" s="118" t="s">
        <v>728</v>
      </c>
      <c r="C41" s="185"/>
      <c r="D41" s="185"/>
      <c r="E41" s="185"/>
      <c r="F41" s="139" t="s">
        <v>5</v>
      </c>
      <c r="G41" s="173"/>
      <c r="H41" s="366"/>
      <c r="I41" s="454"/>
      <c r="J41" s="10"/>
    </row>
    <row r="42" spans="1:10" x14ac:dyDescent="0.2">
      <c r="A42" s="164">
        <f t="shared" si="0"/>
        <v>32</v>
      </c>
      <c r="B42" s="118" t="s">
        <v>223</v>
      </c>
      <c r="C42" s="119"/>
      <c r="D42" s="119"/>
      <c r="E42" s="119"/>
      <c r="F42" s="139" t="s">
        <v>6</v>
      </c>
      <c r="G42" s="182"/>
      <c r="H42" s="190"/>
      <c r="I42" s="454"/>
      <c r="J42" s="10"/>
    </row>
    <row r="43" spans="1:10" x14ac:dyDescent="0.2">
      <c r="A43" s="164">
        <f t="shared" si="0"/>
        <v>33</v>
      </c>
      <c r="B43" s="550" t="s">
        <v>224</v>
      </c>
      <c r="C43" s="119"/>
      <c r="D43" s="119"/>
      <c r="E43" s="119">
        <f>C43+D43</f>
        <v>0</v>
      </c>
      <c r="F43" s="139" t="s">
        <v>7</v>
      </c>
      <c r="G43" s="182"/>
      <c r="H43" s="190"/>
      <c r="I43" s="454"/>
      <c r="J43" s="10"/>
    </row>
    <row r="44" spans="1:10" x14ac:dyDescent="0.2">
      <c r="A44" s="164">
        <f t="shared" si="0"/>
        <v>34</v>
      </c>
      <c r="B44" s="550" t="s">
        <v>1013</v>
      </c>
      <c r="C44" s="119"/>
      <c r="D44" s="119"/>
      <c r="E44" s="119">
        <f>C44+D44</f>
        <v>0</v>
      </c>
      <c r="F44" s="139"/>
      <c r="G44" s="182"/>
      <c r="H44" s="190"/>
      <c r="I44" s="454"/>
      <c r="J44" s="10"/>
    </row>
    <row r="45" spans="1:10" x14ac:dyDescent="0.2">
      <c r="A45" s="164">
        <f t="shared" si="0"/>
        <v>35</v>
      </c>
      <c r="B45" s="119" t="s">
        <v>729</v>
      </c>
      <c r="C45" s="119"/>
      <c r="D45" s="119"/>
      <c r="E45" s="119"/>
      <c r="F45" s="139" t="s">
        <v>8</v>
      </c>
      <c r="G45" s="173"/>
      <c r="H45" s="366"/>
      <c r="I45" s="480"/>
      <c r="J45" s="10"/>
    </row>
    <row r="46" spans="1:10" x14ac:dyDescent="0.2">
      <c r="A46" s="164">
        <f t="shared" si="0"/>
        <v>36</v>
      </c>
      <c r="B46" s="119" t="s">
        <v>730</v>
      </c>
      <c r="C46" s="126"/>
      <c r="D46" s="126"/>
      <c r="E46" s="126"/>
      <c r="F46" s="139" t="s">
        <v>9</v>
      </c>
      <c r="G46" s="173"/>
      <c r="H46" s="366"/>
      <c r="I46" s="480"/>
      <c r="J46" s="10"/>
    </row>
    <row r="47" spans="1:10" x14ac:dyDescent="0.2">
      <c r="A47" s="164">
        <f t="shared" si="0"/>
        <v>37</v>
      </c>
      <c r="B47" s="118" t="s">
        <v>227</v>
      </c>
      <c r="C47" s="119"/>
      <c r="D47" s="119"/>
      <c r="E47" s="119"/>
      <c r="F47" s="139" t="s">
        <v>10</v>
      </c>
      <c r="G47" s="169"/>
      <c r="H47" s="293"/>
      <c r="I47" s="480"/>
      <c r="J47" s="10"/>
    </row>
    <row r="48" spans="1:10" x14ac:dyDescent="0.2">
      <c r="A48" s="164">
        <f t="shared" si="0"/>
        <v>38</v>
      </c>
      <c r="B48" s="550" t="s">
        <v>228</v>
      </c>
      <c r="C48" s="119">
        <f>G24-(C34+C43+C44)</f>
        <v>61665</v>
      </c>
      <c r="D48" s="119">
        <f>H24-(D34+D43+D44)</f>
        <v>118856</v>
      </c>
      <c r="E48" s="119">
        <f>I24-(E34+E43+E44)</f>
        <v>180521</v>
      </c>
      <c r="F48" s="139" t="s">
        <v>11</v>
      </c>
      <c r="G48" s="169"/>
      <c r="H48" s="293"/>
      <c r="I48" s="480"/>
      <c r="J48" s="10"/>
    </row>
    <row r="49" spans="1:10" x14ac:dyDescent="0.2">
      <c r="A49" s="164">
        <f t="shared" si="0"/>
        <v>39</v>
      </c>
      <c r="B49" s="550" t="s">
        <v>229</v>
      </c>
      <c r="C49" s="119">
        <f>G33-C33</f>
        <v>0</v>
      </c>
      <c r="D49" s="119">
        <f>H33-D33</f>
        <v>7370</v>
      </c>
      <c r="E49" s="119">
        <f>I33-E33</f>
        <v>7370</v>
      </c>
      <c r="F49" s="139" t="s">
        <v>12</v>
      </c>
      <c r="G49" s="169"/>
      <c r="H49" s="293"/>
      <c r="I49" s="480"/>
      <c r="J49" s="1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169"/>
      <c r="H50" s="293"/>
      <c r="I50" s="480"/>
      <c r="J50" s="1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169"/>
      <c r="H51" s="293"/>
      <c r="I51" s="480"/>
      <c r="J51" s="1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169"/>
      <c r="H52" s="293"/>
      <c r="I52" s="480"/>
      <c r="J52" s="10"/>
    </row>
    <row r="53" spans="1:10" ht="12" thickBot="1" x14ac:dyDescent="0.25">
      <c r="A53" s="164">
        <f t="shared" si="0"/>
        <v>43</v>
      </c>
      <c r="B53" s="178" t="s">
        <v>474</v>
      </c>
      <c r="C53" s="126">
        <f>SUM(C39:C51)</f>
        <v>61665</v>
      </c>
      <c r="D53" s="126">
        <f>SUM(D39:D51)</f>
        <v>126226</v>
      </c>
      <c r="E53" s="536">
        <f>SUM(E39:E51)</f>
        <v>187891</v>
      </c>
      <c r="F53" s="126" t="s">
        <v>467</v>
      </c>
      <c r="G53" s="173">
        <f>SUM(G39:G52)</f>
        <v>0</v>
      </c>
      <c r="H53" s="366">
        <f>SUM(H39:H52)</f>
        <v>0</v>
      </c>
      <c r="I53" s="454">
        <f>SUM(I39:I52)</f>
        <v>0</v>
      </c>
      <c r="J53" s="10"/>
    </row>
    <row r="54" spans="1:10" ht="12" thickBot="1" x14ac:dyDescent="0.25">
      <c r="A54" s="164">
        <f t="shared" si="0"/>
        <v>44</v>
      </c>
      <c r="B54" s="1139" t="s">
        <v>469</v>
      </c>
      <c r="C54" s="306">
        <f>C34+C53</f>
        <v>110955</v>
      </c>
      <c r="D54" s="306">
        <f>D34+D53</f>
        <v>161337</v>
      </c>
      <c r="E54" s="822">
        <f>E34+E53</f>
        <v>272292</v>
      </c>
      <c r="F54" s="307" t="s">
        <v>468</v>
      </c>
      <c r="G54" s="1140">
        <f>G34+G53</f>
        <v>110955</v>
      </c>
      <c r="H54" s="823">
        <f>H34+H53</f>
        <v>161337</v>
      </c>
      <c r="I54" s="824">
        <f>I34+I53</f>
        <v>272292</v>
      </c>
      <c r="J54" s="10"/>
    </row>
    <row r="55" spans="1:10" x14ac:dyDescent="0.2">
      <c r="B55" s="183"/>
      <c r="C55" s="182"/>
      <c r="D55" s="182"/>
      <c r="E55" s="182"/>
      <c r="F55" s="182"/>
      <c r="G55" s="182"/>
      <c r="H55" s="190"/>
      <c r="I55" s="190"/>
    </row>
  </sheetData>
  <mergeCells count="12">
    <mergeCell ref="A8:A10"/>
    <mergeCell ref="B8:B9"/>
    <mergeCell ref="C8:E8"/>
    <mergeCell ref="F8:F9"/>
    <mergeCell ref="G8:I8"/>
    <mergeCell ref="C9:E9"/>
    <mergeCell ref="G9:I9"/>
    <mergeCell ref="B7:I7"/>
    <mergeCell ref="B4:I4"/>
    <mergeCell ref="B5:I5"/>
    <mergeCell ref="B6:I6"/>
    <mergeCell ref="C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zoomScale="120" workbookViewId="0">
      <selection activeCell="O22" sqref="O22"/>
    </sheetView>
  </sheetViews>
  <sheetFormatPr defaultColWidth="9.140625" defaultRowHeight="11.25" x14ac:dyDescent="0.2"/>
  <cols>
    <col min="1" max="1" width="4.85546875" style="157" customWidth="1"/>
    <col min="2" max="2" width="36.7109375" style="157" customWidth="1"/>
    <col min="3" max="3" width="7" style="158" customWidth="1"/>
    <col min="4" max="5" width="9.5703125" style="158" customWidth="1"/>
    <col min="6" max="6" width="38" style="158" customWidth="1"/>
    <col min="7" max="7" width="7.5703125" style="158" customWidth="1"/>
    <col min="8" max="8" width="10.140625" style="291" customWidth="1"/>
    <col min="9" max="9" width="9.42578125" style="291" customWidth="1"/>
    <col min="10" max="10" width="9.140625" style="157"/>
    <col min="11" max="16384" width="9.140625" style="10"/>
  </cols>
  <sheetData>
    <row r="1" spans="1:10" ht="12.75" customHeight="1" x14ac:dyDescent="0.2">
      <c r="B1" s="1344" t="s">
        <v>1279</v>
      </c>
      <c r="C1" s="1278"/>
      <c r="D1" s="1278"/>
      <c r="E1" s="1278"/>
      <c r="F1" s="1278"/>
      <c r="G1" s="1278"/>
      <c r="H1" s="1278"/>
      <c r="I1" s="1278"/>
    </row>
    <row r="2" spans="1:10" x14ac:dyDescent="0.2">
      <c r="I2" s="361"/>
    </row>
    <row r="3" spans="1:10" x14ac:dyDescent="0.2">
      <c r="I3" s="361"/>
    </row>
    <row r="4" spans="1:10" s="122" customFormat="1" ht="12.75" customHeight="1" x14ac:dyDescent="0.2">
      <c r="A4" s="1144" t="s">
        <v>78</v>
      </c>
      <c r="B4" s="1144"/>
      <c r="C4" s="1144"/>
      <c r="D4" s="1144"/>
      <c r="E4" s="1144"/>
      <c r="F4" s="1144"/>
      <c r="G4" s="1144"/>
      <c r="H4" s="1144"/>
      <c r="I4" s="1144"/>
      <c r="J4" s="160"/>
    </row>
    <row r="5" spans="1:10" s="122" customFormat="1" ht="12.75" customHeight="1" x14ac:dyDescent="0.2">
      <c r="A5" s="1246" t="s">
        <v>758</v>
      </c>
      <c r="B5" s="1246"/>
      <c r="C5" s="1246"/>
      <c r="D5" s="1246"/>
      <c r="E5" s="1246"/>
      <c r="F5" s="1246"/>
      <c r="G5" s="1246"/>
      <c r="H5" s="1246"/>
      <c r="I5" s="1246"/>
      <c r="J5" s="160"/>
    </row>
    <row r="6" spans="1:10" s="122" customFormat="1" ht="12.75" customHeight="1" x14ac:dyDescent="0.2">
      <c r="A6" s="1144" t="s">
        <v>1126</v>
      </c>
      <c r="B6" s="1144"/>
      <c r="C6" s="1144"/>
      <c r="D6" s="1144"/>
      <c r="E6" s="1144"/>
      <c r="F6" s="1144"/>
      <c r="G6" s="1144"/>
      <c r="H6" s="1144"/>
      <c r="I6" s="1144"/>
      <c r="J6" s="160"/>
    </row>
    <row r="7" spans="1:10" s="122" customFormat="1" x14ac:dyDescent="0.2">
      <c r="A7" s="160"/>
      <c r="B7" s="1145" t="s">
        <v>325</v>
      </c>
      <c r="C7" s="1145"/>
      <c r="D7" s="1145"/>
      <c r="E7" s="1145"/>
      <c r="F7" s="1145"/>
      <c r="G7" s="1145"/>
      <c r="H7" s="1145"/>
      <c r="I7" s="1145"/>
      <c r="J7" s="160"/>
    </row>
    <row r="8" spans="1:10" s="122" customFormat="1" ht="12.75" customHeight="1" x14ac:dyDescent="0.2">
      <c r="A8" s="1149" t="s">
        <v>56</v>
      </c>
      <c r="B8" s="1150" t="s">
        <v>57</v>
      </c>
      <c r="C8" s="1165" t="s">
        <v>58</v>
      </c>
      <c r="D8" s="1165"/>
      <c r="E8" s="1166"/>
      <c r="F8" s="1245" t="s">
        <v>59</v>
      </c>
      <c r="G8" s="1147" t="s">
        <v>60</v>
      </c>
      <c r="H8" s="1148"/>
      <c r="I8" s="1148"/>
      <c r="J8" s="622"/>
    </row>
    <row r="9" spans="1:10" s="122" customFormat="1" ht="12.75" customHeight="1" x14ac:dyDescent="0.2">
      <c r="A9" s="1149"/>
      <c r="B9" s="1150"/>
      <c r="C9" s="1142" t="s">
        <v>1120</v>
      </c>
      <c r="D9" s="1142"/>
      <c r="E9" s="1143"/>
      <c r="F9" s="1245"/>
      <c r="G9" s="1142" t="s">
        <v>1120</v>
      </c>
      <c r="H9" s="1142"/>
      <c r="I9" s="1142"/>
      <c r="J9" s="622"/>
    </row>
    <row r="10" spans="1:10" s="123" customFormat="1" ht="36.6" customHeight="1" x14ac:dyDescent="0.2">
      <c r="A10" s="1149"/>
      <c r="B10" s="161" t="s">
        <v>61</v>
      </c>
      <c r="C10" s="135" t="s">
        <v>62</v>
      </c>
      <c r="D10" s="135" t="s">
        <v>63</v>
      </c>
      <c r="E10" s="162" t="s">
        <v>64</v>
      </c>
      <c r="F10" s="163" t="s">
        <v>65</v>
      </c>
      <c r="G10" s="135" t="s">
        <v>62</v>
      </c>
      <c r="H10" s="362" t="s">
        <v>63</v>
      </c>
      <c r="I10" s="362" t="s">
        <v>64</v>
      </c>
      <c r="J10" s="623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67"/>
      <c r="I11" s="477"/>
      <c r="J11" s="191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/>
      <c r="F12" s="139" t="s">
        <v>231</v>
      </c>
      <c r="G12" s="286">
        <v>76982</v>
      </c>
      <c r="H12" s="286">
        <v>151263</v>
      </c>
      <c r="I12" s="478">
        <f>SUM(G12:H12)</f>
        <v>228245</v>
      </c>
      <c r="J12" s="191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/>
      <c r="F13" s="139" t="s">
        <v>232</v>
      </c>
      <c r="G13" s="286">
        <v>13455</v>
      </c>
      <c r="H13" s="286">
        <v>33123</v>
      </c>
      <c r="I13" s="478">
        <f>SUM(G13:H13)</f>
        <v>46578</v>
      </c>
      <c r="J13" s="191"/>
    </row>
    <row r="14" spans="1:10" x14ac:dyDescent="0.2">
      <c r="A14" s="164">
        <f t="shared" si="0"/>
        <v>4</v>
      </c>
      <c r="B14" s="167" t="s">
        <v>207</v>
      </c>
      <c r="C14" s="298">
        <f>'tám, végl. pe.átv  '!C66</f>
        <v>19891</v>
      </c>
      <c r="D14" s="298">
        <f>'tám, végl. pe.átv  '!D66</f>
        <v>1386</v>
      </c>
      <c r="E14" s="286">
        <f>SUM(C14:D14)</f>
        <v>21277</v>
      </c>
      <c r="F14" s="139" t="s">
        <v>233</v>
      </c>
      <c r="G14" s="286">
        <v>36629</v>
      </c>
      <c r="H14" s="286">
        <f>84958+3000</f>
        <v>87958</v>
      </c>
      <c r="I14" s="478">
        <f>SUM(G14:H14)</f>
        <v>124587</v>
      </c>
      <c r="J14" s="191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85"/>
      <c r="H15" s="385"/>
      <c r="I15" s="479"/>
      <c r="J15" s="191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/>
      <c r="F16" s="139" t="s">
        <v>28</v>
      </c>
      <c r="G16" s="169"/>
      <c r="H16" s="293"/>
      <c r="I16" s="480"/>
      <c r="J16" s="191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3"/>
      <c r="I17" s="480"/>
      <c r="J17" s="191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/>
      <c r="F18" s="139" t="s">
        <v>472</v>
      </c>
      <c r="G18" s="169"/>
      <c r="H18" s="293"/>
      <c r="I18" s="480"/>
      <c r="J18" s="191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471</v>
      </c>
      <c r="G19" s="169"/>
      <c r="H19" s="293"/>
      <c r="I19" s="480"/>
      <c r="J19" s="191"/>
    </row>
    <row r="20" spans="1:10" x14ac:dyDescent="0.2">
      <c r="A20" s="164">
        <f t="shared" si="0"/>
        <v>10</v>
      </c>
      <c r="B20" s="116" t="s">
        <v>210</v>
      </c>
      <c r="C20" s="363">
        <v>18446</v>
      </c>
      <c r="D20" s="363">
        <v>65449</v>
      </c>
      <c r="E20" s="168">
        <f>SUM(C20:D20)</f>
        <v>83895</v>
      </c>
      <c r="F20" s="139" t="s">
        <v>975</v>
      </c>
      <c r="G20" s="169"/>
      <c r="H20" s="293"/>
      <c r="I20" s="480"/>
      <c r="J20" s="191"/>
    </row>
    <row r="21" spans="1:10" x14ac:dyDescent="0.2">
      <c r="A21" s="164">
        <f t="shared" si="0"/>
        <v>11</v>
      </c>
      <c r="C21" s="168"/>
      <c r="D21" s="168"/>
      <c r="E21" s="168"/>
      <c r="F21" s="139" t="s">
        <v>464</v>
      </c>
      <c r="G21" s="169"/>
      <c r="H21" s="293"/>
      <c r="I21" s="480"/>
      <c r="J21" s="191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465</v>
      </c>
      <c r="G22" s="169"/>
      <c r="H22" s="293"/>
      <c r="I22" s="480"/>
      <c r="J22" s="624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3"/>
      <c r="I23" s="480"/>
      <c r="J23" s="624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127066</v>
      </c>
      <c r="H24" s="364">
        <f>SUM(H12:H22)</f>
        <v>272344</v>
      </c>
      <c r="I24" s="481">
        <f>SUM(I12:I22)</f>
        <v>399410</v>
      </c>
      <c r="J24" s="191"/>
    </row>
    <row r="25" spans="1:10" x14ac:dyDescent="0.2">
      <c r="A25" s="164">
        <f t="shared" si="0"/>
        <v>15</v>
      </c>
      <c r="B25" s="167" t="s">
        <v>45</v>
      </c>
      <c r="C25" s="168">
        <v>0</v>
      </c>
      <c r="D25" s="168"/>
      <c r="E25" s="168">
        <f>D25+C25</f>
        <v>0</v>
      </c>
      <c r="F25" s="171"/>
      <c r="G25" s="169"/>
      <c r="H25" s="293"/>
      <c r="I25" s="480"/>
      <c r="J25" s="191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66"/>
      <c r="I26" s="480"/>
      <c r="J26" s="191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291</v>
      </c>
      <c r="G27" s="169">
        <f>'felhalm. kiad.  '!G121</f>
        <v>8880</v>
      </c>
      <c r="H27" s="293">
        <f>'felhalm. kiad.  '!H121</f>
        <v>0</v>
      </c>
      <c r="I27" s="480">
        <f>SUM(G27:H27)</f>
        <v>8880</v>
      </c>
      <c r="J27" s="191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3"/>
      <c r="I28" s="480"/>
      <c r="J28" s="191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169"/>
      <c r="H29" s="293"/>
      <c r="I29" s="480"/>
      <c r="J29" s="191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473</v>
      </c>
      <c r="G30" s="169"/>
      <c r="H30" s="293"/>
      <c r="I30" s="480"/>
      <c r="J30" s="624"/>
    </row>
    <row r="31" spans="1:10" x14ac:dyDescent="0.2">
      <c r="A31" s="164">
        <f t="shared" si="0"/>
        <v>21</v>
      </c>
      <c r="C31" s="119"/>
      <c r="D31" s="119"/>
      <c r="E31" s="119"/>
      <c r="F31" s="139" t="s">
        <v>470</v>
      </c>
      <c r="G31" s="169"/>
      <c r="H31" s="293"/>
      <c r="I31" s="480"/>
      <c r="J31" s="191"/>
    </row>
    <row r="32" spans="1:10" s="11" customFormat="1" x14ac:dyDescent="0.2">
      <c r="A32" s="164">
        <f t="shared" si="0"/>
        <v>22</v>
      </c>
      <c r="B32" s="174" t="s">
        <v>52</v>
      </c>
      <c r="C32" s="960">
        <f>C14+C20</f>
        <v>38337</v>
      </c>
      <c r="D32" s="960">
        <f>D14+D20</f>
        <v>66835</v>
      </c>
      <c r="E32" s="960">
        <f>E14+E20</f>
        <v>105172</v>
      </c>
      <c r="F32" s="139" t="s">
        <v>466</v>
      </c>
      <c r="G32" s="158"/>
      <c r="H32" s="291"/>
      <c r="I32" s="480"/>
      <c r="J32" s="526"/>
    </row>
    <row r="33" spans="1:10" x14ac:dyDescent="0.2">
      <c r="A33" s="164">
        <f t="shared" si="0"/>
        <v>23</v>
      </c>
      <c r="B33" s="175" t="s">
        <v>67</v>
      </c>
      <c r="C33" s="177">
        <f>C16+C24+C25+C26+C27+C30</f>
        <v>0</v>
      </c>
      <c r="D33" s="177">
        <f t="shared" ref="D33:E33" si="1">D16+D24+D25+D26+D27+D30</f>
        <v>0</v>
      </c>
      <c r="E33" s="177">
        <f t="shared" si="1"/>
        <v>0</v>
      </c>
      <c r="F33" s="176" t="s">
        <v>68</v>
      </c>
      <c r="G33" s="177">
        <f>SUM(G27:G32)</f>
        <v>8880</v>
      </c>
      <c r="H33" s="365">
        <f>SUM(H27:H32)</f>
        <v>0</v>
      </c>
      <c r="I33" s="482">
        <f>SUM(I27:I31)</f>
        <v>8880</v>
      </c>
      <c r="J33" s="191"/>
    </row>
    <row r="34" spans="1:10" x14ac:dyDescent="0.2">
      <c r="A34" s="164">
        <f t="shared" si="0"/>
        <v>24</v>
      </c>
      <c r="B34" s="178" t="s">
        <v>51</v>
      </c>
      <c r="C34" s="173">
        <f>SUM(C32:C33)</f>
        <v>38337</v>
      </c>
      <c r="D34" s="173">
        <f>SUM(D32:D33)</f>
        <v>66835</v>
      </c>
      <c r="E34" s="173">
        <f>SUM(C34:D34)</f>
        <v>105172</v>
      </c>
      <c r="F34" s="179" t="s">
        <v>69</v>
      </c>
      <c r="G34" s="173">
        <f>G24+G33</f>
        <v>135946</v>
      </c>
      <c r="H34" s="366">
        <f>H24+H33</f>
        <v>272344</v>
      </c>
      <c r="I34" s="454">
        <f>I24+I33</f>
        <v>408290</v>
      </c>
      <c r="J34" s="191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3"/>
      <c r="I35" s="480"/>
      <c r="J35" s="191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64"/>
      <c r="I36" s="481"/>
      <c r="J36" s="191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3"/>
      <c r="I37" s="480"/>
      <c r="J37" s="526"/>
    </row>
    <row r="38" spans="1:10" s="11" customFormat="1" x14ac:dyDescent="0.2">
      <c r="A38" s="798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66"/>
      <c r="I38" s="454"/>
      <c r="J38" s="526"/>
    </row>
    <row r="39" spans="1:10" s="11" customFormat="1" x14ac:dyDescent="0.2">
      <c r="A39" s="164">
        <f t="shared" si="0"/>
        <v>29</v>
      </c>
      <c r="B39" s="136" t="s">
        <v>726</v>
      </c>
      <c r="C39" s="126"/>
      <c r="D39" s="126"/>
      <c r="E39" s="126"/>
      <c r="F39" s="181" t="s">
        <v>4</v>
      </c>
      <c r="G39" s="182"/>
      <c r="I39" s="483"/>
      <c r="J39" s="526"/>
    </row>
    <row r="40" spans="1:10" s="11" customFormat="1" x14ac:dyDescent="0.2">
      <c r="A40" s="164">
        <f t="shared" si="0"/>
        <v>30</v>
      </c>
      <c r="B40" s="116" t="s">
        <v>1018</v>
      </c>
      <c r="C40" s="126"/>
      <c r="D40" s="126"/>
      <c r="E40" s="126"/>
      <c r="F40" s="552" t="s">
        <v>3</v>
      </c>
      <c r="G40" s="173"/>
      <c r="H40" s="366"/>
      <c r="I40" s="454"/>
      <c r="J40" s="526"/>
    </row>
    <row r="41" spans="1:10" x14ac:dyDescent="0.2">
      <c r="A41" s="164">
        <f t="shared" si="0"/>
        <v>31</v>
      </c>
      <c r="B41" s="118" t="s">
        <v>728</v>
      </c>
      <c r="C41" s="185"/>
      <c r="D41" s="185"/>
      <c r="E41" s="185"/>
      <c r="F41" s="139" t="s">
        <v>5</v>
      </c>
      <c r="G41" s="173"/>
      <c r="H41" s="366"/>
      <c r="I41" s="454"/>
      <c r="J41" s="191"/>
    </row>
    <row r="42" spans="1:10" x14ac:dyDescent="0.2">
      <c r="A42" s="164">
        <f t="shared" si="0"/>
        <v>32</v>
      </c>
      <c r="B42" s="118" t="s">
        <v>223</v>
      </c>
      <c r="C42" s="119"/>
      <c r="D42" s="119"/>
      <c r="E42" s="119"/>
      <c r="F42" s="139" t="s">
        <v>6</v>
      </c>
      <c r="G42" s="182"/>
      <c r="H42" s="190"/>
      <c r="I42" s="454"/>
      <c r="J42" s="191"/>
    </row>
    <row r="43" spans="1:10" x14ac:dyDescent="0.2">
      <c r="A43" s="164">
        <f t="shared" si="0"/>
        <v>33</v>
      </c>
      <c r="B43" s="550" t="s">
        <v>224</v>
      </c>
      <c r="C43" s="119"/>
      <c r="D43" s="119"/>
      <c r="E43" s="119">
        <f>C43+D43</f>
        <v>0</v>
      </c>
      <c r="F43" s="139" t="s">
        <v>7</v>
      </c>
      <c r="G43" s="182"/>
      <c r="H43" s="190"/>
      <c r="I43" s="454"/>
      <c r="J43" s="191"/>
    </row>
    <row r="44" spans="1:10" x14ac:dyDescent="0.2">
      <c r="A44" s="164">
        <f t="shared" si="0"/>
        <v>34</v>
      </c>
      <c r="B44" s="550" t="s">
        <v>1013</v>
      </c>
      <c r="C44" s="119"/>
      <c r="D44" s="119"/>
      <c r="E44" s="119"/>
      <c r="F44" s="139"/>
      <c r="G44" s="182"/>
      <c r="H44" s="190"/>
      <c r="I44" s="454"/>
      <c r="J44" s="191"/>
    </row>
    <row r="45" spans="1:10" x14ac:dyDescent="0.2">
      <c r="A45" s="164">
        <f t="shared" si="0"/>
        <v>35</v>
      </c>
      <c r="B45" s="119" t="s">
        <v>729</v>
      </c>
      <c r="C45" s="119"/>
      <c r="D45" s="119"/>
      <c r="E45" s="119"/>
      <c r="F45" s="139" t="s">
        <v>8</v>
      </c>
      <c r="G45" s="173"/>
      <c r="H45" s="366"/>
      <c r="I45" s="480"/>
      <c r="J45" s="191"/>
    </row>
    <row r="46" spans="1:10" x14ac:dyDescent="0.2">
      <c r="A46" s="164">
        <f t="shared" si="0"/>
        <v>36</v>
      </c>
      <c r="B46" s="119" t="s">
        <v>730</v>
      </c>
      <c r="C46" s="126"/>
      <c r="D46" s="126"/>
      <c r="E46" s="126"/>
      <c r="F46" s="139" t="s">
        <v>9</v>
      </c>
      <c r="G46" s="173"/>
      <c r="H46" s="366"/>
      <c r="I46" s="480"/>
      <c r="J46" s="191"/>
    </row>
    <row r="47" spans="1:10" x14ac:dyDescent="0.2">
      <c r="A47" s="164">
        <f t="shared" si="0"/>
        <v>37</v>
      </c>
      <c r="B47" s="118" t="s">
        <v>227</v>
      </c>
      <c r="C47" s="119"/>
      <c r="D47" s="119"/>
      <c r="E47" s="119"/>
      <c r="F47" s="139" t="s">
        <v>10</v>
      </c>
      <c r="G47" s="169"/>
      <c r="H47" s="293"/>
      <c r="I47" s="480"/>
      <c r="J47" s="191"/>
    </row>
    <row r="48" spans="1:10" x14ac:dyDescent="0.2">
      <c r="A48" s="164">
        <f t="shared" si="0"/>
        <v>38</v>
      </c>
      <c r="B48" s="550" t="s">
        <v>228</v>
      </c>
      <c r="C48" s="286">
        <f>G24-(C32+C43)</f>
        <v>88729</v>
      </c>
      <c r="D48" s="286">
        <f t="shared" ref="D48:E48" si="2">H24-(D32+D43)</f>
        <v>205509</v>
      </c>
      <c r="E48" s="286">
        <f t="shared" si="2"/>
        <v>294238</v>
      </c>
      <c r="F48" s="139" t="s">
        <v>11</v>
      </c>
      <c r="G48" s="169"/>
      <c r="H48" s="293"/>
      <c r="I48" s="480"/>
      <c r="J48" s="191"/>
    </row>
    <row r="49" spans="1:10" x14ac:dyDescent="0.2">
      <c r="A49" s="164">
        <f t="shared" si="0"/>
        <v>39</v>
      </c>
      <c r="B49" s="550" t="s">
        <v>229</v>
      </c>
      <c r="C49" s="119">
        <f>G33-C33</f>
        <v>8880</v>
      </c>
      <c r="D49" s="119">
        <f t="shared" ref="D49:E49" si="3">H33-D33</f>
        <v>0</v>
      </c>
      <c r="E49" s="119">
        <f t="shared" si="3"/>
        <v>8880</v>
      </c>
      <c r="F49" s="139" t="s">
        <v>12</v>
      </c>
      <c r="G49" s="169"/>
      <c r="H49" s="293"/>
      <c r="I49" s="480"/>
      <c r="J49" s="191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459"/>
      <c r="F50" s="139" t="s">
        <v>13</v>
      </c>
      <c r="G50" s="169"/>
      <c r="H50" s="293"/>
      <c r="I50" s="480"/>
      <c r="J50" s="191"/>
    </row>
    <row r="51" spans="1:10" x14ac:dyDescent="0.2">
      <c r="A51" s="164">
        <f t="shared" si="0"/>
        <v>41</v>
      </c>
      <c r="B51" s="118"/>
      <c r="C51" s="119"/>
      <c r="D51" s="119"/>
      <c r="E51" s="459"/>
      <c r="F51" s="139" t="s">
        <v>14</v>
      </c>
      <c r="G51" s="169"/>
      <c r="H51" s="293"/>
      <c r="I51" s="480"/>
      <c r="J51" s="191"/>
    </row>
    <row r="52" spans="1:10" x14ac:dyDescent="0.2">
      <c r="A52" s="164">
        <f t="shared" si="0"/>
        <v>42</v>
      </c>
      <c r="B52" s="118"/>
      <c r="C52" s="119"/>
      <c r="D52" s="119"/>
      <c r="E52" s="459"/>
      <c r="F52" s="139" t="s">
        <v>15</v>
      </c>
      <c r="G52" s="169"/>
      <c r="H52" s="293"/>
      <c r="I52" s="480"/>
      <c r="J52" s="191"/>
    </row>
    <row r="53" spans="1:10" ht="12" thickBot="1" x14ac:dyDescent="0.25">
      <c r="A53" s="164">
        <f t="shared" si="0"/>
        <v>43</v>
      </c>
      <c r="B53" s="178" t="s">
        <v>474</v>
      </c>
      <c r="C53" s="337">
        <f>SUM(C39:C51)</f>
        <v>97609</v>
      </c>
      <c r="D53" s="337">
        <f>SUM(D39:D51)</f>
        <v>205509</v>
      </c>
      <c r="E53" s="660">
        <f>SUM(E39:E51)</f>
        <v>303118</v>
      </c>
      <c r="F53" s="140" t="s">
        <v>467</v>
      </c>
      <c r="G53" s="173">
        <f>SUM(G39:G52)</f>
        <v>0</v>
      </c>
      <c r="H53" s="366">
        <f>SUM(H39:H52)</f>
        <v>0</v>
      </c>
      <c r="I53" s="484">
        <f>SUM(I39:I52)</f>
        <v>0</v>
      </c>
      <c r="J53" s="191"/>
    </row>
    <row r="54" spans="1:10" ht="12" thickBot="1" x14ac:dyDescent="0.25">
      <c r="A54" s="164">
        <f t="shared" si="0"/>
        <v>44</v>
      </c>
      <c r="B54" s="186" t="s">
        <v>469</v>
      </c>
      <c r="C54" s="1137">
        <f>C34+C53</f>
        <v>135946</v>
      </c>
      <c r="D54" s="333">
        <f>D34+D53</f>
        <v>272344</v>
      </c>
      <c r="E54" s="460">
        <f>E34+E53</f>
        <v>408290</v>
      </c>
      <c r="F54" s="518" t="s">
        <v>468</v>
      </c>
      <c r="G54" s="516">
        <f>G34+G53</f>
        <v>135946</v>
      </c>
      <c r="H54" s="368">
        <f>H34+H53</f>
        <v>272344</v>
      </c>
      <c r="I54" s="519">
        <f>I34+I53</f>
        <v>408290</v>
      </c>
      <c r="J54" s="292"/>
    </row>
    <row r="55" spans="1:10" x14ac:dyDescent="0.2">
      <c r="B55" s="183"/>
      <c r="C55" s="182"/>
      <c r="D55" s="182"/>
      <c r="E55" s="182"/>
      <c r="F55" s="182"/>
      <c r="G55" s="182"/>
      <c r="H55" s="190"/>
      <c r="I55" s="190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J47" sqref="J47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396" customWidth="1"/>
    <col min="5" max="5" width="10.42578125" style="396" bestFit="1" customWidth="1"/>
    <col min="6" max="9" width="9.7109375" style="396" customWidth="1"/>
    <col min="10" max="10" width="10.140625" style="396" customWidth="1"/>
    <col min="11" max="14" width="9.7109375" style="396" customWidth="1"/>
    <col min="15" max="15" width="11.5703125" style="396" customWidth="1"/>
    <col min="16" max="16" width="10.140625" style="16" customWidth="1"/>
    <col min="17" max="16384" width="9.140625" style="16"/>
  </cols>
  <sheetData>
    <row r="1" spans="1:33" ht="12.75" customHeight="1" x14ac:dyDescent="0.25">
      <c r="B1" s="1347" t="s">
        <v>1219</v>
      </c>
      <c r="C1" s="1347"/>
      <c r="D1" s="1347"/>
      <c r="E1" s="1347"/>
      <c r="F1" s="1347"/>
      <c r="G1" s="1347"/>
      <c r="H1" s="1347"/>
      <c r="I1" s="1347"/>
      <c r="J1" s="1347"/>
      <c r="K1" s="1347"/>
      <c r="L1" s="1347"/>
      <c r="M1" s="1347"/>
      <c r="N1" s="1347"/>
      <c r="O1" s="1347"/>
      <c r="P1" s="1018"/>
      <c r="Q1" s="1018"/>
      <c r="R1" s="1018"/>
      <c r="S1" s="1018"/>
      <c r="T1" s="1018"/>
      <c r="U1" s="1018"/>
      <c r="V1" s="1018"/>
      <c r="W1" s="1018"/>
      <c r="X1" s="1018"/>
      <c r="Y1" s="1018"/>
      <c r="Z1" s="1018"/>
      <c r="AA1" s="1018"/>
      <c r="AB1" s="1018"/>
      <c r="AC1" s="1018"/>
      <c r="AD1" s="1018"/>
      <c r="AE1" s="1018"/>
      <c r="AF1" s="1018"/>
      <c r="AG1" s="1018"/>
    </row>
    <row r="2" spans="1:33" ht="14.1" customHeight="1" x14ac:dyDescent="0.25">
      <c r="A2" s="32"/>
      <c r="B2" s="1345" t="s">
        <v>87</v>
      </c>
      <c r="C2" s="1345"/>
      <c r="D2" s="1345"/>
      <c r="E2" s="1345"/>
      <c r="F2" s="1345"/>
      <c r="G2" s="1345"/>
      <c r="H2" s="1345"/>
      <c r="I2" s="1345"/>
      <c r="J2" s="1345"/>
      <c r="K2" s="1345"/>
      <c r="L2" s="1345"/>
      <c r="M2" s="1345"/>
      <c r="N2" s="1345"/>
      <c r="O2" s="1345"/>
    </row>
    <row r="3" spans="1:33" ht="14.1" customHeight="1" x14ac:dyDescent="0.25">
      <c r="A3" s="32"/>
      <c r="B3" s="1345" t="s">
        <v>1159</v>
      </c>
      <c r="C3" s="1345"/>
      <c r="D3" s="1345"/>
      <c r="E3" s="1345"/>
      <c r="F3" s="1345"/>
      <c r="G3" s="1345"/>
      <c r="H3" s="1345"/>
      <c r="I3" s="1345"/>
      <c r="J3" s="1345"/>
      <c r="K3" s="1345"/>
      <c r="L3" s="1345"/>
      <c r="M3" s="1345"/>
      <c r="N3" s="1345"/>
      <c r="O3" s="1345"/>
    </row>
    <row r="4" spans="1:33" ht="14.1" customHeight="1" x14ac:dyDescent="0.25">
      <c r="A4" s="32"/>
      <c r="B4" s="801"/>
      <c r="C4" s="802"/>
      <c r="D4" s="80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</row>
    <row r="5" spans="1:33" ht="15" customHeight="1" x14ac:dyDescent="0.25">
      <c r="A5" s="1346"/>
      <c r="B5" s="803" t="s">
        <v>57</v>
      </c>
      <c r="C5" s="804" t="s">
        <v>58</v>
      </c>
      <c r="D5" s="804" t="s">
        <v>59</v>
      </c>
      <c r="E5" s="804" t="s">
        <v>60</v>
      </c>
      <c r="F5" s="804" t="s">
        <v>499</v>
      </c>
      <c r="G5" s="804" t="s">
        <v>500</v>
      </c>
      <c r="H5" s="804" t="s">
        <v>501</v>
      </c>
      <c r="I5" s="804" t="s">
        <v>629</v>
      </c>
      <c r="J5" s="804" t="s">
        <v>640</v>
      </c>
      <c r="K5" s="804" t="s">
        <v>641</v>
      </c>
      <c r="L5" s="804" t="s">
        <v>642</v>
      </c>
      <c r="M5" s="804" t="s">
        <v>643</v>
      </c>
      <c r="N5" s="804" t="s">
        <v>644</v>
      </c>
      <c r="O5" s="804" t="s">
        <v>645</v>
      </c>
    </row>
    <row r="6" spans="1:33" ht="12.75" customHeight="1" x14ac:dyDescent="0.25">
      <c r="A6" s="1346"/>
      <c r="B6" s="799" t="s">
        <v>86</v>
      </c>
      <c r="C6" s="805" t="s">
        <v>646</v>
      </c>
      <c r="D6" s="805" t="s">
        <v>647</v>
      </c>
      <c r="E6" s="805" t="s">
        <v>648</v>
      </c>
      <c r="F6" s="805" t="s">
        <v>649</v>
      </c>
      <c r="G6" s="805" t="s">
        <v>650</v>
      </c>
      <c r="H6" s="805" t="s">
        <v>651</v>
      </c>
      <c r="I6" s="805" t="s">
        <v>652</v>
      </c>
      <c r="J6" s="805" t="s">
        <v>653</v>
      </c>
      <c r="K6" s="805" t="s">
        <v>654</v>
      </c>
      <c r="L6" s="805" t="s">
        <v>655</v>
      </c>
      <c r="M6" s="805" t="s">
        <v>656</v>
      </c>
      <c r="N6" s="805" t="s">
        <v>657</v>
      </c>
      <c r="O6" s="805" t="s">
        <v>564</v>
      </c>
    </row>
    <row r="7" spans="1:33" s="32" customFormat="1" ht="12.75" customHeight="1" x14ac:dyDescent="0.25">
      <c r="A7" s="21" t="s">
        <v>508</v>
      </c>
      <c r="B7" s="34" t="s">
        <v>687</v>
      </c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</row>
    <row r="8" spans="1:33" s="32" customFormat="1" ht="15.75" customHeight="1" x14ac:dyDescent="0.25">
      <c r="A8" s="21" t="s">
        <v>516</v>
      </c>
      <c r="B8" s="32" t="s">
        <v>681</v>
      </c>
      <c r="C8" s="267">
        <f>O8/12</f>
        <v>69562.583333333328</v>
      </c>
      <c r="D8" s="267">
        <v>65801</v>
      </c>
      <c r="E8" s="267">
        <v>65796</v>
      </c>
      <c r="F8" s="267">
        <v>65796</v>
      </c>
      <c r="G8" s="267">
        <v>65796</v>
      </c>
      <c r="H8" s="267">
        <v>65796</v>
      </c>
      <c r="I8" s="267">
        <v>65796</v>
      </c>
      <c r="J8" s="267">
        <v>65796</v>
      </c>
      <c r="K8" s="267">
        <v>65796</v>
      </c>
      <c r="L8" s="267">
        <v>65796</v>
      </c>
      <c r="M8" s="267">
        <v>65796</v>
      </c>
      <c r="N8" s="267">
        <v>65796</v>
      </c>
      <c r="O8" s="267">
        <f>Össz.önkor.mérleg.!E11</f>
        <v>834751</v>
      </c>
      <c r="P8" s="35"/>
    </row>
    <row r="9" spans="1:33" s="32" customFormat="1" ht="16.5" customHeight="1" x14ac:dyDescent="0.25">
      <c r="A9" s="21" t="s">
        <v>517</v>
      </c>
      <c r="B9" s="32" t="s">
        <v>682</v>
      </c>
      <c r="C9" s="267">
        <f>O9/12</f>
        <v>3045.6666666666665</v>
      </c>
      <c r="D9" s="267">
        <v>2629</v>
      </c>
      <c r="E9" s="267">
        <v>2629</v>
      </c>
      <c r="F9" s="267">
        <v>2629</v>
      </c>
      <c r="G9" s="267">
        <v>2629</v>
      </c>
      <c r="H9" s="267">
        <v>2629</v>
      </c>
      <c r="I9" s="267">
        <v>2629</v>
      </c>
      <c r="J9" s="267">
        <v>2629</v>
      </c>
      <c r="K9" s="267">
        <v>2629</v>
      </c>
      <c r="L9" s="267">
        <v>2629</v>
      </c>
      <c r="M9" s="267">
        <v>2629</v>
      </c>
      <c r="N9" s="267">
        <v>2629</v>
      </c>
      <c r="O9" s="267">
        <f>Össz.önkor.mérleg.!E13</f>
        <v>36548</v>
      </c>
      <c r="P9" s="35"/>
    </row>
    <row r="10" spans="1:33" s="32" customFormat="1" ht="15.75" customHeight="1" x14ac:dyDescent="0.25">
      <c r="A10" s="21" t="s">
        <v>518</v>
      </c>
      <c r="B10" s="32" t="s">
        <v>479</v>
      </c>
      <c r="C10" s="267">
        <f>O10/12</f>
        <v>102943.33333333333</v>
      </c>
      <c r="D10" s="267">
        <v>102947</v>
      </c>
      <c r="E10" s="267">
        <v>102943</v>
      </c>
      <c r="F10" s="267">
        <v>102943</v>
      </c>
      <c r="G10" s="267">
        <v>102943</v>
      </c>
      <c r="H10" s="267">
        <v>102943</v>
      </c>
      <c r="I10" s="267">
        <v>102943</v>
      </c>
      <c r="J10" s="267">
        <v>102943</v>
      </c>
      <c r="K10" s="267">
        <v>102943</v>
      </c>
      <c r="L10" s="267">
        <v>102943</v>
      </c>
      <c r="M10" s="267">
        <v>102943</v>
      </c>
      <c r="N10" s="267">
        <v>102943</v>
      </c>
      <c r="O10" s="267">
        <f>Össz.önkor.mérleg.!E16</f>
        <v>1235320</v>
      </c>
      <c r="P10" s="35"/>
    </row>
    <row r="11" spans="1:33" s="33" customFormat="1" ht="18" customHeight="1" x14ac:dyDescent="0.25">
      <c r="A11" s="21" t="s">
        <v>519</v>
      </c>
      <c r="B11" s="33" t="s">
        <v>683</v>
      </c>
      <c r="C11" s="267">
        <f>O11/12</f>
        <v>29958</v>
      </c>
      <c r="D11" s="267">
        <v>29601</v>
      </c>
      <c r="E11" s="267">
        <v>29605</v>
      </c>
      <c r="F11" s="267">
        <v>29605</v>
      </c>
      <c r="G11" s="267">
        <v>29605</v>
      </c>
      <c r="H11" s="267">
        <v>29605</v>
      </c>
      <c r="I11" s="267">
        <v>29605</v>
      </c>
      <c r="J11" s="267">
        <v>29605</v>
      </c>
      <c r="K11" s="267">
        <v>29605</v>
      </c>
      <c r="L11" s="267">
        <v>29605</v>
      </c>
      <c r="M11" s="267">
        <v>29605</v>
      </c>
      <c r="N11" s="267">
        <v>29605</v>
      </c>
      <c r="O11" s="267">
        <f>Össz.önkor.mérleg.!E19</f>
        <v>359496</v>
      </c>
      <c r="P11" s="35"/>
    </row>
    <row r="12" spans="1:33" s="32" customFormat="1" ht="13.5" customHeight="1" x14ac:dyDescent="0.25">
      <c r="A12" s="21" t="s">
        <v>520</v>
      </c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>
        <f t="shared" ref="O12:O18" si="0">SUM(C12:N12)</f>
        <v>0</v>
      </c>
      <c r="P12" s="35"/>
    </row>
    <row r="13" spans="1:33" s="32" customFormat="1" ht="15" customHeight="1" x14ac:dyDescent="0.25">
      <c r="A13" s="21" t="s">
        <v>521</v>
      </c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>
        <f t="shared" si="0"/>
        <v>0</v>
      </c>
      <c r="P13" s="35"/>
    </row>
    <row r="14" spans="1:33" s="34" customFormat="1" ht="15.75" customHeight="1" x14ac:dyDescent="0.25">
      <c r="A14" s="21" t="s">
        <v>522</v>
      </c>
      <c r="B14" s="806" t="s">
        <v>658</v>
      </c>
      <c r="C14" s="807">
        <f>SUM(C8:C13)</f>
        <v>205509.58333333331</v>
      </c>
      <c r="D14" s="807">
        <f>SUM(D8:D12)</f>
        <v>200978</v>
      </c>
      <c r="E14" s="807">
        <f>SUM(E8:E12)</f>
        <v>200973</v>
      </c>
      <c r="F14" s="807">
        <f>SUM(F8:F13)</f>
        <v>200973</v>
      </c>
      <c r="G14" s="807">
        <f>SUM(G8:G13)</f>
        <v>200973</v>
      </c>
      <c r="H14" s="807">
        <f t="shared" ref="H14:N14" si="1">SUM(H8:H12)</f>
        <v>200973</v>
      </c>
      <c r="I14" s="807">
        <f t="shared" si="1"/>
        <v>200973</v>
      </c>
      <c r="J14" s="807">
        <f t="shared" si="1"/>
        <v>200973</v>
      </c>
      <c r="K14" s="807">
        <f t="shared" si="1"/>
        <v>200973</v>
      </c>
      <c r="L14" s="807">
        <f t="shared" si="1"/>
        <v>200973</v>
      </c>
      <c r="M14" s="807">
        <f t="shared" si="1"/>
        <v>200973</v>
      </c>
      <c r="N14" s="807">
        <f t="shared" si="1"/>
        <v>200973</v>
      </c>
      <c r="O14" s="808">
        <f>SUM(O8:O13)</f>
        <v>2466115</v>
      </c>
      <c r="P14" s="36"/>
    </row>
    <row r="15" spans="1:33" s="32" customFormat="1" ht="15.75" customHeight="1" x14ac:dyDescent="0.25">
      <c r="A15" s="21" t="s">
        <v>523</v>
      </c>
      <c r="B15" s="32" t="s">
        <v>684</v>
      </c>
      <c r="C15" s="267"/>
      <c r="D15" s="267"/>
      <c r="E15" s="267"/>
      <c r="F15" s="267"/>
      <c r="G15" s="809"/>
      <c r="H15" s="809"/>
      <c r="I15" s="809"/>
      <c r="J15" s="809"/>
      <c r="K15" s="809"/>
      <c r="L15" s="809"/>
      <c r="M15" s="809"/>
      <c r="N15" s="809"/>
      <c r="O15" s="269">
        <f>Össz.önkor.mérleg.!E23</f>
        <v>6740</v>
      </c>
      <c r="P15" s="35"/>
    </row>
    <row r="16" spans="1:33" s="32" customFormat="1" ht="15" customHeight="1" x14ac:dyDescent="0.25">
      <c r="A16" s="21" t="s">
        <v>565</v>
      </c>
      <c r="B16" s="32" t="s">
        <v>685</v>
      </c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9">
        <v>0</v>
      </c>
      <c r="P16" s="35"/>
    </row>
    <row r="17" spans="1:256" s="32" customFormat="1" ht="16.5" customHeight="1" x14ac:dyDescent="0.25">
      <c r="A17" s="21" t="s">
        <v>566</v>
      </c>
      <c r="B17" s="32" t="s">
        <v>600</v>
      </c>
      <c r="C17" s="267">
        <f>O17/12</f>
        <v>239.16666666666666</v>
      </c>
      <c r="D17" s="267">
        <v>241</v>
      </c>
      <c r="E17" s="267">
        <v>239</v>
      </c>
      <c r="F17" s="267">
        <v>239</v>
      </c>
      <c r="G17" s="267">
        <v>239</v>
      </c>
      <c r="H17" s="267">
        <v>239</v>
      </c>
      <c r="I17" s="267">
        <v>239</v>
      </c>
      <c r="J17" s="267">
        <v>239</v>
      </c>
      <c r="K17" s="267">
        <v>239</v>
      </c>
      <c r="L17" s="267">
        <v>239</v>
      </c>
      <c r="M17" s="267">
        <v>239</v>
      </c>
      <c r="N17" s="267">
        <v>239</v>
      </c>
      <c r="O17" s="269">
        <f>Össz.önkor.mérleg.!E29</f>
        <v>2870</v>
      </c>
      <c r="P17" s="35"/>
    </row>
    <row r="18" spans="1:256" s="33" customFormat="1" ht="15" customHeight="1" x14ac:dyDescent="0.25">
      <c r="A18" s="21" t="s">
        <v>567</v>
      </c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9">
        <f t="shared" si="0"/>
        <v>0</v>
      </c>
      <c r="P18" s="35"/>
    </row>
    <row r="19" spans="1:256" s="38" customFormat="1" ht="16.5" customHeight="1" x14ac:dyDescent="0.25">
      <c r="A19" s="21" t="s">
        <v>568</v>
      </c>
      <c r="B19" s="1013" t="s">
        <v>659</v>
      </c>
      <c r="C19" s="1014">
        <f>SUM(C15:C18)</f>
        <v>239.16666666666666</v>
      </c>
      <c r="D19" s="1014">
        <f>SUM(D15:D18)</f>
        <v>241</v>
      </c>
      <c r="E19" s="1014">
        <f>SUM(E15:E18)</f>
        <v>239</v>
      </c>
      <c r="F19" s="1014">
        <f t="shared" ref="F19:M19" si="2">SUM(F15:F18)</f>
        <v>239</v>
      </c>
      <c r="G19" s="1014">
        <f t="shared" si="2"/>
        <v>239</v>
      </c>
      <c r="H19" s="1014">
        <f t="shared" si="2"/>
        <v>239</v>
      </c>
      <c r="I19" s="1014">
        <f t="shared" si="2"/>
        <v>239</v>
      </c>
      <c r="J19" s="1014">
        <f t="shared" si="2"/>
        <v>239</v>
      </c>
      <c r="K19" s="1014">
        <f t="shared" si="2"/>
        <v>239</v>
      </c>
      <c r="L19" s="1014">
        <f t="shared" si="2"/>
        <v>239</v>
      </c>
      <c r="M19" s="1014">
        <f t="shared" si="2"/>
        <v>239</v>
      </c>
      <c r="N19" s="1014">
        <f>SUM(N15:N18)</f>
        <v>239</v>
      </c>
      <c r="O19" s="1015">
        <f>SUM(O15:O18)</f>
        <v>9610</v>
      </c>
      <c r="P19" s="37"/>
    </row>
    <row r="20" spans="1:256" s="34" customFormat="1" ht="16.5" customHeight="1" x14ac:dyDescent="0.25">
      <c r="A20" s="21" t="s">
        <v>569</v>
      </c>
      <c r="B20" s="38" t="s">
        <v>686</v>
      </c>
      <c r="C20" s="270"/>
      <c r="D20" s="270"/>
      <c r="E20" s="270"/>
      <c r="F20" s="270"/>
      <c r="G20" s="270"/>
      <c r="H20" s="268"/>
      <c r="I20" s="268"/>
      <c r="J20" s="268"/>
      <c r="K20" s="268"/>
      <c r="L20" s="268"/>
      <c r="M20" s="268"/>
      <c r="N20" s="268"/>
      <c r="O20" s="269">
        <f>SUM(C20:N20)</f>
        <v>0</v>
      </c>
      <c r="P20" s="36"/>
    </row>
    <row r="21" spans="1:256" s="32" customFormat="1" ht="15.75" customHeight="1" x14ac:dyDescent="0.25">
      <c r="A21" s="21" t="s">
        <v>570</v>
      </c>
      <c r="B21" s="33" t="s">
        <v>489</v>
      </c>
      <c r="C21" s="268">
        <f>O21/12</f>
        <v>216439.58333333334</v>
      </c>
      <c r="D21" s="268">
        <v>197609</v>
      </c>
      <c r="E21" s="268">
        <v>197615</v>
      </c>
      <c r="F21" s="268">
        <v>197615</v>
      </c>
      <c r="G21" s="268">
        <v>197615</v>
      </c>
      <c r="H21" s="268">
        <v>197615</v>
      </c>
      <c r="I21" s="268">
        <v>197615</v>
      </c>
      <c r="J21" s="268">
        <v>197615</v>
      </c>
      <c r="K21" s="268">
        <v>197615</v>
      </c>
      <c r="L21" s="268">
        <v>197615</v>
      </c>
      <c r="M21" s="268">
        <v>197615</v>
      </c>
      <c r="N21" s="268">
        <v>197615</v>
      </c>
      <c r="O21" s="269">
        <f>Össz.önkor.mérleg.!E52</f>
        <v>2597275</v>
      </c>
      <c r="P21" s="35"/>
    </row>
    <row r="22" spans="1:256" s="34" customFormat="1" ht="16.5" customHeight="1" x14ac:dyDescent="0.25">
      <c r="A22" s="21" t="s">
        <v>571</v>
      </c>
      <c r="B22" s="810" t="s">
        <v>660</v>
      </c>
      <c r="C22" s="811">
        <f t="shared" ref="C22:N22" si="3">C19+C14+C20+C21</f>
        <v>422188.33333333331</v>
      </c>
      <c r="D22" s="811">
        <f t="shared" si="3"/>
        <v>398828</v>
      </c>
      <c r="E22" s="811">
        <f t="shared" si="3"/>
        <v>398827</v>
      </c>
      <c r="F22" s="811">
        <f t="shared" si="3"/>
        <v>398827</v>
      </c>
      <c r="G22" s="811">
        <f t="shared" si="3"/>
        <v>398827</v>
      </c>
      <c r="H22" s="811">
        <f t="shared" si="3"/>
        <v>398827</v>
      </c>
      <c r="I22" s="811">
        <f t="shared" si="3"/>
        <v>398827</v>
      </c>
      <c r="J22" s="811">
        <f t="shared" si="3"/>
        <v>398827</v>
      </c>
      <c r="K22" s="811">
        <f t="shared" si="3"/>
        <v>398827</v>
      </c>
      <c r="L22" s="811">
        <f t="shared" si="3"/>
        <v>398827</v>
      </c>
      <c r="M22" s="811">
        <f t="shared" si="3"/>
        <v>398827</v>
      </c>
      <c r="N22" s="811">
        <f t="shared" si="3"/>
        <v>398827</v>
      </c>
      <c r="O22" s="812">
        <f>O14+O21+O19</f>
        <v>5073000</v>
      </c>
      <c r="P22" s="36"/>
    </row>
    <row r="23" spans="1:256" s="15" customFormat="1" ht="15" customHeight="1" x14ac:dyDescent="0.25">
      <c r="A23" s="21" t="s">
        <v>572</v>
      </c>
      <c r="B23" s="34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</row>
    <row r="24" spans="1:256" s="34" customFormat="1" ht="12.75" customHeight="1" x14ac:dyDescent="0.25">
      <c r="A24" s="21" t="s">
        <v>574</v>
      </c>
      <c r="B24" s="34" t="s">
        <v>65</v>
      </c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</row>
    <row r="25" spans="1:256" s="32" customFormat="1" ht="15.75" customHeight="1" x14ac:dyDescent="0.25">
      <c r="A25" s="21" t="s">
        <v>575</v>
      </c>
      <c r="B25" s="32" t="s">
        <v>490</v>
      </c>
      <c r="C25" s="267">
        <f t="shared" ref="C25:C32" si="4">O25/12</f>
        <v>76364.5</v>
      </c>
      <c r="D25" s="267">
        <v>75820</v>
      </c>
      <c r="E25" s="267">
        <v>75817</v>
      </c>
      <c r="F25" s="267">
        <v>75817</v>
      </c>
      <c r="G25" s="267">
        <v>75817</v>
      </c>
      <c r="H25" s="267">
        <v>75817</v>
      </c>
      <c r="I25" s="267">
        <v>75817</v>
      </c>
      <c r="J25" s="267">
        <v>75817</v>
      </c>
      <c r="K25" s="267">
        <v>75817</v>
      </c>
      <c r="L25" s="267">
        <v>75817</v>
      </c>
      <c r="M25" s="267">
        <v>75817</v>
      </c>
      <c r="N25" s="267">
        <v>75817</v>
      </c>
      <c r="O25" s="269">
        <f>Össz.önkor.mérleg.!I10</f>
        <v>916374</v>
      </c>
      <c r="P25" s="35"/>
    </row>
    <row r="26" spans="1:256" s="32" customFormat="1" ht="17.25" customHeight="1" x14ac:dyDescent="0.25">
      <c r="A26" s="21" t="s">
        <v>576</v>
      </c>
      <c r="B26" s="32" t="s">
        <v>491</v>
      </c>
      <c r="C26" s="267">
        <f t="shared" si="4"/>
        <v>17561.193333333333</v>
      </c>
      <c r="D26" s="267">
        <v>17473</v>
      </c>
      <c r="E26" s="267">
        <v>17479</v>
      </c>
      <c r="F26" s="267">
        <v>17479</v>
      </c>
      <c r="G26" s="267">
        <v>17479</v>
      </c>
      <c r="H26" s="267">
        <v>17479</v>
      </c>
      <c r="I26" s="267">
        <v>17479</v>
      </c>
      <c r="J26" s="267">
        <v>17479</v>
      </c>
      <c r="K26" s="267">
        <v>17479</v>
      </c>
      <c r="L26" s="267">
        <v>17479</v>
      </c>
      <c r="M26" s="267">
        <v>17479</v>
      </c>
      <c r="N26" s="267">
        <v>17479</v>
      </c>
      <c r="O26" s="269">
        <f>Össz.önkor.mérleg.!I11</f>
        <v>210734.32</v>
      </c>
      <c r="P26" s="35"/>
    </row>
    <row r="27" spans="1:256" s="32" customFormat="1" ht="13.5" customHeight="1" x14ac:dyDescent="0.25">
      <c r="A27" s="21" t="s">
        <v>577</v>
      </c>
      <c r="B27" s="32" t="s">
        <v>492</v>
      </c>
      <c r="C27" s="267">
        <f t="shared" si="4"/>
        <v>87757.75</v>
      </c>
      <c r="D27" s="267">
        <v>78841</v>
      </c>
      <c r="E27" s="267">
        <v>78839</v>
      </c>
      <c r="F27" s="267">
        <v>78839</v>
      </c>
      <c r="G27" s="267">
        <v>78839</v>
      </c>
      <c r="H27" s="267">
        <v>78839</v>
      </c>
      <c r="I27" s="267">
        <v>78839</v>
      </c>
      <c r="J27" s="267">
        <v>78839</v>
      </c>
      <c r="K27" s="267">
        <v>78839</v>
      </c>
      <c r="L27" s="267">
        <v>78839</v>
      </c>
      <c r="M27" s="267">
        <v>78839</v>
      </c>
      <c r="N27" s="267">
        <v>78839</v>
      </c>
      <c r="O27" s="269">
        <f>Össz.önkor.mérleg.!I12</f>
        <v>1053093</v>
      </c>
      <c r="P27" s="35"/>
    </row>
    <row r="28" spans="1:256" s="32" customFormat="1" ht="15" customHeight="1" x14ac:dyDescent="0.25">
      <c r="A28" s="21" t="s">
        <v>578</v>
      </c>
      <c r="B28" s="32" t="s">
        <v>661</v>
      </c>
      <c r="C28" s="267">
        <f t="shared" si="4"/>
        <v>1175</v>
      </c>
      <c r="D28" s="267">
        <v>1175</v>
      </c>
      <c r="E28" s="267">
        <v>1175</v>
      </c>
      <c r="F28" s="267">
        <v>1175</v>
      </c>
      <c r="G28" s="267">
        <v>1175</v>
      </c>
      <c r="H28" s="267">
        <v>1175</v>
      </c>
      <c r="I28" s="267">
        <v>1175</v>
      </c>
      <c r="J28" s="267">
        <v>1175</v>
      </c>
      <c r="K28" s="267">
        <v>1175</v>
      </c>
      <c r="L28" s="267">
        <v>1175</v>
      </c>
      <c r="M28" s="267">
        <v>1175</v>
      </c>
      <c r="N28" s="267">
        <v>1175</v>
      </c>
      <c r="O28" s="269">
        <f>Össz.önkor.mérleg.!I14</f>
        <v>14100</v>
      </c>
      <c r="P28" s="35"/>
      <c r="IV28" s="35"/>
    </row>
    <row r="29" spans="1:256" s="32" customFormat="1" ht="15" customHeight="1" x14ac:dyDescent="0.25">
      <c r="A29" s="21" t="s">
        <v>579</v>
      </c>
      <c r="B29" s="32" t="s">
        <v>283</v>
      </c>
      <c r="C29" s="267">
        <v>38</v>
      </c>
      <c r="D29" s="267">
        <v>33</v>
      </c>
      <c r="E29" s="267">
        <v>38</v>
      </c>
      <c r="F29" s="267">
        <v>38</v>
      </c>
      <c r="G29" s="267">
        <v>38</v>
      </c>
      <c r="H29" s="267">
        <v>38</v>
      </c>
      <c r="I29" s="267">
        <v>38</v>
      </c>
      <c r="J29" s="267">
        <v>38</v>
      </c>
      <c r="K29" s="267">
        <v>38</v>
      </c>
      <c r="L29" s="267">
        <v>38</v>
      </c>
      <c r="M29" s="267">
        <v>38</v>
      </c>
      <c r="N29" s="267">
        <v>38</v>
      </c>
      <c r="O29" s="269">
        <f>Össz.önkor.mérleg.!I18</f>
        <v>451</v>
      </c>
      <c r="P29" s="35"/>
    </row>
    <row r="30" spans="1:256" s="32" customFormat="1" ht="12.75" customHeight="1" x14ac:dyDescent="0.25">
      <c r="A30" s="21" t="s">
        <v>580</v>
      </c>
      <c r="B30" s="32" t="s">
        <v>493</v>
      </c>
      <c r="C30" s="267">
        <v>3993</v>
      </c>
      <c r="D30" s="267">
        <v>3989</v>
      </c>
      <c r="E30" s="267">
        <v>3993</v>
      </c>
      <c r="F30" s="267">
        <v>3993</v>
      </c>
      <c r="G30" s="267">
        <v>3993</v>
      </c>
      <c r="H30" s="267">
        <v>3993</v>
      </c>
      <c r="I30" s="267">
        <v>3993</v>
      </c>
      <c r="J30" s="267">
        <v>3993</v>
      </c>
      <c r="K30" s="267">
        <v>3993</v>
      </c>
      <c r="L30" s="267">
        <v>3993</v>
      </c>
      <c r="M30" s="267">
        <v>3993</v>
      </c>
      <c r="N30" s="267">
        <v>3993</v>
      </c>
      <c r="O30" s="269">
        <f>Össz.önkor.mérleg.!I16</f>
        <v>51373</v>
      </c>
      <c r="P30" s="35"/>
    </row>
    <row r="31" spans="1:256" s="32" customFormat="1" ht="15.75" customHeight="1" x14ac:dyDescent="0.25">
      <c r="A31" s="21" t="s">
        <v>581</v>
      </c>
      <c r="B31" s="32" t="s">
        <v>494</v>
      </c>
      <c r="C31" s="267">
        <f t="shared" si="4"/>
        <v>23924.416666666668</v>
      </c>
      <c r="D31" s="267">
        <v>22360</v>
      </c>
      <c r="E31" s="267">
        <v>22360</v>
      </c>
      <c r="F31" s="267">
        <v>22360</v>
      </c>
      <c r="G31" s="267">
        <v>22360</v>
      </c>
      <c r="H31" s="267">
        <v>22360</v>
      </c>
      <c r="I31" s="267">
        <v>22360</v>
      </c>
      <c r="J31" s="267">
        <v>22360</v>
      </c>
      <c r="K31" s="267">
        <v>22360</v>
      </c>
      <c r="L31" s="267">
        <v>22360</v>
      </c>
      <c r="M31" s="267">
        <v>22360</v>
      </c>
      <c r="N31" s="267">
        <v>22360</v>
      </c>
      <c r="O31" s="269">
        <f>Össz.önkor.mérleg.!I17</f>
        <v>287093</v>
      </c>
      <c r="P31" s="35"/>
    </row>
    <row r="32" spans="1:256" s="32" customFormat="1" ht="15" customHeight="1" x14ac:dyDescent="0.25">
      <c r="A32" s="21" t="s">
        <v>601</v>
      </c>
      <c r="B32" s="32" t="s">
        <v>690</v>
      </c>
      <c r="C32" s="267">
        <f t="shared" si="4"/>
        <v>5688.666666666667</v>
      </c>
      <c r="D32" s="267">
        <v>7087</v>
      </c>
      <c r="E32" s="267">
        <v>7091</v>
      </c>
      <c r="F32" s="267">
        <v>7091</v>
      </c>
      <c r="G32" s="267">
        <v>7091</v>
      </c>
      <c r="H32" s="267">
        <v>7091</v>
      </c>
      <c r="I32" s="267">
        <v>7091</v>
      </c>
      <c r="J32" s="267">
        <v>7091</v>
      </c>
      <c r="K32" s="267">
        <v>7091</v>
      </c>
      <c r="L32" s="267">
        <v>7091</v>
      </c>
      <c r="M32" s="267">
        <v>7091</v>
      </c>
      <c r="N32" s="267">
        <v>7091</v>
      </c>
      <c r="O32" s="269">
        <f>Össz.önkor.mérleg.!I19+Össz.önkor.mérleg.!I20</f>
        <v>68264</v>
      </c>
      <c r="P32" s="35"/>
    </row>
    <row r="33" spans="1:16" s="33" customFormat="1" ht="15.75" customHeight="1" x14ac:dyDescent="0.25">
      <c r="A33" s="21" t="s">
        <v>602</v>
      </c>
      <c r="B33" s="1016" t="s">
        <v>662</v>
      </c>
      <c r="C33" s="1014">
        <f>SUM(C25:C32)</f>
        <v>216502.52666666664</v>
      </c>
      <c r="D33" s="1014">
        <f>SUM(D25:D32)</f>
        <v>206778</v>
      </c>
      <c r="E33" s="1014">
        <f t="shared" ref="E33:N33" si="5">SUM(E25:E32)</f>
        <v>206792</v>
      </c>
      <c r="F33" s="1014">
        <f t="shared" si="5"/>
        <v>206792</v>
      </c>
      <c r="G33" s="1014">
        <f t="shared" si="5"/>
        <v>206792</v>
      </c>
      <c r="H33" s="1014">
        <f t="shared" si="5"/>
        <v>206792</v>
      </c>
      <c r="I33" s="1014">
        <f t="shared" si="5"/>
        <v>206792</v>
      </c>
      <c r="J33" s="1014">
        <f t="shared" si="5"/>
        <v>206792</v>
      </c>
      <c r="K33" s="1014">
        <f t="shared" si="5"/>
        <v>206792</v>
      </c>
      <c r="L33" s="1014">
        <f t="shared" si="5"/>
        <v>206792</v>
      </c>
      <c r="M33" s="1014">
        <f t="shared" si="5"/>
        <v>206792</v>
      </c>
      <c r="N33" s="1014">
        <f t="shared" si="5"/>
        <v>206792</v>
      </c>
      <c r="O33" s="1015">
        <f>SUM(O25:O32)</f>
        <v>2601482.3200000003</v>
      </c>
      <c r="P33" s="641"/>
    </row>
    <row r="34" spans="1:16" s="33" customFormat="1" ht="15" customHeight="1" x14ac:dyDescent="0.25">
      <c r="A34" s="21" t="s">
        <v>603</v>
      </c>
      <c r="B34" s="33" t="s">
        <v>663</v>
      </c>
      <c r="C34" s="268">
        <f t="shared" ref="C34:C39" si="6">O34/12</f>
        <v>181032.25</v>
      </c>
      <c r="D34" s="268">
        <v>167754</v>
      </c>
      <c r="E34" s="268">
        <v>167757</v>
      </c>
      <c r="F34" s="268">
        <v>167757</v>
      </c>
      <c r="G34" s="268">
        <v>167757</v>
      </c>
      <c r="H34" s="268">
        <v>167757</v>
      </c>
      <c r="I34" s="268">
        <v>167757</v>
      </c>
      <c r="J34" s="268">
        <v>167757</v>
      </c>
      <c r="K34" s="268">
        <v>167757</v>
      </c>
      <c r="L34" s="268">
        <v>167757</v>
      </c>
      <c r="M34" s="268">
        <v>167757</v>
      </c>
      <c r="N34" s="268">
        <v>167757</v>
      </c>
      <c r="O34" s="270">
        <f>Össz.önkor.mérleg.!I26</f>
        <v>2172387</v>
      </c>
      <c r="P34" s="641"/>
    </row>
    <row r="35" spans="1:16" s="33" customFormat="1" ht="15" customHeight="1" x14ac:dyDescent="0.25">
      <c r="A35" s="21" t="s">
        <v>604</v>
      </c>
      <c r="B35" s="33" t="s">
        <v>512</v>
      </c>
      <c r="C35" s="268">
        <f t="shared" si="6"/>
        <v>833.33333333333337</v>
      </c>
      <c r="D35" s="268">
        <v>837</v>
      </c>
      <c r="E35" s="268">
        <v>833</v>
      </c>
      <c r="F35" s="268">
        <v>833</v>
      </c>
      <c r="G35" s="268">
        <v>833</v>
      </c>
      <c r="H35" s="268">
        <v>833</v>
      </c>
      <c r="I35" s="268">
        <v>833</v>
      </c>
      <c r="J35" s="268">
        <v>833</v>
      </c>
      <c r="K35" s="268">
        <v>833</v>
      </c>
      <c r="L35" s="268">
        <v>833</v>
      </c>
      <c r="M35" s="268">
        <v>833</v>
      </c>
      <c r="N35" s="268">
        <v>833</v>
      </c>
      <c r="O35" s="270">
        <f>Össz.önkor.mérleg.!I27</f>
        <v>10000</v>
      </c>
      <c r="P35" s="641"/>
    </row>
    <row r="36" spans="1:16" s="33" customFormat="1" ht="15.75" customHeight="1" x14ac:dyDescent="0.25">
      <c r="A36" s="21" t="s">
        <v>605</v>
      </c>
      <c r="B36" s="33" t="s">
        <v>495</v>
      </c>
      <c r="C36" s="268">
        <f t="shared" si="6"/>
        <v>0</v>
      </c>
      <c r="D36" s="268">
        <v>0</v>
      </c>
      <c r="E36" s="268">
        <v>0</v>
      </c>
      <c r="F36" s="268">
        <v>0</v>
      </c>
      <c r="G36" s="268">
        <v>0</v>
      </c>
      <c r="H36" s="268">
        <v>0</v>
      </c>
      <c r="I36" s="268">
        <v>0</v>
      </c>
      <c r="J36" s="268">
        <v>0</v>
      </c>
      <c r="K36" s="268">
        <v>0</v>
      </c>
      <c r="L36" s="268">
        <v>0</v>
      </c>
      <c r="M36" s="268">
        <v>0</v>
      </c>
      <c r="N36" s="268">
        <v>0</v>
      </c>
      <c r="O36" s="270">
        <f>Össz.önkor.mérleg.!I28</f>
        <v>0</v>
      </c>
    </row>
    <row r="37" spans="1:16" s="33" customFormat="1" ht="15.75" customHeight="1" x14ac:dyDescent="0.25">
      <c r="A37" s="21" t="s">
        <v>606</v>
      </c>
      <c r="B37" s="32" t="s">
        <v>688</v>
      </c>
      <c r="C37" s="268">
        <f t="shared" si="6"/>
        <v>0</v>
      </c>
      <c r="D37" s="268">
        <v>0</v>
      </c>
      <c r="E37" s="268">
        <v>0</v>
      </c>
      <c r="F37" s="268">
        <v>0</v>
      </c>
      <c r="G37" s="268">
        <v>0</v>
      </c>
      <c r="H37" s="268">
        <v>0</v>
      </c>
      <c r="I37" s="268">
        <v>0</v>
      </c>
      <c r="J37" s="268">
        <v>0</v>
      </c>
      <c r="K37" s="268">
        <v>0</v>
      </c>
      <c r="L37" s="268">
        <v>0</v>
      </c>
      <c r="M37" s="268">
        <v>0</v>
      </c>
      <c r="N37" s="268">
        <v>0</v>
      </c>
      <c r="O37" s="270">
        <f>Össz.önkor.mérleg.!I29</f>
        <v>0</v>
      </c>
    </row>
    <row r="38" spans="1:16" s="33" customFormat="1" ht="16.5" customHeight="1" x14ac:dyDescent="0.25">
      <c r="A38" s="21" t="s">
        <v>607</v>
      </c>
      <c r="B38" s="32" t="s">
        <v>689</v>
      </c>
      <c r="C38" s="268">
        <f t="shared" si="6"/>
        <v>5756</v>
      </c>
      <c r="D38" s="268">
        <v>8272</v>
      </c>
      <c r="E38" s="268">
        <v>8276</v>
      </c>
      <c r="F38" s="268">
        <v>8276</v>
      </c>
      <c r="G38" s="268">
        <v>8276</v>
      </c>
      <c r="H38" s="268">
        <v>8276</v>
      </c>
      <c r="I38" s="268">
        <v>8276</v>
      </c>
      <c r="J38" s="268">
        <v>8276</v>
      </c>
      <c r="K38" s="268">
        <v>8276</v>
      </c>
      <c r="L38" s="268">
        <v>8276</v>
      </c>
      <c r="M38" s="268">
        <v>8276</v>
      </c>
      <c r="N38" s="268">
        <v>8276</v>
      </c>
      <c r="O38" s="270">
        <f>Össz.önkor.mérleg.!I30</f>
        <v>69072</v>
      </c>
      <c r="P38" s="641"/>
    </row>
    <row r="39" spans="1:16" s="33" customFormat="1" ht="15" customHeight="1" x14ac:dyDescent="0.25">
      <c r="A39" s="21" t="s">
        <v>608</v>
      </c>
      <c r="B39" s="32" t="s">
        <v>691</v>
      </c>
      <c r="C39" s="268">
        <f t="shared" si="6"/>
        <v>28657.666666666668</v>
      </c>
      <c r="D39" s="268">
        <v>12915</v>
      </c>
      <c r="E39" s="268">
        <v>12913</v>
      </c>
      <c r="F39" s="268">
        <v>12913</v>
      </c>
      <c r="G39" s="268">
        <v>12913</v>
      </c>
      <c r="H39" s="268">
        <v>12913</v>
      </c>
      <c r="I39" s="268">
        <v>12913</v>
      </c>
      <c r="J39" s="268">
        <v>12913</v>
      </c>
      <c r="K39" s="268">
        <v>12913</v>
      </c>
      <c r="L39" s="268">
        <v>12913</v>
      </c>
      <c r="M39" s="268">
        <v>12913</v>
      </c>
      <c r="N39" s="268">
        <v>12913</v>
      </c>
      <c r="O39" s="270">
        <f>Össz.önkor.mérleg.!I31</f>
        <v>343892</v>
      </c>
      <c r="P39" s="641"/>
    </row>
    <row r="40" spans="1:16" s="38" customFormat="1" ht="15" customHeight="1" x14ac:dyDescent="0.25">
      <c r="A40" s="21" t="s">
        <v>609</v>
      </c>
      <c r="B40" s="806" t="s">
        <v>692</v>
      </c>
      <c r="C40" s="807">
        <f t="shared" ref="C40:O40" si="7">SUM(C34:C39)</f>
        <v>216279.25</v>
      </c>
      <c r="D40" s="807">
        <f t="shared" si="7"/>
        <v>189778</v>
      </c>
      <c r="E40" s="807">
        <f t="shared" si="7"/>
        <v>189779</v>
      </c>
      <c r="F40" s="807">
        <f t="shared" si="7"/>
        <v>189779</v>
      </c>
      <c r="G40" s="807">
        <f t="shared" si="7"/>
        <v>189779</v>
      </c>
      <c r="H40" s="807">
        <f t="shared" si="7"/>
        <v>189779</v>
      </c>
      <c r="I40" s="807">
        <f t="shared" si="7"/>
        <v>189779</v>
      </c>
      <c r="J40" s="807">
        <f t="shared" si="7"/>
        <v>189779</v>
      </c>
      <c r="K40" s="807">
        <f t="shared" si="7"/>
        <v>189779</v>
      </c>
      <c r="L40" s="807">
        <f t="shared" si="7"/>
        <v>189779</v>
      </c>
      <c r="M40" s="807">
        <f t="shared" si="7"/>
        <v>189779</v>
      </c>
      <c r="N40" s="807">
        <f t="shared" si="7"/>
        <v>189779</v>
      </c>
      <c r="O40" s="807">
        <f t="shared" si="7"/>
        <v>2595351</v>
      </c>
      <c r="P40" s="37"/>
    </row>
    <row r="41" spans="1:16" s="38" customFormat="1" ht="15" customHeight="1" x14ac:dyDescent="0.25">
      <c r="A41" s="21" t="s">
        <v>664</v>
      </c>
      <c r="B41" s="1010" t="s">
        <v>1161</v>
      </c>
      <c r="C41" s="1011">
        <f>O41/12</f>
        <v>2620.3333333333335</v>
      </c>
      <c r="D41" s="1011">
        <v>2261</v>
      </c>
      <c r="E41" s="1011">
        <v>2257</v>
      </c>
      <c r="F41" s="1011">
        <v>2257</v>
      </c>
      <c r="G41" s="1011">
        <v>2257</v>
      </c>
      <c r="H41" s="1011">
        <v>2257</v>
      </c>
      <c r="I41" s="1011">
        <v>2257</v>
      </c>
      <c r="J41" s="1011">
        <v>2257</v>
      </c>
      <c r="K41" s="1011">
        <v>2257</v>
      </c>
      <c r="L41" s="1011">
        <v>2257</v>
      </c>
      <c r="M41" s="1011">
        <v>2257</v>
      </c>
      <c r="N41" s="1011">
        <v>2257</v>
      </c>
      <c r="O41" s="1009">
        <f>Össz.önkor.mérleg.!I45</f>
        <v>31444</v>
      </c>
      <c r="P41" s="37"/>
    </row>
    <row r="42" spans="1:16" s="32" customFormat="1" ht="15.75" customHeight="1" x14ac:dyDescent="0.25">
      <c r="A42" s="21" t="s">
        <v>665</v>
      </c>
      <c r="B42" s="1008" t="s">
        <v>1160</v>
      </c>
      <c r="C42" s="267">
        <f>SUM(C41)</f>
        <v>2620.3333333333335</v>
      </c>
      <c r="D42" s="267">
        <f>SUM(D41)</f>
        <v>2261</v>
      </c>
      <c r="E42" s="267">
        <f t="shared" ref="E42:N42" si="8">SUM(E41)</f>
        <v>2257</v>
      </c>
      <c r="F42" s="267">
        <f t="shared" si="8"/>
        <v>2257</v>
      </c>
      <c r="G42" s="267">
        <f t="shared" si="8"/>
        <v>2257</v>
      </c>
      <c r="H42" s="267">
        <f t="shared" si="8"/>
        <v>2257</v>
      </c>
      <c r="I42" s="267">
        <f t="shared" si="8"/>
        <v>2257</v>
      </c>
      <c r="J42" s="267">
        <f t="shared" si="8"/>
        <v>2257</v>
      </c>
      <c r="K42" s="267">
        <f t="shared" si="8"/>
        <v>2257</v>
      </c>
      <c r="L42" s="267">
        <f t="shared" si="8"/>
        <v>2257</v>
      </c>
      <c r="M42" s="267">
        <f t="shared" si="8"/>
        <v>2257</v>
      </c>
      <c r="N42" s="267">
        <f t="shared" si="8"/>
        <v>2257</v>
      </c>
      <c r="O42" s="269">
        <f>SUM(C42:N42)</f>
        <v>27451.333333333336</v>
      </c>
    </row>
    <row r="43" spans="1:16" s="34" customFormat="1" ht="16.5" customHeight="1" x14ac:dyDescent="0.25">
      <c r="A43" s="21" t="s">
        <v>666</v>
      </c>
      <c r="B43" s="810" t="s">
        <v>695</v>
      </c>
      <c r="C43" s="811">
        <f t="shared" ref="C43:N43" si="9">C40+C33+C42</f>
        <v>435402.10999999993</v>
      </c>
      <c r="D43" s="811">
        <f t="shared" si="9"/>
        <v>398817</v>
      </c>
      <c r="E43" s="811">
        <f t="shared" si="9"/>
        <v>398828</v>
      </c>
      <c r="F43" s="811">
        <f t="shared" si="9"/>
        <v>398828</v>
      </c>
      <c r="G43" s="811">
        <f t="shared" si="9"/>
        <v>398828</v>
      </c>
      <c r="H43" s="811">
        <f t="shared" si="9"/>
        <v>398828</v>
      </c>
      <c r="I43" s="811">
        <f t="shared" si="9"/>
        <v>398828</v>
      </c>
      <c r="J43" s="811">
        <f t="shared" si="9"/>
        <v>398828</v>
      </c>
      <c r="K43" s="811">
        <f t="shared" si="9"/>
        <v>398828</v>
      </c>
      <c r="L43" s="811">
        <f t="shared" si="9"/>
        <v>398828</v>
      </c>
      <c r="M43" s="811">
        <f t="shared" si="9"/>
        <v>398828</v>
      </c>
      <c r="N43" s="811">
        <f t="shared" si="9"/>
        <v>398828</v>
      </c>
      <c r="O43" s="812">
        <f>SUM(C43:N43)</f>
        <v>4822499.1099999994</v>
      </c>
      <c r="P43" s="36"/>
    </row>
    <row r="44" spans="1:16" ht="12.75" customHeight="1" x14ac:dyDescent="0.25"/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G110"/>
  <sheetViews>
    <sheetView zoomScale="90" zoomScaleNormal="90"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activeCell="AC91" sqref="AC91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" style="17" customWidth="1"/>
    <col min="5" max="5" width="5.5703125" style="17" customWidth="1"/>
    <col min="6" max="6" width="4.7109375" style="17" customWidth="1"/>
    <col min="7" max="7" width="5.42578125" style="17" customWidth="1"/>
    <col min="8" max="8" width="4" style="17" customWidth="1"/>
    <col min="9" max="9" width="5.7109375" style="17" customWidth="1"/>
    <col min="10" max="10" width="4" style="17" customWidth="1"/>
    <col min="11" max="11" width="5.7109375" style="17" customWidth="1"/>
    <col min="12" max="12" width="7.28515625" style="17" customWidth="1"/>
    <col min="13" max="13" width="6.7109375" style="17" customWidth="1"/>
    <col min="14" max="14" width="5.140625" style="17" customWidth="1"/>
    <col min="15" max="15" width="5.7109375" style="17" customWidth="1"/>
    <col min="16" max="16" width="6.7109375" style="17" customWidth="1"/>
    <col min="17" max="17" width="6.42578125" style="17" customWidth="1"/>
    <col min="18" max="18" width="6.7109375" style="17" customWidth="1"/>
    <col min="19" max="19" width="6.85546875" style="17" customWidth="1"/>
    <col min="20" max="20" width="6.5703125" style="17" customWidth="1"/>
    <col min="21" max="21" width="7.140625" style="17" customWidth="1"/>
    <col min="22" max="22" width="6" style="17" customWidth="1"/>
    <col min="23" max="23" width="7.5703125" style="17" customWidth="1"/>
    <col min="24" max="16384" width="9.140625" style="16"/>
  </cols>
  <sheetData>
    <row r="1" spans="1:24" ht="15.75" customHeight="1" x14ac:dyDescent="0.25">
      <c r="A1" s="1347" t="s">
        <v>1220</v>
      </c>
      <c r="B1" s="1347"/>
      <c r="C1" s="1347"/>
      <c r="D1" s="1347"/>
      <c r="E1" s="1347"/>
      <c r="F1" s="1347"/>
      <c r="G1" s="1347"/>
      <c r="H1" s="1347"/>
      <c r="I1" s="1347"/>
      <c r="J1" s="1347"/>
      <c r="K1" s="1347"/>
      <c r="L1" s="1347"/>
      <c r="M1" s="1347"/>
      <c r="N1" s="1347"/>
      <c r="O1" s="1347"/>
      <c r="P1" s="1347"/>
      <c r="Q1" s="1347"/>
      <c r="R1" s="1347"/>
      <c r="S1" s="1347"/>
      <c r="T1" s="1347"/>
      <c r="U1" s="1347"/>
      <c r="V1" s="1347"/>
      <c r="W1" s="1347"/>
    </row>
    <row r="2" spans="1:24" ht="15.75" customHeight="1" x14ac:dyDescent="0.25">
      <c r="A2" s="1353" t="s">
        <v>54</v>
      </c>
      <c r="B2" s="1353"/>
      <c r="C2" s="1353"/>
      <c r="D2" s="1353"/>
      <c r="E2" s="1353"/>
      <c r="F2" s="1353"/>
      <c r="G2" s="1353"/>
      <c r="H2" s="1353"/>
      <c r="I2" s="1353"/>
      <c r="J2" s="1353"/>
      <c r="K2" s="1353"/>
      <c r="L2" s="1353"/>
      <c r="M2" s="1353"/>
      <c r="N2" s="1353"/>
      <c r="O2" s="1353"/>
      <c r="P2" s="1353"/>
      <c r="Q2" s="1353"/>
      <c r="R2" s="1353"/>
      <c r="S2" s="1353"/>
      <c r="T2" s="1353"/>
      <c r="U2" s="1353"/>
      <c r="V2" s="1353"/>
      <c r="W2" s="1353"/>
    </row>
    <row r="3" spans="1:24" ht="15.75" customHeight="1" x14ac:dyDescent="0.25">
      <c r="A3" s="1353" t="s">
        <v>1129</v>
      </c>
      <c r="B3" s="1353"/>
      <c r="C3" s="1353"/>
      <c r="D3" s="1353"/>
      <c r="E3" s="1353"/>
      <c r="F3" s="1353"/>
      <c r="G3" s="1353"/>
      <c r="H3" s="1353"/>
      <c r="I3" s="1353"/>
      <c r="J3" s="1353"/>
      <c r="K3" s="1353"/>
      <c r="L3" s="1353"/>
      <c r="M3" s="1353"/>
      <c r="N3" s="1353"/>
      <c r="O3" s="1353"/>
      <c r="P3" s="1353"/>
      <c r="Q3" s="1353"/>
      <c r="R3" s="1353"/>
      <c r="S3" s="1353"/>
      <c r="T3" s="1353"/>
      <c r="U3" s="1353"/>
      <c r="V3" s="1353"/>
      <c r="W3" s="1353"/>
    </row>
    <row r="4" spans="1:24" ht="15.75" customHeigh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 t="s">
        <v>696</v>
      </c>
    </row>
    <row r="5" spans="1:24" ht="27.75" customHeight="1" x14ac:dyDescent="0.25">
      <c r="A5" s="1354" t="s">
        <v>70</v>
      </c>
      <c r="B5" s="42" t="s">
        <v>57</v>
      </c>
      <c r="C5" s="1355" t="s">
        <v>58</v>
      </c>
      <c r="D5" s="1355"/>
      <c r="E5" s="1355"/>
      <c r="F5" s="1355" t="s">
        <v>59</v>
      </c>
      <c r="G5" s="1355"/>
      <c r="H5" s="1355" t="s">
        <v>60</v>
      </c>
      <c r="I5" s="1355"/>
      <c r="J5" s="1356" t="s">
        <v>499</v>
      </c>
      <c r="K5" s="1356"/>
      <c r="L5" s="1355" t="s">
        <v>500</v>
      </c>
      <c r="M5" s="1355"/>
      <c r="N5" s="1355" t="s">
        <v>501</v>
      </c>
      <c r="O5" s="1355"/>
      <c r="P5" s="1357" t="s">
        <v>629</v>
      </c>
      <c r="Q5" s="1357"/>
      <c r="R5" s="1357"/>
      <c r="S5" s="1355" t="s">
        <v>640</v>
      </c>
      <c r="T5" s="1355"/>
      <c r="U5" s="1355" t="s">
        <v>641</v>
      </c>
      <c r="V5" s="1355"/>
      <c r="W5" s="1355"/>
    </row>
    <row r="6" spans="1:24" s="4" customFormat="1" ht="30.75" customHeight="1" x14ac:dyDescent="0.2">
      <c r="A6" s="1354"/>
      <c r="B6" s="1320" t="s">
        <v>697</v>
      </c>
      <c r="C6" s="1358" t="s">
        <v>698</v>
      </c>
      <c r="D6" s="1358"/>
      <c r="E6" s="1358"/>
      <c r="F6" s="1358"/>
      <c r="G6" s="1358"/>
      <c r="H6" s="1358" t="s">
        <v>699</v>
      </c>
      <c r="I6" s="1358"/>
      <c r="J6" s="1358"/>
      <c r="K6" s="1358"/>
      <c r="L6" s="1352" t="s">
        <v>700</v>
      </c>
      <c r="M6" s="1352"/>
      <c r="N6" s="1352"/>
      <c r="O6" s="1352"/>
      <c r="P6" s="1352" t="s">
        <v>564</v>
      </c>
      <c r="Q6" s="1352"/>
      <c r="R6" s="1352"/>
      <c r="S6" s="1352"/>
      <c r="T6" s="1352"/>
      <c r="U6" s="1206" t="s">
        <v>701</v>
      </c>
      <c r="V6" s="1206"/>
      <c r="W6" s="1206"/>
    </row>
    <row r="7" spans="1:24" s="4" customFormat="1" ht="40.5" customHeight="1" x14ac:dyDescent="0.2">
      <c r="A7" s="1354"/>
      <c r="B7" s="1320"/>
      <c r="C7" s="1350" t="s">
        <v>702</v>
      </c>
      <c r="D7" s="1350"/>
      <c r="E7" s="1350"/>
      <c r="F7" s="1149" t="s">
        <v>703</v>
      </c>
      <c r="G7" s="1149"/>
      <c r="H7" s="1350" t="s">
        <v>704</v>
      </c>
      <c r="I7" s="1350"/>
      <c r="J7" s="1350" t="s">
        <v>703</v>
      </c>
      <c r="K7" s="1350"/>
      <c r="L7" s="1351" t="s">
        <v>704</v>
      </c>
      <c r="M7" s="1351"/>
      <c r="N7" s="1350" t="s">
        <v>703</v>
      </c>
      <c r="O7" s="1350"/>
      <c r="P7" s="1351" t="s">
        <v>704</v>
      </c>
      <c r="Q7" s="1351"/>
      <c r="R7" s="1351"/>
      <c r="S7" s="1351" t="s">
        <v>705</v>
      </c>
      <c r="T7" s="1351"/>
      <c r="U7" s="1206"/>
      <c r="V7" s="1206"/>
      <c r="W7" s="1206"/>
    </row>
    <row r="8" spans="1:24" s="4" customFormat="1" ht="27" customHeight="1" x14ac:dyDescent="0.2">
      <c r="A8" s="1354"/>
      <c r="B8" s="1320"/>
      <c r="C8" s="43">
        <v>42736</v>
      </c>
      <c r="D8" s="43">
        <v>43009</v>
      </c>
      <c r="E8" s="43">
        <v>43100</v>
      </c>
      <c r="F8" s="43">
        <v>42736</v>
      </c>
      <c r="G8" s="43">
        <v>43100</v>
      </c>
      <c r="H8" s="43">
        <v>42736</v>
      </c>
      <c r="I8" s="43">
        <v>43100</v>
      </c>
      <c r="J8" s="43">
        <v>42736</v>
      </c>
      <c r="K8" s="43">
        <v>43100</v>
      </c>
      <c r="L8" s="43">
        <v>42736</v>
      </c>
      <c r="M8" s="43">
        <v>43100</v>
      </c>
      <c r="N8" s="43">
        <v>42736</v>
      </c>
      <c r="O8" s="43">
        <v>43100</v>
      </c>
      <c r="P8" s="43">
        <v>42736</v>
      </c>
      <c r="Q8" s="43">
        <v>43009</v>
      </c>
      <c r="R8" s="43">
        <v>43100</v>
      </c>
      <c r="S8" s="43">
        <v>42736</v>
      </c>
      <c r="T8" s="43">
        <v>43100</v>
      </c>
      <c r="U8" s="43">
        <v>42736</v>
      </c>
      <c r="V8" s="881">
        <v>43009</v>
      </c>
      <c r="W8" s="43">
        <v>43100</v>
      </c>
    </row>
    <row r="9" spans="1:24" s="4" customFormat="1" ht="13.9" customHeight="1" x14ac:dyDescent="0.25">
      <c r="A9" s="44"/>
      <c r="B9" s="3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4" s="4" customFormat="1" ht="13.9" customHeight="1" x14ac:dyDescent="0.25">
      <c r="A10" s="44" t="s">
        <v>508</v>
      </c>
      <c r="B10" s="46" t="s">
        <v>87</v>
      </c>
      <c r="C10" s="47" t="s">
        <v>1142</v>
      </c>
      <c r="D10" s="47" t="s">
        <v>1014</v>
      </c>
      <c r="E10" s="47" t="s">
        <v>322</v>
      </c>
      <c r="F10" s="47"/>
      <c r="G10" s="47"/>
      <c r="H10" s="47">
        <v>2</v>
      </c>
      <c r="I10" s="47" t="s">
        <v>706</v>
      </c>
      <c r="J10" s="47"/>
      <c r="K10" s="47"/>
      <c r="L10" s="47" t="s">
        <v>598</v>
      </c>
      <c r="M10" s="47" t="s">
        <v>598</v>
      </c>
      <c r="N10" s="47" t="s">
        <v>598</v>
      </c>
      <c r="O10" s="47" t="s">
        <v>598</v>
      </c>
      <c r="P10" s="1004">
        <v>7</v>
      </c>
      <c r="Q10" s="47" t="s">
        <v>1014</v>
      </c>
      <c r="R10" s="47" t="s">
        <v>956</v>
      </c>
      <c r="S10" s="47" t="s">
        <v>598</v>
      </c>
      <c r="T10" s="47" t="s">
        <v>598</v>
      </c>
      <c r="U10" s="1006">
        <f>C10+H10+L10</f>
        <v>7</v>
      </c>
      <c r="V10" s="939" t="str">
        <f>Q10</f>
        <v>-1</v>
      </c>
      <c r="W10" s="525">
        <f>U10+V10</f>
        <v>6</v>
      </c>
    </row>
    <row r="11" spans="1:24" s="4" customFormat="1" ht="13.9" customHeight="1" x14ac:dyDescent="0.25">
      <c r="A11" s="44"/>
      <c r="B11" s="31"/>
      <c r="C11" s="48"/>
      <c r="D11" s="48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4" s="17" customFormat="1" ht="14.45" customHeight="1" x14ac:dyDescent="0.25">
      <c r="A12" s="5" t="s">
        <v>516</v>
      </c>
      <c r="B12" s="49" t="s">
        <v>707</v>
      </c>
      <c r="C12" s="50">
        <v>3</v>
      </c>
      <c r="D12" s="50"/>
      <c r="E12" s="51">
        <f>C12+D12</f>
        <v>3</v>
      </c>
      <c r="F12" s="51"/>
      <c r="G12" s="51"/>
      <c r="H12" s="51">
        <v>36</v>
      </c>
      <c r="I12" s="51">
        <f>H12</f>
        <v>36</v>
      </c>
      <c r="J12" s="51"/>
      <c r="K12" s="51"/>
      <c r="L12" s="51">
        <v>0</v>
      </c>
      <c r="M12" s="51">
        <v>0</v>
      </c>
      <c r="N12" s="51">
        <v>0</v>
      </c>
      <c r="O12" s="51">
        <v>0</v>
      </c>
      <c r="P12" s="51">
        <f>C12+H12+L12</f>
        <v>39</v>
      </c>
      <c r="Q12" s="882"/>
      <c r="R12" s="51">
        <f>SUM(P12:Q12)</f>
        <v>39</v>
      </c>
      <c r="S12" s="51">
        <v>0</v>
      </c>
      <c r="T12" s="51">
        <v>0</v>
      </c>
      <c r="U12" s="53">
        <f>P12</f>
        <v>39</v>
      </c>
      <c r="V12" s="883">
        <f>Q12</f>
        <v>0</v>
      </c>
      <c r="W12" s="53">
        <f>U12++V12</f>
        <v>39</v>
      </c>
    </row>
    <row r="13" spans="1:24" s="17" customFormat="1" ht="14.45" customHeight="1" x14ac:dyDescent="0.25">
      <c r="A13" s="5"/>
    </row>
    <row r="14" spans="1:24" ht="15.75" customHeight="1" x14ac:dyDescent="0.25">
      <c r="A14" s="5"/>
      <c r="B14" s="54"/>
      <c r="C14" s="55"/>
      <c r="D14" s="55"/>
      <c r="E14" s="56"/>
      <c r="F14" s="56"/>
      <c r="G14" s="56"/>
      <c r="H14" s="56"/>
      <c r="I14" s="57"/>
      <c r="J14" s="57"/>
      <c r="K14" s="57"/>
      <c r="L14" s="57"/>
      <c r="M14" s="57"/>
      <c r="N14" s="57"/>
      <c r="O14" s="57"/>
      <c r="P14" s="57"/>
      <c r="Q14" s="57"/>
      <c r="R14" s="58"/>
      <c r="S14" s="58"/>
      <c r="T14" s="58"/>
      <c r="U14" s="58"/>
      <c r="V14" s="58"/>
      <c r="W14" s="58"/>
    </row>
    <row r="15" spans="1:24" s="17" customFormat="1" ht="14.45" customHeight="1" x14ac:dyDescent="0.25">
      <c r="A15" s="5" t="s">
        <v>517</v>
      </c>
      <c r="B15" s="59" t="s">
        <v>708</v>
      </c>
      <c r="C15" s="60"/>
      <c r="D15" s="60"/>
      <c r="E15" s="61"/>
      <c r="F15" s="61"/>
      <c r="G15" s="61"/>
      <c r="H15" s="61"/>
      <c r="I15" s="62"/>
      <c r="J15" s="62"/>
      <c r="K15" s="62"/>
      <c r="L15" s="62"/>
      <c r="M15" s="62"/>
      <c r="N15" s="62"/>
      <c r="O15" s="62"/>
      <c r="P15" s="62"/>
      <c r="Q15" s="62"/>
      <c r="R15" s="63"/>
      <c r="S15" s="63"/>
      <c r="T15" s="63"/>
      <c r="U15" s="63"/>
      <c r="V15" s="63"/>
      <c r="W15" s="63"/>
    </row>
    <row r="16" spans="1:24" s="17" customFormat="1" ht="14.45" customHeight="1" x14ac:dyDescent="0.25">
      <c r="A16" s="5" t="s">
        <v>518</v>
      </c>
      <c r="B16" s="64" t="s">
        <v>709</v>
      </c>
      <c r="C16" s="1005"/>
      <c r="D16" s="65"/>
      <c r="E16" s="66"/>
      <c r="F16" s="66"/>
      <c r="G16" s="66"/>
      <c r="H16" s="66"/>
      <c r="I16" s="66"/>
      <c r="J16" s="66"/>
      <c r="K16" s="66"/>
      <c r="L16" s="1037">
        <v>22.5</v>
      </c>
      <c r="M16" s="1038">
        <f t="shared" ref="M16:M23" si="0">L16</f>
        <v>22.5</v>
      </c>
      <c r="N16" s="1037"/>
      <c r="O16" s="1037"/>
      <c r="P16" s="1038">
        <f t="shared" ref="P16:P24" si="1">C16+H16+L16</f>
        <v>22.5</v>
      </c>
      <c r="Q16" s="1038"/>
      <c r="R16" s="1038">
        <f t="shared" ref="R16:R23" si="2">E16+I16+M16</f>
        <v>22.5</v>
      </c>
      <c r="S16" s="1038"/>
      <c r="T16" s="1038"/>
      <c r="U16" s="1038">
        <f t="shared" ref="U16:U21" si="3">P16+S16/2</f>
        <v>22.5</v>
      </c>
      <c r="V16" s="1038"/>
      <c r="W16" s="1038">
        <f t="shared" ref="W16:W23" si="4">R16+T16/2</f>
        <v>22.5</v>
      </c>
      <c r="X16" s="1007"/>
    </row>
    <row r="17" spans="1:24" s="17" customFormat="1" ht="14.45" customHeight="1" x14ac:dyDescent="0.25">
      <c r="A17" s="5" t="s">
        <v>519</v>
      </c>
      <c r="B17" s="64" t="s">
        <v>1004</v>
      </c>
      <c r="C17" s="65"/>
      <c r="D17" s="65"/>
      <c r="E17" s="66"/>
      <c r="F17" s="66"/>
      <c r="G17" s="66"/>
      <c r="H17" s="66"/>
      <c r="I17" s="66"/>
      <c r="J17" s="66"/>
      <c r="K17" s="66"/>
      <c r="L17" s="66">
        <v>20</v>
      </c>
      <c r="M17" s="51">
        <f t="shared" si="0"/>
        <v>20</v>
      </c>
      <c r="N17" s="66"/>
      <c r="O17" s="66"/>
      <c r="P17" s="51">
        <f t="shared" si="1"/>
        <v>20</v>
      </c>
      <c r="Q17" s="51"/>
      <c r="R17" s="51">
        <f t="shared" si="2"/>
        <v>20</v>
      </c>
      <c r="S17" s="51"/>
      <c r="T17" s="51"/>
      <c r="U17" s="51">
        <f t="shared" si="3"/>
        <v>20</v>
      </c>
      <c r="V17" s="51"/>
      <c r="W17" s="51">
        <f t="shared" si="4"/>
        <v>20</v>
      </c>
    </row>
    <row r="18" spans="1:24" s="17" customFormat="1" ht="14.45" customHeight="1" x14ac:dyDescent="0.25">
      <c r="A18" s="5" t="s">
        <v>520</v>
      </c>
      <c r="B18" s="64" t="s">
        <v>1005</v>
      </c>
      <c r="C18" s="65"/>
      <c r="D18" s="65"/>
      <c r="E18" s="66"/>
      <c r="F18" s="66"/>
      <c r="G18" s="66"/>
      <c r="H18" s="66"/>
      <c r="I18" s="66"/>
      <c r="J18" s="66"/>
      <c r="K18" s="66"/>
      <c r="L18" s="66">
        <v>9</v>
      </c>
      <c r="M18" s="51">
        <f t="shared" si="0"/>
        <v>9</v>
      </c>
      <c r="N18" s="66"/>
      <c r="O18" s="66"/>
      <c r="P18" s="51">
        <f t="shared" si="1"/>
        <v>9</v>
      </c>
      <c r="Q18" s="51"/>
      <c r="R18" s="51">
        <f t="shared" si="2"/>
        <v>9</v>
      </c>
      <c r="S18" s="51"/>
      <c r="T18" s="51"/>
      <c r="U18" s="51">
        <f t="shared" si="3"/>
        <v>9</v>
      </c>
      <c r="V18" s="51"/>
      <c r="W18" s="51">
        <f t="shared" si="4"/>
        <v>9</v>
      </c>
    </row>
    <row r="19" spans="1:24" s="17" customFormat="1" ht="14.45" customHeight="1" x14ac:dyDescent="0.25">
      <c r="A19" s="5" t="s">
        <v>521</v>
      </c>
      <c r="B19" s="64" t="s">
        <v>1006</v>
      </c>
      <c r="C19" s="65"/>
      <c r="D19" s="65"/>
      <c r="E19" s="66"/>
      <c r="F19" s="66"/>
      <c r="G19" s="66"/>
      <c r="H19" s="66"/>
      <c r="I19" s="66"/>
      <c r="J19" s="66"/>
      <c r="K19" s="66"/>
      <c r="L19" s="66">
        <v>11</v>
      </c>
      <c r="M19" s="51">
        <f t="shared" si="0"/>
        <v>11</v>
      </c>
      <c r="N19" s="66"/>
      <c r="O19" s="66"/>
      <c r="P19" s="51">
        <f t="shared" si="1"/>
        <v>11</v>
      </c>
      <c r="Q19" s="51"/>
      <c r="R19" s="51">
        <f t="shared" si="2"/>
        <v>11</v>
      </c>
      <c r="S19" s="51"/>
      <c r="T19" s="51"/>
      <c r="U19" s="51">
        <f t="shared" si="3"/>
        <v>11</v>
      </c>
      <c r="V19" s="51"/>
      <c r="W19" s="51">
        <f t="shared" si="4"/>
        <v>11</v>
      </c>
    </row>
    <row r="20" spans="1:24" s="17" customFormat="1" ht="14.45" customHeight="1" x14ac:dyDescent="0.25">
      <c r="A20" s="5" t="s">
        <v>522</v>
      </c>
      <c r="B20" s="64" t="s">
        <v>710</v>
      </c>
      <c r="C20" s="65"/>
      <c r="D20" s="65"/>
      <c r="E20" s="66"/>
      <c r="F20" s="66"/>
      <c r="G20" s="66"/>
      <c r="H20" s="66"/>
      <c r="I20" s="66"/>
      <c r="J20" s="66"/>
      <c r="K20" s="66"/>
      <c r="L20" s="66">
        <v>1</v>
      </c>
      <c r="M20" s="51">
        <f t="shared" si="0"/>
        <v>1</v>
      </c>
      <c r="N20" s="66"/>
      <c r="O20" s="66"/>
      <c r="P20" s="51">
        <f t="shared" si="1"/>
        <v>1</v>
      </c>
      <c r="Q20" s="51"/>
      <c r="R20" s="51">
        <f t="shared" si="2"/>
        <v>1</v>
      </c>
      <c r="S20" s="51"/>
      <c r="T20" s="51"/>
      <c r="U20" s="51">
        <f t="shared" si="3"/>
        <v>1</v>
      </c>
      <c r="V20" s="51"/>
      <c r="W20" s="51">
        <f t="shared" si="4"/>
        <v>1</v>
      </c>
    </row>
    <row r="21" spans="1:24" s="17" customFormat="1" ht="14.45" customHeight="1" x14ac:dyDescent="0.25">
      <c r="A21" s="5" t="s">
        <v>523</v>
      </c>
      <c r="B21" s="64" t="s">
        <v>711</v>
      </c>
      <c r="C21" s="65"/>
      <c r="D21" s="65"/>
      <c r="E21" s="66"/>
      <c r="F21" s="66"/>
      <c r="G21" s="66"/>
      <c r="H21" s="66"/>
      <c r="I21" s="66"/>
      <c r="J21" s="66"/>
      <c r="K21" s="66"/>
      <c r="L21" s="66">
        <v>5</v>
      </c>
      <c r="M21" s="51">
        <f t="shared" si="0"/>
        <v>5</v>
      </c>
      <c r="N21" s="66"/>
      <c r="O21" s="66"/>
      <c r="P21" s="51">
        <f t="shared" si="1"/>
        <v>5</v>
      </c>
      <c r="Q21" s="51"/>
      <c r="R21" s="51">
        <f t="shared" si="2"/>
        <v>5</v>
      </c>
      <c r="S21" s="51"/>
      <c r="T21" s="51"/>
      <c r="U21" s="51">
        <f t="shared" si="3"/>
        <v>5</v>
      </c>
      <c r="V21" s="51"/>
      <c r="W21" s="51">
        <f t="shared" si="4"/>
        <v>5</v>
      </c>
    </row>
    <row r="22" spans="1:24" s="17" customFormat="1" ht="14.45" customHeight="1" x14ac:dyDescent="0.25">
      <c r="A22" s="5" t="s">
        <v>566</v>
      </c>
      <c r="B22" s="64" t="s">
        <v>984</v>
      </c>
      <c r="C22" s="65"/>
      <c r="D22" s="65"/>
      <c r="E22" s="66"/>
      <c r="F22" s="66"/>
      <c r="G22" s="66"/>
      <c r="H22" s="66"/>
      <c r="I22" s="66"/>
      <c r="J22" s="66"/>
      <c r="K22" s="66"/>
      <c r="L22" s="66">
        <v>3</v>
      </c>
      <c r="M22" s="51">
        <f t="shared" si="0"/>
        <v>3</v>
      </c>
      <c r="N22" s="66"/>
      <c r="O22" s="66"/>
      <c r="P22" s="51">
        <f t="shared" si="1"/>
        <v>3</v>
      </c>
      <c r="Q22" s="51"/>
      <c r="R22" s="51">
        <f t="shared" si="2"/>
        <v>3</v>
      </c>
      <c r="S22" s="51"/>
      <c r="T22" s="51"/>
      <c r="U22" s="51">
        <v>3</v>
      </c>
      <c r="V22" s="51"/>
      <c r="W22" s="51">
        <f t="shared" si="4"/>
        <v>3</v>
      </c>
    </row>
    <row r="23" spans="1:24" s="17" customFormat="1" ht="14.45" customHeight="1" x14ac:dyDescent="0.25">
      <c r="A23" s="5" t="s">
        <v>567</v>
      </c>
      <c r="B23" s="64" t="s">
        <v>713</v>
      </c>
      <c r="C23" s="65"/>
      <c r="D23" s="65"/>
      <c r="E23" s="66"/>
      <c r="F23" s="66"/>
      <c r="G23" s="66"/>
      <c r="H23" s="66"/>
      <c r="I23" s="66"/>
      <c r="J23" s="66"/>
      <c r="K23" s="66"/>
      <c r="L23" s="66">
        <v>4</v>
      </c>
      <c r="M23" s="51">
        <f t="shared" si="0"/>
        <v>4</v>
      </c>
      <c r="N23" s="66"/>
      <c r="O23" s="66"/>
      <c r="P23" s="51">
        <f t="shared" si="1"/>
        <v>4</v>
      </c>
      <c r="Q23" s="51"/>
      <c r="R23" s="51">
        <f t="shared" si="2"/>
        <v>4</v>
      </c>
      <c r="S23" s="51"/>
      <c r="T23" s="51"/>
      <c r="U23" s="51">
        <f>P23+S23/2</f>
        <v>4</v>
      </c>
      <c r="V23" s="51"/>
      <c r="W23" s="51">
        <f t="shared" si="4"/>
        <v>4</v>
      </c>
    </row>
    <row r="24" spans="1:24" s="17" customFormat="1" ht="14.45" customHeight="1" x14ac:dyDescent="0.25">
      <c r="A24" s="5" t="s">
        <v>568</v>
      </c>
      <c r="B24" s="49" t="s">
        <v>714</v>
      </c>
      <c r="C24" s="50"/>
      <c r="D24" s="50"/>
      <c r="E24" s="67"/>
      <c r="F24" s="67"/>
      <c r="G24" s="67"/>
      <c r="H24" s="67"/>
      <c r="I24" s="66"/>
      <c r="J24" s="66"/>
      <c r="K24" s="66"/>
      <c r="L24" s="51">
        <f>SUM(L16:L23)</f>
        <v>75.5</v>
      </c>
      <c r="M24" s="51">
        <f>SUM(M16:M23)</f>
        <v>75.5</v>
      </c>
      <c r="N24" s="51">
        <v>0</v>
      </c>
      <c r="O24" s="51">
        <v>0</v>
      </c>
      <c r="P24" s="51">
        <f t="shared" si="1"/>
        <v>75.5</v>
      </c>
      <c r="Q24" s="51"/>
      <c r="R24" s="51">
        <f>SUM(R16:R23)</f>
        <v>75.5</v>
      </c>
      <c r="S24" s="51">
        <v>0</v>
      </c>
      <c r="T24" s="51">
        <v>0</v>
      </c>
      <c r="U24" s="273">
        <f>P24+S24/2</f>
        <v>75.5</v>
      </c>
      <c r="V24" s="882">
        <v>0</v>
      </c>
      <c r="W24" s="51">
        <f>SUM(W16:W23)</f>
        <v>75.5</v>
      </c>
      <c r="X24" s="825"/>
    </row>
    <row r="25" spans="1:24" s="17" customFormat="1" ht="13.5" customHeight="1" x14ac:dyDescent="0.25">
      <c r="A25" s="5"/>
      <c r="B25" s="131"/>
      <c r="C25" s="132"/>
      <c r="D25" s="132"/>
      <c r="E25" s="133"/>
      <c r="F25" s="133"/>
      <c r="G25" s="133"/>
      <c r="H25" s="133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spans="1:24" ht="12.75" customHeight="1" x14ac:dyDescent="0.25">
      <c r="A26" s="5"/>
      <c r="B26" s="54"/>
      <c r="C26" s="55"/>
      <c r="D26" s="55"/>
      <c r="E26" s="56"/>
      <c r="F26" s="56"/>
      <c r="G26" s="56"/>
      <c r="H26" s="56"/>
      <c r="I26" s="74"/>
      <c r="J26" s="74"/>
      <c r="K26" s="74"/>
      <c r="L26" s="74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</row>
    <row r="27" spans="1:24" s="17" customFormat="1" ht="27" customHeight="1" x14ac:dyDescent="0.25">
      <c r="A27" s="5" t="s">
        <v>569</v>
      </c>
      <c r="B27" s="59" t="s">
        <v>715</v>
      </c>
      <c r="C27" s="60"/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57"/>
      <c r="Q27" s="57"/>
      <c r="R27" s="57"/>
      <c r="S27" s="57"/>
      <c r="T27" s="57"/>
      <c r="U27" s="57"/>
      <c r="V27" s="57"/>
      <c r="W27" s="61"/>
    </row>
    <row r="28" spans="1:24" s="17" customFormat="1" ht="14.45" customHeight="1" x14ac:dyDescent="0.25">
      <c r="A28" s="5" t="s">
        <v>570</v>
      </c>
      <c r="B28" s="64" t="s">
        <v>631</v>
      </c>
      <c r="C28" s="65"/>
      <c r="D28" s="65"/>
      <c r="E28" s="66"/>
      <c r="F28" s="66"/>
      <c r="G28" s="66"/>
      <c r="H28" s="66"/>
      <c r="I28" s="51"/>
      <c r="J28" s="51"/>
      <c r="K28" s="51"/>
      <c r="L28" s="66">
        <v>7</v>
      </c>
      <c r="M28" s="51">
        <f t="shared" ref="M28:M38" si="5">L28</f>
        <v>7</v>
      </c>
      <c r="N28" s="66"/>
      <c r="O28" s="66"/>
      <c r="P28" s="51">
        <f>C28+H28+L28</f>
        <v>7</v>
      </c>
      <c r="Q28" s="51"/>
      <c r="R28" s="51">
        <f t="shared" ref="R28:R40" si="6">E28+I28+M28</f>
        <v>7</v>
      </c>
      <c r="S28" s="51"/>
      <c r="T28" s="51"/>
      <c r="U28" s="51">
        <f t="shared" ref="U28:U40" si="7">C28+H28+L28+N28/2</f>
        <v>7</v>
      </c>
      <c r="V28" s="66"/>
      <c r="W28" s="51">
        <f t="shared" ref="W28:W40" si="8">E28+I28+M28+O28/2</f>
        <v>7</v>
      </c>
      <c r="X28" s="29"/>
    </row>
    <row r="29" spans="1:24" s="17" customFormat="1" ht="14.45" customHeight="1" x14ac:dyDescent="0.25">
      <c r="A29" s="5" t="s">
        <v>571</v>
      </c>
      <c r="B29" s="64" t="s">
        <v>716</v>
      </c>
      <c r="C29" s="65"/>
      <c r="D29" s="65"/>
      <c r="E29" s="66"/>
      <c r="F29" s="66"/>
      <c r="G29" s="66"/>
      <c r="H29" s="66"/>
      <c r="I29" s="66"/>
      <c r="J29" s="66"/>
      <c r="K29" s="66"/>
      <c r="L29" s="66">
        <v>1</v>
      </c>
      <c r="M29" s="51">
        <f t="shared" si="5"/>
        <v>1</v>
      </c>
      <c r="N29" s="66"/>
      <c r="O29" s="66"/>
      <c r="P29" s="51">
        <f>C29+H29+L29</f>
        <v>1</v>
      </c>
      <c r="Q29" s="51"/>
      <c r="R29" s="51">
        <f t="shared" si="6"/>
        <v>1</v>
      </c>
      <c r="S29" s="51"/>
      <c r="T29" s="51"/>
      <c r="U29" s="51">
        <f t="shared" si="7"/>
        <v>1</v>
      </c>
      <c r="V29" s="66"/>
      <c r="W29" s="51">
        <f t="shared" si="8"/>
        <v>1</v>
      </c>
      <c r="X29" s="29"/>
    </row>
    <row r="30" spans="1:24" s="17" customFormat="1" ht="28.5" customHeight="1" x14ac:dyDescent="0.25">
      <c r="A30" s="5" t="s">
        <v>572</v>
      </c>
      <c r="B30" s="64" t="s">
        <v>1084</v>
      </c>
      <c r="C30" s="65"/>
      <c r="D30" s="65"/>
      <c r="E30" s="66"/>
      <c r="F30" s="66"/>
      <c r="G30" s="66"/>
      <c r="H30" s="66"/>
      <c r="I30" s="66"/>
      <c r="J30" s="66"/>
      <c r="K30" s="66"/>
      <c r="L30" s="66">
        <v>31</v>
      </c>
      <c r="M30" s="51">
        <f t="shared" si="5"/>
        <v>31</v>
      </c>
      <c r="N30" s="66">
        <v>1</v>
      </c>
      <c r="O30" s="66">
        <v>1</v>
      </c>
      <c r="P30" s="51">
        <v>31</v>
      </c>
      <c r="Q30" s="51"/>
      <c r="R30" s="51">
        <f t="shared" si="6"/>
        <v>31</v>
      </c>
      <c r="S30" s="1038">
        <f>N30+J30+F30</f>
        <v>1</v>
      </c>
      <c r="T30" s="1038">
        <f>G30+K30+O30</f>
        <v>1</v>
      </c>
      <c r="U30" s="1038">
        <f t="shared" si="7"/>
        <v>31.5</v>
      </c>
      <c r="V30" s="1037"/>
      <c r="W30" s="1038">
        <f t="shared" si="8"/>
        <v>31.5</v>
      </c>
      <c r="X30" s="29"/>
    </row>
    <row r="31" spans="1:24" s="17" customFormat="1" ht="14.45" customHeight="1" x14ac:dyDescent="0.25">
      <c r="A31" s="5" t="s">
        <v>574</v>
      </c>
      <c r="B31" s="64" t="s">
        <v>717</v>
      </c>
      <c r="C31" s="65"/>
      <c r="D31" s="65"/>
      <c r="E31" s="66"/>
      <c r="F31" s="66"/>
      <c r="G31" s="66"/>
      <c r="H31" s="66"/>
      <c r="I31" s="66"/>
      <c r="J31" s="66"/>
      <c r="K31" s="66"/>
      <c r="L31" s="66">
        <v>2</v>
      </c>
      <c r="M31" s="51">
        <f t="shared" si="5"/>
        <v>2</v>
      </c>
      <c r="N31" s="66"/>
      <c r="O31" s="66"/>
      <c r="P31" s="51">
        <f>C31+H31+L31</f>
        <v>2</v>
      </c>
      <c r="Q31" s="51"/>
      <c r="R31" s="51">
        <f t="shared" si="6"/>
        <v>2</v>
      </c>
      <c r="S31" s="51"/>
      <c r="T31" s="51"/>
      <c r="U31" s="51">
        <f t="shared" si="7"/>
        <v>2</v>
      </c>
      <c r="V31" s="66"/>
      <c r="W31" s="51">
        <f t="shared" si="8"/>
        <v>2</v>
      </c>
      <c r="X31" s="29"/>
    </row>
    <row r="32" spans="1:24" s="17" customFormat="1" ht="14.45" customHeight="1" x14ac:dyDescent="0.25">
      <c r="A32" s="5" t="s">
        <v>575</v>
      </c>
      <c r="B32" s="64" t="s">
        <v>733</v>
      </c>
      <c r="C32" s="65"/>
      <c r="D32" s="65"/>
      <c r="E32" s="66"/>
      <c r="F32" s="66"/>
      <c r="G32" s="66"/>
      <c r="H32" s="66"/>
      <c r="I32" s="66"/>
      <c r="J32" s="66"/>
      <c r="K32" s="66"/>
      <c r="L32" s="66">
        <v>2</v>
      </c>
      <c r="M32" s="51">
        <f t="shared" si="5"/>
        <v>2</v>
      </c>
      <c r="N32" s="66"/>
      <c r="O32" s="66"/>
      <c r="P32" s="51">
        <f>C32+H32+L32</f>
        <v>2</v>
      </c>
      <c r="Q32" s="51"/>
      <c r="R32" s="51">
        <f t="shared" si="6"/>
        <v>2</v>
      </c>
      <c r="S32" s="51"/>
      <c r="T32" s="51"/>
      <c r="U32" s="51">
        <f t="shared" si="7"/>
        <v>2</v>
      </c>
      <c r="V32" s="51"/>
      <c r="W32" s="51">
        <f t="shared" si="8"/>
        <v>2</v>
      </c>
      <c r="X32" s="29"/>
    </row>
    <row r="33" spans="1:26" s="17" customFormat="1" ht="14.45" customHeight="1" x14ac:dyDescent="0.25">
      <c r="A33" s="5" t="s">
        <v>576</v>
      </c>
      <c r="B33" s="64" t="s">
        <v>718</v>
      </c>
      <c r="C33" s="65"/>
      <c r="D33" s="65"/>
      <c r="E33" s="66"/>
      <c r="F33" s="66"/>
      <c r="G33" s="66"/>
      <c r="H33" s="66"/>
      <c r="I33" s="66"/>
      <c r="J33" s="66"/>
      <c r="K33" s="66"/>
      <c r="L33" s="66">
        <v>2</v>
      </c>
      <c r="M33" s="51">
        <f t="shared" si="5"/>
        <v>2</v>
      </c>
      <c r="N33" s="66"/>
      <c r="O33" s="66"/>
      <c r="P33" s="51">
        <v>2</v>
      </c>
      <c r="Q33" s="51"/>
      <c r="R33" s="51">
        <f t="shared" si="6"/>
        <v>2</v>
      </c>
      <c r="S33" s="51"/>
      <c r="T33" s="51"/>
      <c r="U33" s="51">
        <f t="shared" si="7"/>
        <v>2</v>
      </c>
      <c r="V33" s="66"/>
      <c r="W33" s="51">
        <f t="shared" si="8"/>
        <v>2</v>
      </c>
      <c r="X33" s="29"/>
      <c r="Z33" s="601"/>
    </row>
    <row r="34" spans="1:26" s="17" customFormat="1" ht="14.45" customHeight="1" x14ac:dyDescent="0.25">
      <c r="A34" s="5" t="s">
        <v>577</v>
      </c>
      <c r="B34" s="64" t="s">
        <v>719</v>
      </c>
      <c r="C34" s="65"/>
      <c r="D34" s="65"/>
      <c r="E34" s="66"/>
      <c r="F34" s="66"/>
      <c r="G34" s="66"/>
      <c r="H34" s="66"/>
      <c r="I34" s="66"/>
      <c r="J34" s="66"/>
      <c r="K34" s="66"/>
      <c r="L34" s="66">
        <v>5</v>
      </c>
      <c r="M34" s="51">
        <f t="shared" si="5"/>
        <v>5</v>
      </c>
      <c r="N34" s="66"/>
      <c r="O34" s="66"/>
      <c r="P34" s="51">
        <f>L34+N34</f>
        <v>5</v>
      </c>
      <c r="Q34" s="51"/>
      <c r="R34" s="51">
        <f t="shared" si="6"/>
        <v>5</v>
      </c>
      <c r="S34" s="51"/>
      <c r="T34" s="51"/>
      <c r="U34" s="51">
        <f t="shared" si="7"/>
        <v>5</v>
      </c>
      <c r="V34" s="66"/>
      <c r="W34" s="51">
        <f t="shared" si="8"/>
        <v>5</v>
      </c>
      <c r="X34" s="29"/>
    </row>
    <row r="35" spans="1:26" s="17" customFormat="1" ht="14.45" customHeight="1" x14ac:dyDescent="0.25">
      <c r="A35" s="5" t="s">
        <v>578</v>
      </c>
      <c r="B35" s="64" t="s">
        <v>712</v>
      </c>
      <c r="C35" s="65"/>
      <c r="D35" s="65"/>
      <c r="E35" s="66"/>
      <c r="F35" s="66"/>
      <c r="G35" s="66"/>
      <c r="H35" s="66"/>
      <c r="I35" s="66"/>
      <c r="J35" s="66"/>
      <c r="K35" s="66"/>
      <c r="L35" s="66">
        <v>4</v>
      </c>
      <c r="M35" s="51">
        <f t="shared" si="5"/>
        <v>4</v>
      </c>
      <c r="N35" s="66"/>
      <c r="O35" s="66"/>
      <c r="P35" s="51">
        <v>4</v>
      </c>
      <c r="Q35" s="51"/>
      <c r="R35" s="51">
        <f t="shared" si="6"/>
        <v>4</v>
      </c>
      <c r="S35" s="51"/>
      <c r="T35" s="51"/>
      <c r="U35" s="51">
        <f t="shared" si="7"/>
        <v>4</v>
      </c>
      <c r="V35" s="66"/>
      <c r="W35" s="51">
        <f t="shared" si="8"/>
        <v>4</v>
      </c>
    </row>
    <row r="36" spans="1:26" s="17" customFormat="1" ht="14.45" customHeight="1" x14ac:dyDescent="0.25">
      <c r="A36" s="5" t="s">
        <v>579</v>
      </c>
      <c r="B36" s="64" t="s">
        <v>547</v>
      </c>
      <c r="C36" s="65"/>
      <c r="D36" s="65"/>
      <c r="E36" s="66"/>
      <c r="F36" s="66"/>
      <c r="G36" s="66"/>
      <c r="H36" s="66"/>
      <c r="I36" s="66"/>
      <c r="J36" s="66"/>
      <c r="K36" s="66"/>
      <c r="L36" s="66">
        <v>1</v>
      </c>
      <c r="M36" s="51">
        <f t="shared" si="5"/>
        <v>1</v>
      </c>
      <c r="N36" s="66"/>
      <c r="O36" s="66"/>
      <c r="P36" s="51">
        <v>1</v>
      </c>
      <c r="Q36" s="51"/>
      <c r="R36" s="51">
        <f t="shared" si="6"/>
        <v>1</v>
      </c>
      <c r="S36" s="51"/>
      <c r="T36" s="51"/>
      <c r="U36" s="51">
        <f t="shared" si="7"/>
        <v>1</v>
      </c>
      <c r="V36" s="66"/>
      <c r="W36" s="51">
        <f t="shared" si="8"/>
        <v>1</v>
      </c>
    </row>
    <row r="37" spans="1:26" s="17" customFormat="1" ht="14.45" customHeight="1" x14ac:dyDescent="0.25">
      <c r="A37" s="5" t="s">
        <v>580</v>
      </c>
      <c r="B37" s="64" t="s">
        <v>548</v>
      </c>
      <c r="C37" s="65"/>
      <c r="D37" s="65"/>
      <c r="E37" s="66"/>
      <c r="F37" s="66"/>
      <c r="G37" s="66"/>
      <c r="H37" s="66"/>
      <c r="I37" s="66"/>
      <c r="J37" s="66"/>
      <c r="K37" s="66"/>
      <c r="L37" s="66">
        <v>4</v>
      </c>
      <c r="M37" s="51">
        <f t="shared" si="5"/>
        <v>4</v>
      </c>
      <c r="N37" s="66"/>
      <c r="O37" s="66"/>
      <c r="P37" s="51">
        <v>4</v>
      </c>
      <c r="Q37" s="51"/>
      <c r="R37" s="51">
        <f t="shared" si="6"/>
        <v>4</v>
      </c>
      <c r="S37" s="51"/>
      <c r="T37" s="51"/>
      <c r="U37" s="51">
        <f t="shared" si="7"/>
        <v>4</v>
      </c>
      <c r="V37" s="66"/>
      <c r="W37" s="51">
        <f t="shared" si="8"/>
        <v>4</v>
      </c>
    </row>
    <row r="38" spans="1:26" s="17" customFormat="1" ht="14.25" customHeight="1" x14ac:dyDescent="0.25">
      <c r="A38" s="5" t="s">
        <v>581</v>
      </c>
      <c r="B38" s="64" t="s">
        <v>549</v>
      </c>
      <c r="C38" s="65"/>
      <c r="D38" s="65"/>
      <c r="E38" s="66"/>
      <c r="F38" s="66"/>
      <c r="G38" s="66"/>
      <c r="H38" s="66"/>
      <c r="I38" s="66"/>
      <c r="J38" s="66"/>
      <c r="K38" s="66"/>
      <c r="L38" s="66">
        <v>4</v>
      </c>
      <c r="M38" s="51">
        <f t="shared" si="5"/>
        <v>4</v>
      </c>
      <c r="N38" s="66"/>
      <c r="O38" s="66"/>
      <c r="P38" s="51">
        <v>4</v>
      </c>
      <c r="Q38" s="51"/>
      <c r="R38" s="51">
        <f t="shared" si="6"/>
        <v>4</v>
      </c>
      <c r="S38" s="51"/>
      <c r="T38" s="51"/>
      <c r="U38" s="51">
        <f t="shared" si="7"/>
        <v>4</v>
      </c>
      <c r="V38" s="66"/>
      <c r="W38" s="51">
        <f t="shared" si="8"/>
        <v>4</v>
      </c>
    </row>
    <row r="39" spans="1:26" s="17" customFormat="1" ht="14.25" customHeight="1" x14ac:dyDescent="0.25">
      <c r="A39" s="5" t="s">
        <v>601</v>
      </c>
      <c r="B39" s="64" t="s">
        <v>1015</v>
      </c>
      <c r="C39" s="65"/>
      <c r="D39" s="65"/>
      <c r="E39" s="66"/>
      <c r="F39" s="66"/>
      <c r="G39" s="66"/>
      <c r="H39" s="66"/>
      <c r="I39" s="66"/>
      <c r="J39" s="66"/>
      <c r="K39" s="66"/>
      <c r="L39" s="66">
        <v>1</v>
      </c>
      <c r="M39" s="51">
        <f>SUM(L39:L39)</f>
        <v>1</v>
      </c>
      <c r="N39" s="66"/>
      <c r="O39" s="66"/>
      <c r="P39" s="51">
        <f>L39</f>
        <v>1</v>
      </c>
      <c r="Q39" s="51"/>
      <c r="R39" s="51">
        <f t="shared" si="6"/>
        <v>1</v>
      </c>
      <c r="S39" s="51"/>
      <c r="T39" s="51"/>
      <c r="U39" s="51">
        <f t="shared" si="7"/>
        <v>1</v>
      </c>
      <c r="V39" s="66"/>
      <c r="W39" s="51">
        <f t="shared" si="8"/>
        <v>1</v>
      </c>
    </row>
    <row r="40" spans="1:26" s="17" customFormat="1" ht="14.25" customHeight="1" x14ac:dyDescent="0.25">
      <c r="A40" s="5" t="s">
        <v>602</v>
      </c>
      <c r="B40" s="49" t="s">
        <v>720</v>
      </c>
      <c r="C40" s="50"/>
      <c r="D40" s="50"/>
      <c r="E40" s="67"/>
      <c r="F40" s="67"/>
      <c r="G40" s="67"/>
      <c r="H40" s="67"/>
      <c r="I40" s="51"/>
      <c r="J40" s="51"/>
      <c r="K40" s="51"/>
      <c r="L40" s="51">
        <f>SUM(L28:L39)</f>
        <v>64</v>
      </c>
      <c r="M40" s="51">
        <f>SUM(M28:M39)</f>
        <v>64</v>
      </c>
      <c r="N40" s="51">
        <f>SUM(N28:N38)</f>
        <v>1</v>
      </c>
      <c r="O40" s="51">
        <f>SUM(O28:O38)</f>
        <v>1</v>
      </c>
      <c r="P40" s="51">
        <f>SUM(P28:P39)</f>
        <v>64</v>
      </c>
      <c r="Q40" s="51"/>
      <c r="R40" s="51">
        <f t="shared" si="6"/>
        <v>64</v>
      </c>
      <c r="S40" s="51">
        <f>N40+J40+F40</f>
        <v>1</v>
      </c>
      <c r="T40" s="51">
        <f>G40+K40+O40</f>
        <v>1</v>
      </c>
      <c r="U40" s="273">
        <f t="shared" si="7"/>
        <v>64.5</v>
      </c>
      <c r="V40" s="51">
        <v>0</v>
      </c>
      <c r="W40" s="51">
        <f t="shared" si="8"/>
        <v>64.5</v>
      </c>
    </row>
    <row r="41" spans="1:26" ht="12.75" hidden="1" customHeight="1" x14ac:dyDescent="0.25">
      <c r="A41" s="5" t="s">
        <v>603</v>
      </c>
      <c r="B41" s="68"/>
      <c r="C41" s="69"/>
      <c r="D41" s="69"/>
      <c r="E41" s="70"/>
      <c r="F41" s="70"/>
      <c r="G41" s="70"/>
      <c r="H41" s="70"/>
      <c r="I41" s="71"/>
      <c r="J41" s="71"/>
      <c r="K41" s="71"/>
      <c r="L41" s="71"/>
      <c r="M41" s="51">
        <f>L41</f>
        <v>0</v>
      </c>
      <c r="N41" s="71">
        <f>SUM(N28:N40)</f>
        <v>2</v>
      </c>
      <c r="O41" s="71"/>
      <c r="P41" s="71"/>
      <c r="Q41" s="71"/>
      <c r="R41" s="71"/>
      <c r="S41" s="57"/>
      <c r="T41" s="57"/>
      <c r="U41" s="57"/>
      <c r="V41" s="57"/>
      <c r="W41" s="602"/>
      <c r="X41" s="524"/>
    </row>
    <row r="42" spans="1:26" s="32" customFormat="1" ht="14.25" hidden="1" customHeight="1" x14ac:dyDescent="0.25">
      <c r="A42" s="5" t="s">
        <v>604</v>
      </c>
      <c r="B42" s="59"/>
      <c r="C42" s="73"/>
      <c r="D42" s="73"/>
      <c r="E42" s="57"/>
      <c r="F42" s="57"/>
      <c r="G42" s="57"/>
      <c r="H42" s="57"/>
      <c r="I42" s="74"/>
      <c r="J42" s="74"/>
      <c r="K42" s="74"/>
      <c r="L42" s="74"/>
      <c r="M42" s="57"/>
      <c r="N42" s="57"/>
      <c r="O42" s="57"/>
      <c r="P42" s="57"/>
      <c r="Q42" s="57"/>
      <c r="R42" s="74"/>
      <c r="S42" s="74"/>
      <c r="T42" s="57"/>
      <c r="U42" s="57"/>
      <c r="V42" s="57"/>
      <c r="W42" s="57"/>
    </row>
    <row r="43" spans="1:26" s="32" customFormat="1" ht="14.45" hidden="1" customHeight="1" x14ac:dyDescent="0.25">
      <c r="A43" s="5" t="s">
        <v>605</v>
      </c>
      <c r="B43" s="75"/>
      <c r="C43" s="76"/>
      <c r="D43" s="76"/>
      <c r="E43" s="51"/>
      <c r="F43" s="51"/>
      <c r="G43" s="51"/>
      <c r="H43" s="51"/>
      <c r="I43" s="66"/>
      <c r="J43" s="66"/>
      <c r="K43" s="66"/>
      <c r="L43" s="66"/>
      <c r="M43" s="51"/>
      <c r="N43" s="51"/>
      <c r="O43" s="51"/>
      <c r="P43" s="51"/>
      <c r="Q43" s="51"/>
      <c r="R43" s="66"/>
      <c r="S43" s="66"/>
      <c r="T43" s="51"/>
      <c r="U43" s="51"/>
      <c r="V43" s="51"/>
      <c r="W43" s="51"/>
    </row>
    <row r="44" spans="1:26" s="32" customFormat="1" ht="14.25" hidden="1" customHeight="1" x14ac:dyDescent="0.25">
      <c r="A44" s="5" t="s">
        <v>606</v>
      </c>
      <c r="B44" s="64"/>
      <c r="C44" s="65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51"/>
      <c r="U44" s="51"/>
      <c r="V44" s="51"/>
      <c r="W44" s="51"/>
    </row>
    <row r="45" spans="1:26" s="32" customFormat="1" ht="14.25" hidden="1" customHeight="1" x14ac:dyDescent="0.25">
      <c r="A45" s="5" t="s">
        <v>607</v>
      </c>
      <c r="B45" s="64"/>
      <c r="C45" s="65"/>
      <c r="D45" s="65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51"/>
      <c r="U45" s="51"/>
      <c r="V45" s="51"/>
      <c r="W45" s="51"/>
    </row>
    <row r="46" spans="1:26" s="32" customFormat="1" ht="14.25" hidden="1" customHeight="1" x14ac:dyDescent="0.25">
      <c r="A46" s="5" t="s">
        <v>608</v>
      </c>
      <c r="B46" s="64"/>
      <c r="C46" s="65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51"/>
      <c r="U46" s="51"/>
      <c r="V46" s="51"/>
      <c r="W46" s="51"/>
    </row>
    <row r="47" spans="1:26" s="32" customFormat="1" ht="14.25" hidden="1" customHeight="1" x14ac:dyDescent="0.25">
      <c r="A47" s="5" t="s">
        <v>609</v>
      </c>
      <c r="B47" s="64"/>
      <c r="C47" s="65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51"/>
      <c r="U47" s="51"/>
      <c r="V47" s="51"/>
      <c r="W47" s="51"/>
    </row>
    <row r="48" spans="1:26" s="32" customFormat="1" ht="14.25" hidden="1" customHeight="1" x14ac:dyDescent="0.25">
      <c r="A48" s="5" t="s">
        <v>664</v>
      </c>
      <c r="B48" s="64"/>
      <c r="C48" s="65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51"/>
      <c r="U48" s="51"/>
      <c r="V48" s="51"/>
      <c r="W48" s="51"/>
    </row>
    <row r="49" spans="1:23" s="32" customFormat="1" ht="14.25" hidden="1" customHeight="1" x14ac:dyDescent="0.25">
      <c r="A49" s="5" t="s">
        <v>665</v>
      </c>
      <c r="B49" s="64"/>
      <c r="C49" s="65"/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51"/>
      <c r="U49" s="51"/>
      <c r="V49" s="51"/>
      <c r="W49" s="51"/>
    </row>
    <row r="50" spans="1:23" s="32" customFormat="1" ht="14.25" hidden="1" customHeight="1" x14ac:dyDescent="0.25">
      <c r="A50" s="5" t="s">
        <v>666</v>
      </c>
      <c r="B50" s="64"/>
      <c r="C50" s="65"/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51"/>
      <c r="V50" s="66"/>
      <c r="W50" s="51"/>
    </row>
    <row r="51" spans="1:23" s="32" customFormat="1" ht="14.25" hidden="1" customHeight="1" x14ac:dyDescent="0.25">
      <c r="A51" s="5" t="s">
        <v>667</v>
      </c>
      <c r="B51" s="64"/>
      <c r="C51" s="65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51"/>
      <c r="V51" s="66"/>
      <c r="W51" s="51"/>
    </row>
    <row r="52" spans="1:23" s="32" customFormat="1" ht="14.25" hidden="1" customHeight="1" x14ac:dyDescent="0.25">
      <c r="A52" s="5" t="s">
        <v>125</v>
      </c>
      <c r="B52" s="64"/>
      <c r="C52" s="65"/>
      <c r="D52" s="65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51"/>
      <c r="V52" s="66"/>
      <c r="W52" s="51"/>
    </row>
    <row r="53" spans="1:23" s="32" customFormat="1" ht="14.25" hidden="1" customHeight="1" x14ac:dyDescent="0.25">
      <c r="A53" s="5" t="s">
        <v>693</v>
      </c>
      <c r="B53" s="77"/>
      <c r="C53" s="76"/>
      <c r="D53" s="7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51"/>
      <c r="U53" s="51"/>
      <c r="V53" s="51"/>
      <c r="W53" s="51"/>
    </row>
    <row r="54" spans="1:23" s="32" customFormat="1" ht="14.25" hidden="1" customHeight="1" x14ac:dyDescent="0.25">
      <c r="A54" s="5" t="s">
        <v>694</v>
      </c>
      <c r="B54" s="64"/>
      <c r="C54" s="65"/>
      <c r="D54" s="65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51"/>
      <c r="U54" s="51"/>
      <c r="V54" s="51"/>
      <c r="W54" s="51"/>
    </row>
    <row r="55" spans="1:23" s="32" customFormat="1" ht="14.25" hidden="1" customHeight="1" x14ac:dyDescent="0.25">
      <c r="A55" s="5" t="s">
        <v>128</v>
      </c>
      <c r="B55" s="64"/>
      <c r="C55" s="65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51"/>
      <c r="U55" s="51"/>
      <c r="V55" s="51"/>
      <c r="W55" s="51"/>
    </row>
    <row r="56" spans="1:23" s="32" customFormat="1" ht="14.25" hidden="1" customHeight="1" x14ac:dyDescent="0.25">
      <c r="A56" s="5" t="s">
        <v>129</v>
      </c>
      <c r="B56" s="64"/>
      <c r="C56" s="65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51"/>
      <c r="U56" s="51"/>
      <c r="V56" s="51"/>
      <c r="W56" s="51"/>
    </row>
    <row r="57" spans="1:23" s="32" customFormat="1" ht="14.25" hidden="1" customHeight="1" x14ac:dyDescent="0.25">
      <c r="A57" s="5" t="s">
        <v>130</v>
      </c>
      <c r="B57" s="77"/>
      <c r="C57" s="76"/>
      <c r="D57" s="7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51"/>
      <c r="U57" s="51"/>
      <c r="V57" s="51"/>
      <c r="W57" s="51"/>
    </row>
    <row r="58" spans="1:23" s="32" customFormat="1" ht="14.25" hidden="1" customHeight="1" x14ac:dyDescent="0.25">
      <c r="A58" s="5" t="s">
        <v>133</v>
      </c>
      <c r="B58" s="64"/>
      <c r="C58" s="65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51"/>
      <c r="U58" s="51"/>
      <c r="V58" s="51"/>
      <c r="W58" s="51"/>
    </row>
    <row r="59" spans="1:23" s="32" customFormat="1" ht="14.25" hidden="1" customHeight="1" x14ac:dyDescent="0.25">
      <c r="A59" s="5" t="s">
        <v>136</v>
      </c>
      <c r="B59" s="64"/>
      <c r="C59" s="65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51"/>
      <c r="U59" s="51"/>
      <c r="V59" s="51"/>
      <c r="W59" s="51"/>
    </row>
    <row r="60" spans="1:23" s="32" customFormat="1" ht="14.45" hidden="1" customHeight="1" x14ac:dyDescent="0.25">
      <c r="A60" s="5" t="s">
        <v>137</v>
      </c>
      <c r="B60" s="77"/>
      <c r="C60" s="76"/>
      <c r="D60" s="7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51"/>
      <c r="U60" s="51"/>
      <c r="V60" s="51"/>
      <c r="W60" s="51"/>
    </row>
    <row r="61" spans="1:23" s="32" customFormat="1" ht="14.45" hidden="1" customHeight="1" x14ac:dyDescent="0.25">
      <c r="A61" s="5" t="s">
        <v>138</v>
      </c>
      <c r="B61" s="64"/>
      <c r="C61" s="65"/>
      <c r="D61" s="65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51"/>
      <c r="U61" s="51"/>
      <c r="V61" s="51"/>
      <c r="W61" s="51"/>
    </row>
    <row r="62" spans="1:23" s="32" customFormat="1" ht="14.45" hidden="1" customHeight="1" x14ac:dyDescent="0.25">
      <c r="A62" s="5" t="s">
        <v>139</v>
      </c>
      <c r="B62" s="64"/>
      <c r="C62" s="65"/>
      <c r="D62" s="65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51"/>
      <c r="U62" s="51"/>
      <c r="V62" s="51"/>
      <c r="W62" s="51"/>
    </row>
    <row r="63" spans="1:23" s="32" customFormat="1" ht="14.45" hidden="1" customHeight="1" x14ac:dyDescent="0.25">
      <c r="A63" s="5" t="s">
        <v>142</v>
      </c>
      <c r="B63" s="64"/>
      <c r="C63" s="65"/>
      <c r="D63" s="65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51"/>
      <c r="U63" s="51"/>
      <c r="V63" s="51"/>
      <c r="W63" s="51"/>
    </row>
    <row r="64" spans="1:23" s="32" customFormat="1" ht="14.45" hidden="1" customHeight="1" x14ac:dyDescent="0.25">
      <c r="A64" s="5" t="s">
        <v>145</v>
      </c>
      <c r="B64" s="49"/>
      <c r="C64" s="50"/>
      <c r="D64" s="50"/>
      <c r="E64" s="67"/>
      <c r="F64" s="67"/>
      <c r="G64" s="67"/>
      <c r="H64" s="67"/>
      <c r="I64" s="66"/>
      <c r="J64" s="66"/>
      <c r="K64" s="66"/>
      <c r="L64" s="51"/>
      <c r="M64" s="51"/>
      <c r="N64" s="51"/>
      <c r="O64" s="51"/>
      <c r="P64" s="51"/>
      <c r="Q64" s="51"/>
      <c r="R64" s="51"/>
      <c r="S64" s="51"/>
      <c r="T64" s="51"/>
      <c r="U64" s="52"/>
      <c r="V64" s="51"/>
      <c r="W64" s="51"/>
    </row>
    <row r="65" spans="1:23" s="32" customFormat="1" ht="14.45" customHeight="1" x14ac:dyDescent="0.25">
      <c r="A65" s="5"/>
      <c r="B65" s="651"/>
      <c r="C65" s="652"/>
      <c r="D65" s="652"/>
      <c r="E65" s="133"/>
      <c r="F65" s="133"/>
      <c r="G65" s="133"/>
      <c r="H65" s="133"/>
      <c r="I65" s="653"/>
      <c r="J65" s="653"/>
      <c r="K65" s="653"/>
      <c r="L65" s="134"/>
      <c r="M65" s="134"/>
      <c r="N65" s="134"/>
      <c r="O65" s="134"/>
      <c r="P65" s="134"/>
      <c r="Q65" s="134"/>
      <c r="R65" s="134"/>
      <c r="S65" s="134"/>
      <c r="T65" s="134"/>
      <c r="U65" s="654"/>
      <c r="V65" s="134"/>
      <c r="W65" s="134"/>
    </row>
    <row r="66" spans="1:23" s="32" customFormat="1" ht="14.45" customHeight="1" x14ac:dyDescent="0.25">
      <c r="A66" s="5"/>
      <c r="B66" s="79"/>
      <c r="C66" s="73"/>
      <c r="D66" s="73"/>
      <c r="E66" s="56"/>
      <c r="F66" s="56"/>
      <c r="G66" s="56"/>
      <c r="H66" s="56"/>
      <c r="I66" s="74"/>
      <c r="J66" s="74"/>
      <c r="K66" s="74"/>
      <c r="L66" s="57"/>
      <c r="M66" s="57"/>
      <c r="N66" s="57"/>
      <c r="O66" s="57"/>
      <c r="P66" s="57"/>
      <c r="Q66" s="57"/>
      <c r="R66" s="57"/>
      <c r="S66" s="57"/>
      <c r="T66" s="57"/>
      <c r="U66" s="276"/>
      <c r="V66" s="57"/>
      <c r="W66" s="57"/>
    </row>
    <row r="67" spans="1:23" s="32" customFormat="1" ht="14.45" customHeight="1" x14ac:dyDescent="0.25">
      <c r="A67" s="5"/>
      <c r="B67" s="79"/>
      <c r="C67" s="73"/>
      <c r="D67" s="73"/>
      <c r="E67" s="56"/>
      <c r="F67" s="56"/>
      <c r="G67" s="56"/>
      <c r="H67" s="56"/>
      <c r="I67" s="74"/>
      <c r="J67" s="74"/>
      <c r="K67" s="74"/>
      <c r="L67" s="57"/>
      <c r="M67" s="57"/>
      <c r="N67" s="57"/>
      <c r="O67" s="57"/>
      <c r="P67" s="57"/>
      <c r="Q67" s="57"/>
      <c r="R67" s="57"/>
      <c r="S67" s="57"/>
      <c r="T67" s="57"/>
      <c r="U67" s="276"/>
      <c r="V67" s="57"/>
      <c r="W67" s="57"/>
    </row>
    <row r="68" spans="1:23" s="32" customFormat="1" ht="14.45" customHeight="1" x14ac:dyDescent="0.25">
      <c r="A68" s="5" t="s">
        <v>603</v>
      </c>
      <c r="B68" s="34" t="s">
        <v>736</v>
      </c>
      <c r="C68" s="73"/>
      <c r="D68" s="73"/>
      <c r="E68" s="56"/>
      <c r="F68" s="56"/>
      <c r="G68" s="56"/>
      <c r="H68" s="56"/>
      <c r="I68" s="74"/>
      <c r="J68" s="74"/>
      <c r="K68" s="74"/>
      <c r="L68" s="57"/>
      <c r="M68" s="57"/>
      <c r="N68" s="57"/>
      <c r="O68" s="57"/>
      <c r="P68" s="57"/>
      <c r="Q68" s="57"/>
      <c r="R68" s="57"/>
      <c r="S68" s="57"/>
      <c r="T68" s="57"/>
      <c r="U68" s="276"/>
      <c r="V68" s="57"/>
      <c r="W68" s="57"/>
    </row>
    <row r="69" spans="1:23" s="32" customFormat="1" ht="14.45" customHeight="1" x14ac:dyDescent="0.25">
      <c r="A69" s="5" t="s">
        <v>604</v>
      </c>
      <c r="B69" s="656" t="s">
        <v>737</v>
      </c>
      <c r="C69" s="278"/>
      <c r="D69" s="278"/>
      <c r="E69" s="279"/>
      <c r="F69" s="279"/>
      <c r="G69" s="279"/>
      <c r="H69" s="279"/>
      <c r="I69" s="280"/>
      <c r="J69" s="280"/>
      <c r="K69" s="280"/>
      <c r="L69" s="281"/>
      <c r="M69" s="281"/>
      <c r="N69" s="281"/>
      <c r="O69" s="281"/>
      <c r="P69" s="281"/>
      <c r="Q69" s="281"/>
      <c r="R69" s="281"/>
      <c r="S69" s="281"/>
      <c r="T69" s="281"/>
      <c r="U69" s="655"/>
      <c r="V69" s="655"/>
      <c r="W69" s="655"/>
    </row>
    <row r="70" spans="1:23" s="32" customFormat="1" ht="14.45" customHeight="1" x14ac:dyDescent="0.25">
      <c r="A70" s="5" t="s">
        <v>605</v>
      </c>
      <c r="B70" s="650" t="s">
        <v>738</v>
      </c>
      <c r="C70" s="278"/>
      <c r="D70" s="278"/>
      <c r="E70" s="279"/>
      <c r="F70" s="279"/>
      <c r="G70" s="279"/>
      <c r="H70" s="279"/>
      <c r="I70" s="280"/>
      <c r="J70" s="280"/>
      <c r="K70" s="280"/>
      <c r="L70" s="281">
        <v>1</v>
      </c>
      <c r="M70" s="281">
        <f t="shared" ref="M70:M78" si="9">L70</f>
        <v>1</v>
      </c>
      <c r="N70" s="281"/>
      <c r="O70" s="281"/>
      <c r="P70" s="281">
        <v>1</v>
      </c>
      <c r="Q70" s="281"/>
      <c r="R70" s="281">
        <f t="shared" ref="R70:R78" si="10">E70+I70+M70</f>
        <v>1</v>
      </c>
      <c r="S70" s="281"/>
      <c r="T70" s="281"/>
      <c r="U70" s="655">
        <f t="shared" ref="U70:U78" si="11">P70+S70/2</f>
        <v>1</v>
      </c>
      <c r="V70" s="655"/>
      <c r="W70" s="655">
        <f t="shared" ref="W70:W78" si="12">R70+T70/2</f>
        <v>1</v>
      </c>
    </row>
    <row r="71" spans="1:23" s="32" customFormat="1" ht="14.45" customHeight="1" x14ac:dyDescent="0.25">
      <c r="A71" s="5" t="s">
        <v>606</v>
      </c>
      <c r="B71" s="650" t="s">
        <v>739</v>
      </c>
      <c r="C71" s="278"/>
      <c r="D71" s="278"/>
      <c r="E71" s="279"/>
      <c r="F71" s="279"/>
      <c r="G71" s="279"/>
      <c r="H71" s="279"/>
      <c r="I71" s="280"/>
      <c r="J71" s="280"/>
      <c r="K71" s="280"/>
      <c r="L71" s="281">
        <v>1</v>
      </c>
      <c r="M71" s="281">
        <f t="shared" si="9"/>
        <v>1</v>
      </c>
      <c r="N71" s="281"/>
      <c r="O71" s="281"/>
      <c r="P71" s="281">
        <v>1</v>
      </c>
      <c r="Q71" s="281"/>
      <c r="R71" s="281">
        <f t="shared" si="10"/>
        <v>1</v>
      </c>
      <c r="S71" s="281"/>
      <c r="T71" s="281"/>
      <c r="U71" s="655">
        <f t="shared" si="11"/>
        <v>1</v>
      </c>
      <c r="V71" s="655"/>
      <c r="W71" s="655">
        <f t="shared" si="12"/>
        <v>1</v>
      </c>
    </row>
    <row r="72" spans="1:23" s="32" customFormat="1" ht="14.45" customHeight="1" x14ac:dyDescent="0.25">
      <c r="A72" s="5" t="s">
        <v>607</v>
      </c>
      <c r="B72" s="650" t="s">
        <v>740</v>
      </c>
      <c r="C72" s="278"/>
      <c r="D72" s="278"/>
      <c r="E72" s="279"/>
      <c r="F72" s="279"/>
      <c r="G72" s="279"/>
      <c r="H72" s="279"/>
      <c r="I72" s="280"/>
      <c r="J72" s="280"/>
      <c r="K72" s="280"/>
      <c r="L72" s="281">
        <v>2</v>
      </c>
      <c r="M72" s="281">
        <f t="shared" si="9"/>
        <v>2</v>
      </c>
      <c r="N72" s="281"/>
      <c r="O72" s="281"/>
      <c r="P72" s="281">
        <v>2</v>
      </c>
      <c r="Q72" s="281"/>
      <c r="R72" s="281">
        <f t="shared" si="10"/>
        <v>2</v>
      </c>
      <c r="S72" s="281"/>
      <c r="T72" s="281"/>
      <c r="U72" s="655">
        <f t="shared" si="11"/>
        <v>2</v>
      </c>
      <c r="V72" s="655"/>
      <c r="W72" s="655">
        <f t="shared" si="12"/>
        <v>2</v>
      </c>
    </row>
    <row r="73" spans="1:23" s="32" customFormat="1" ht="14.45" customHeight="1" x14ac:dyDescent="0.25">
      <c r="A73" s="5" t="s">
        <v>608</v>
      </c>
      <c r="B73" s="650" t="s">
        <v>741</v>
      </c>
      <c r="C73" s="278"/>
      <c r="D73" s="278"/>
      <c r="E73" s="279"/>
      <c r="F73" s="279"/>
      <c r="G73" s="279"/>
      <c r="H73" s="279"/>
      <c r="I73" s="280"/>
      <c r="J73" s="280"/>
      <c r="K73" s="280"/>
      <c r="L73" s="281">
        <v>1</v>
      </c>
      <c r="M73" s="281">
        <f t="shared" si="9"/>
        <v>1</v>
      </c>
      <c r="N73" s="281"/>
      <c r="O73" s="281"/>
      <c r="P73" s="281">
        <v>1</v>
      </c>
      <c r="Q73" s="281"/>
      <c r="R73" s="281">
        <f t="shared" si="10"/>
        <v>1</v>
      </c>
      <c r="S73" s="281"/>
      <c r="T73" s="281"/>
      <c r="U73" s="655">
        <f t="shared" si="11"/>
        <v>1</v>
      </c>
      <c r="V73" s="655"/>
      <c r="W73" s="655">
        <f t="shared" si="12"/>
        <v>1</v>
      </c>
    </row>
    <row r="74" spans="1:23" s="32" customFormat="1" ht="14.45" customHeight="1" x14ac:dyDescent="0.25">
      <c r="A74" s="5" t="s">
        <v>609</v>
      </c>
      <c r="B74" s="650" t="s">
        <v>742</v>
      </c>
      <c r="C74" s="278"/>
      <c r="D74" s="278"/>
      <c r="E74" s="279"/>
      <c r="F74" s="279"/>
      <c r="G74" s="279"/>
      <c r="H74" s="279"/>
      <c r="I74" s="280"/>
      <c r="J74" s="280"/>
      <c r="K74" s="280"/>
      <c r="L74" s="281">
        <v>1</v>
      </c>
      <c r="M74" s="281">
        <f t="shared" si="9"/>
        <v>1</v>
      </c>
      <c r="N74" s="281"/>
      <c r="O74" s="281"/>
      <c r="P74" s="281">
        <v>1</v>
      </c>
      <c r="Q74" s="281"/>
      <c r="R74" s="281">
        <f t="shared" si="10"/>
        <v>1</v>
      </c>
      <c r="S74" s="281"/>
      <c r="T74" s="281"/>
      <c r="U74" s="655">
        <f t="shared" si="11"/>
        <v>1</v>
      </c>
      <c r="V74" s="655"/>
      <c r="W74" s="655">
        <f t="shared" si="12"/>
        <v>1</v>
      </c>
    </row>
    <row r="75" spans="1:23" s="32" customFormat="1" ht="14.45" customHeight="1" x14ac:dyDescent="0.25">
      <c r="A75" s="5" t="s">
        <v>664</v>
      </c>
      <c r="B75" s="650" t="s">
        <v>1153</v>
      </c>
      <c r="C75" s="278"/>
      <c r="D75" s="278"/>
      <c r="E75" s="279"/>
      <c r="F75" s="279"/>
      <c r="G75" s="279"/>
      <c r="H75" s="279"/>
      <c r="I75" s="280"/>
      <c r="J75" s="280"/>
      <c r="K75" s="280"/>
      <c r="L75" s="281">
        <v>1</v>
      </c>
      <c r="M75" s="281">
        <f t="shared" si="9"/>
        <v>1</v>
      </c>
      <c r="N75" s="281"/>
      <c r="O75" s="281"/>
      <c r="P75" s="281">
        <v>1</v>
      </c>
      <c r="Q75" s="281"/>
      <c r="R75" s="281">
        <f t="shared" si="10"/>
        <v>1</v>
      </c>
      <c r="S75" s="281"/>
      <c r="T75" s="281"/>
      <c r="U75" s="655">
        <f t="shared" si="11"/>
        <v>1</v>
      </c>
      <c r="V75" s="655"/>
      <c r="W75" s="655">
        <f t="shared" si="12"/>
        <v>1</v>
      </c>
    </row>
    <row r="76" spans="1:23" s="32" customFormat="1" ht="14.45" customHeight="1" x14ac:dyDescent="0.25">
      <c r="A76" s="5" t="s">
        <v>665</v>
      </c>
      <c r="B76" s="650" t="s">
        <v>1154</v>
      </c>
      <c r="C76" s="278"/>
      <c r="D76" s="278"/>
      <c r="E76" s="279"/>
      <c r="F76" s="279"/>
      <c r="G76" s="279"/>
      <c r="H76" s="279"/>
      <c r="I76" s="280"/>
      <c r="J76" s="280"/>
      <c r="K76" s="280"/>
      <c r="L76" s="281">
        <v>1</v>
      </c>
      <c r="M76" s="281">
        <f t="shared" si="9"/>
        <v>1</v>
      </c>
      <c r="N76" s="281"/>
      <c r="O76" s="281"/>
      <c r="P76" s="281">
        <v>1</v>
      </c>
      <c r="Q76" s="281"/>
      <c r="R76" s="281">
        <f t="shared" si="10"/>
        <v>1</v>
      </c>
      <c r="S76" s="281"/>
      <c r="T76" s="281"/>
      <c r="U76" s="655">
        <f t="shared" si="11"/>
        <v>1</v>
      </c>
      <c r="V76" s="655"/>
      <c r="W76" s="655">
        <f t="shared" si="12"/>
        <v>1</v>
      </c>
    </row>
    <row r="77" spans="1:23" s="32" customFormat="1" ht="14.45" customHeight="1" x14ac:dyDescent="0.25">
      <c r="A77" s="5" t="s">
        <v>666</v>
      </c>
      <c r="B77" s="650" t="s">
        <v>743</v>
      </c>
      <c r="C77" s="278"/>
      <c r="D77" s="278"/>
      <c r="E77" s="279"/>
      <c r="F77" s="279"/>
      <c r="G77" s="279"/>
      <c r="H77" s="279"/>
      <c r="I77" s="280"/>
      <c r="J77" s="280"/>
      <c r="K77" s="280"/>
      <c r="L77" s="281">
        <v>1</v>
      </c>
      <c r="M77" s="281">
        <f t="shared" si="9"/>
        <v>1</v>
      </c>
      <c r="N77" s="281"/>
      <c r="O77" s="281"/>
      <c r="P77" s="281">
        <v>1</v>
      </c>
      <c r="Q77" s="281"/>
      <c r="R77" s="281">
        <f t="shared" si="10"/>
        <v>1</v>
      </c>
      <c r="S77" s="281"/>
      <c r="T77" s="281"/>
      <c r="U77" s="655">
        <f t="shared" si="11"/>
        <v>1</v>
      </c>
      <c r="V77" s="655"/>
      <c r="W77" s="655">
        <f t="shared" si="12"/>
        <v>1</v>
      </c>
    </row>
    <row r="78" spans="1:23" s="32" customFormat="1" ht="14.45" customHeight="1" x14ac:dyDescent="0.25">
      <c r="A78" s="5" t="s">
        <v>667</v>
      </c>
      <c r="B78" s="650" t="s">
        <v>744</v>
      </c>
      <c r="C78" s="278"/>
      <c r="D78" s="278"/>
      <c r="E78" s="279"/>
      <c r="F78" s="279"/>
      <c r="G78" s="279"/>
      <c r="H78" s="279"/>
      <c r="I78" s="280"/>
      <c r="J78" s="280"/>
      <c r="K78" s="280"/>
      <c r="L78" s="281">
        <v>1</v>
      </c>
      <c r="M78" s="281">
        <f t="shared" si="9"/>
        <v>1</v>
      </c>
      <c r="N78" s="281"/>
      <c r="O78" s="281"/>
      <c r="P78" s="281">
        <v>1</v>
      </c>
      <c r="Q78" s="281"/>
      <c r="R78" s="281">
        <f t="shared" si="10"/>
        <v>1</v>
      </c>
      <c r="S78" s="281"/>
      <c r="T78" s="281"/>
      <c r="U78" s="655">
        <f t="shared" si="11"/>
        <v>1</v>
      </c>
      <c r="V78" s="655"/>
      <c r="W78" s="655">
        <f t="shared" si="12"/>
        <v>1</v>
      </c>
    </row>
    <row r="79" spans="1:23" s="32" customFormat="1" ht="14.45" customHeight="1" x14ac:dyDescent="0.25">
      <c r="A79" s="5" t="s">
        <v>125</v>
      </c>
      <c r="B79" s="656" t="s">
        <v>745</v>
      </c>
      <c r="C79" s="278"/>
      <c r="D79" s="278"/>
      <c r="E79" s="279"/>
      <c r="F79" s="279"/>
      <c r="G79" s="279"/>
      <c r="H79" s="279"/>
      <c r="I79" s="280"/>
      <c r="J79" s="280"/>
      <c r="K79" s="280"/>
      <c r="L79" s="281"/>
      <c r="M79" s="281"/>
      <c r="N79" s="281"/>
      <c r="O79" s="281"/>
      <c r="P79" s="281"/>
      <c r="Q79" s="281"/>
      <c r="R79" s="281"/>
      <c r="S79" s="281"/>
      <c r="T79" s="281"/>
      <c r="U79" s="655"/>
      <c r="V79" s="655"/>
      <c r="W79" s="655"/>
    </row>
    <row r="80" spans="1:23" s="32" customFormat="1" ht="14.45" customHeight="1" x14ac:dyDescent="0.25">
      <c r="A80" s="5" t="s">
        <v>693</v>
      </c>
      <c r="B80" s="650" t="s">
        <v>746</v>
      </c>
      <c r="C80" s="278"/>
      <c r="D80" s="278"/>
      <c r="E80" s="279"/>
      <c r="F80" s="279"/>
      <c r="G80" s="279"/>
      <c r="H80" s="279"/>
      <c r="I80" s="280"/>
      <c r="J80" s="280"/>
      <c r="K80" s="280"/>
      <c r="L80" s="281">
        <v>1</v>
      </c>
      <c r="M80" s="281">
        <f t="shared" ref="M80:M87" si="13">L80</f>
        <v>1</v>
      </c>
      <c r="N80" s="281"/>
      <c r="O80" s="281"/>
      <c r="P80" s="281">
        <v>1</v>
      </c>
      <c r="Q80" s="281"/>
      <c r="R80" s="281">
        <f t="shared" ref="R80:R87" si="14">E80+I80+M80</f>
        <v>1</v>
      </c>
      <c r="S80" s="281"/>
      <c r="T80" s="281"/>
      <c r="U80" s="655">
        <f t="shared" ref="U80:U87" si="15">P80+S80/2</f>
        <v>1</v>
      </c>
      <c r="V80" s="655"/>
      <c r="W80" s="655">
        <f t="shared" ref="W80:W87" si="16">R80+T80/2</f>
        <v>1</v>
      </c>
    </row>
    <row r="81" spans="1:23" s="32" customFormat="1" ht="14.45" customHeight="1" x14ac:dyDescent="0.25">
      <c r="A81" s="5" t="s">
        <v>694</v>
      </c>
      <c r="B81" s="650" t="s">
        <v>747</v>
      </c>
      <c r="C81" s="278"/>
      <c r="D81" s="278"/>
      <c r="E81" s="279"/>
      <c r="F81" s="279"/>
      <c r="G81" s="279"/>
      <c r="H81" s="279"/>
      <c r="I81" s="280"/>
      <c r="J81" s="280"/>
      <c r="K81" s="280"/>
      <c r="L81" s="281">
        <v>1</v>
      </c>
      <c r="M81" s="281">
        <f t="shared" si="13"/>
        <v>1</v>
      </c>
      <c r="N81" s="281"/>
      <c r="O81" s="281"/>
      <c r="P81" s="281">
        <v>1</v>
      </c>
      <c r="Q81" s="281"/>
      <c r="R81" s="281">
        <f t="shared" si="14"/>
        <v>1</v>
      </c>
      <c r="S81" s="281"/>
      <c r="T81" s="281"/>
      <c r="U81" s="655">
        <f t="shared" si="15"/>
        <v>1</v>
      </c>
      <c r="V81" s="655"/>
      <c r="W81" s="655">
        <f t="shared" si="16"/>
        <v>1</v>
      </c>
    </row>
    <row r="82" spans="1:23" s="32" customFormat="1" ht="14.45" customHeight="1" x14ac:dyDescent="0.25">
      <c r="A82" s="5" t="s">
        <v>128</v>
      </c>
      <c r="B82" s="650" t="s">
        <v>748</v>
      </c>
      <c r="C82" s="278"/>
      <c r="D82" s="278"/>
      <c r="E82" s="279"/>
      <c r="F82" s="279"/>
      <c r="G82" s="279"/>
      <c r="H82" s="279"/>
      <c r="I82" s="280"/>
      <c r="J82" s="280"/>
      <c r="K82" s="280"/>
      <c r="L82" s="281">
        <v>1</v>
      </c>
      <c r="M82" s="281">
        <f t="shared" si="13"/>
        <v>1</v>
      </c>
      <c r="N82" s="281"/>
      <c r="O82" s="281"/>
      <c r="P82" s="281">
        <v>1</v>
      </c>
      <c r="Q82" s="281"/>
      <c r="R82" s="281">
        <f t="shared" si="14"/>
        <v>1</v>
      </c>
      <c r="S82" s="281"/>
      <c r="T82" s="281"/>
      <c r="U82" s="655">
        <f t="shared" si="15"/>
        <v>1</v>
      </c>
      <c r="V82" s="655"/>
      <c r="W82" s="655">
        <f t="shared" si="16"/>
        <v>1</v>
      </c>
    </row>
    <row r="83" spans="1:23" s="32" customFormat="1" ht="14.45" customHeight="1" x14ac:dyDescent="0.25">
      <c r="A83" s="5" t="s">
        <v>129</v>
      </c>
      <c r="B83" s="656" t="s">
        <v>749</v>
      </c>
      <c r="C83" s="278"/>
      <c r="D83" s="278"/>
      <c r="E83" s="279"/>
      <c r="F83" s="279"/>
      <c r="G83" s="279"/>
      <c r="H83" s="279"/>
      <c r="I83" s="280"/>
      <c r="J83" s="280"/>
      <c r="K83" s="280"/>
      <c r="L83" s="281"/>
      <c r="M83" s="281">
        <f t="shared" si="13"/>
        <v>0</v>
      </c>
      <c r="N83" s="281"/>
      <c r="O83" s="281"/>
      <c r="P83" s="281"/>
      <c r="Q83" s="281"/>
      <c r="R83" s="281">
        <f t="shared" si="14"/>
        <v>0</v>
      </c>
      <c r="S83" s="281"/>
      <c r="T83" s="281"/>
      <c r="U83" s="655">
        <f t="shared" si="15"/>
        <v>0</v>
      </c>
      <c r="V83" s="655"/>
      <c r="W83" s="655">
        <f t="shared" si="16"/>
        <v>0</v>
      </c>
    </row>
    <row r="84" spans="1:23" s="32" customFormat="1" ht="14.45" customHeight="1" x14ac:dyDescent="0.25">
      <c r="A84" s="5" t="s">
        <v>130</v>
      </c>
      <c r="B84" s="650" t="s">
        <v>750</v>
      </c>
      <c r="C84" s="278"/>
      <c r="D84" s="278"/>
      <c r="E84" s="279"/>
      <c r="F84" s="279"/>
      <c r="G84" s="279"/>
      <c r="H84" s="279"/>
      <c r="I84" s="280"/>
      <c r="J84" s="280"/>
      <c r="K84" s="280"/>
      <c r="L84" s="281">
        <v>1</v>
      </c>
      <c r="M84" s="281">
        <f t="shared" si="13"/>
        <v>1</v>
      </c>
      <c r="N84" s="281"/>
      <c r="O84" s="281"/>
      <c r="P84" s="281">
        <v>1</v>
      </c>
      <c r="Q84" s="281"/>
      <c r="R84" s="281">
        <f t="shared" si="14"/>
        <v>1</v>
      </c>
      <c r="S84" s="281"/>
      <c r="T84" s="281"/>
      <c r="U84" s="655">
        <f t="shared" si="15"/>
        <v>1</v>
      </c>
      <c r="V84" s="655"/>
      <c r="W84" s="655">
        <f t="shared" si="16"/>
        <v>1</v>
      </c>
    </row>
    <row r="85" spans="1:23" s="32" customFormat="1" ht="14.45" customHeight="1" x14ac:dyDescent="0.25">
      <c r="A85" s="5" t="s">
        <v>133</v>
      </c>
      <c r="B85" s="650" t="s">
        <v>751</v>
      </c>
      <c r="C85" s="278"/>
      <c r="D85" s="278"/>
      <c r="E85" s="279"/>
      <c r="F85" s="279"/>
      <c r="G85" s="279"/>
      <c r="H85" s="279"/>
      <c r="I85" s="280"/>
      <c r="J85" s="280"/>
      <c r="K85" s="280"/>
      <c r="L85" s="281">
        <v>1</v>
      </c>
      <c r="M85" s="281">
        <f t="shared" si="13"/>
        <v>1</v>
      </c>
      <c r="N85" s="281"/>
      <c r="O85" s="281"/>
      <c r="P85" s="281">
        <v>1</v>
      </c>
      <c r="Q85" s="281"/>
      <c r="R85" s="281">
        <f t="shared" si="14"/>
        <v>1</v>
      </c>
      <c r="S85" s="281"/>
      <c r="T85" s="281"/>
      <c r="U85" s="655">
        <f t="shared" si="15"/>
        <v>1</v>
      </c>
      <c r="V85" s="655"/>
      <c r="W85" s="655">
        <f t="shared" si="16"/>
        <v>1</v>
      </c>
    </row>
    <row r="86" spans="1:23" s="32" customFormat="1" ht="14.45" customHeight="1" x14ac:dyDescent="0.25">
      <c r="A86" s="5" t="s">
        <v>136</v>
      </c>
      <c r="B86" s="650" t="s">
        <v>752</v>
      </c>
      <c r="C86" s="278"/>
      <c r="D86" s="278"/>
      <c r="E86" s="279"/>
      <c r="F86" s="279"/>
      <c r="G86" s="279"/>
      <c r="H86" s="279"/>
      <c r="I86" s="280"/>
      <c r="J86" s="280"/>
      <c r="K86" s="280"/>
      <c r="L86" s="281">
        <v>3</v>
      </c>
      <c r="M86" s="281">
        <f t="shared" si="13"/>
        <v>3</v>
      </c>
      <c r="N86" s="281"/>
      <c r="O86" s="281"/>
      <c r="P86" s="281">
        <v>3</v>
      </c>
      <c r="Q86" s="281"/>
      <c r="R86" s="281">
        <f t="shared" si="14"/>
        <v>3</v>
      </c>
      <c r="S86" s="281"/>
      <c r="T86" s="281"/>
      <c r="U86" s="655">
        <f t="shared" si="15"/>
        <v>3</v>
      </c>
      <c r="V86" s="655"/>
      <c r="W86" s="655">
        <f t="shared" si="16"/>
        <v>3</v>
      </c>
    </row>
    <row r="87" spans="1:23" s="32" customFormat="1" ht="14.45" customHeight="1" x14ac:dyDescent="0.25">
      <c r="A87" s="5" t="s">
        <v>137</v>
      </c>
      <c r="B87" s="650" t="s">
        <v>957</v>
      </c>
      <c r="C87" s="278"/>
      <c r="D87" s="278"/>
      <c r="E87" s="279"/>
      <c r="F87" s="279"/>
      <c r="G87" s="279"/>
      <c r="H87" s="279"/>
      <c r="I87" s="280"/>
      <c r="J87" s="280"/>
      <c r="K87" s="280"/>
      <c r="L87" s="281">
        <v>1</v>
      </c>
      <c r="M87" s="281">
        <f t="shared" si="13"/>
        <v>1</v>
      </c>
      <c r="N87" s="281"/>
      <c r="O87" s="281"/>
      <c r="P87" s="281">
        <v>1</v>
      </c>
      <c r="Q87" s="281"/>
      <c r="R87" s="281">
        <f t="shared" si="14"/>
        <v>1</v>
      </c>
      <c r="S87" s="281"/>
      <c r="T87" s="281"/>
      <c r="U87" s="655">
        <f t="shared" si="15"/>
        <v>1</v>
      </c>
      <c r="V87" s="655"/>
      <c r="W87" s="655">
        <f t="shared" si="16"/>
        <v>1</v>
      </c>
    </row>
    <row r="88" spans="1:23" s="32" customFormat="1" ht="14.45" customHeight="1" x14ac:dyDescent="0.25">
      <c r="A88" s="5" t="s">
        <v>138</v>
      </c>
      <c r="B88" s="656" t="s">
        <v>753</v>
      </c>
      <c r="C88" s="278"/>
      <c r="D88" s="278"/>
      <c r="E88" s="279"/>
      <c r="F88" s="279"/>
      <c r="G88" s="279"/>
      <c r="H88" s="279"/>
      <c r="I88" s="280"/>
      <c r="J88" s="280"/>
      <c r="K88" s="280"/>
      <c r="L88" s="281"/>
      <c r="M88" s="281"/>
      <c r="N88" s="281"/>
      <c r="O88" s="281"/>
      <c r="P88" s="281"/>
      <c r="Q88" s="281"/>
      <c r="R88" s="281"/>
      <c r="S88" s="281"/>
      <c r="T88" s="281"/>
      <c r="U88" s="655"/>
      <c r="V88" s="655"/>
      <c r="W88" s="655"/>
    </row>
    <row r="89" spans="1:23" s="32" customFormat="1" ht="14.45" customHeight="1" x14ac:dyDescent="0.25">
      <c r="A89" s="5" t="s">
        <v>139</v>
      </c>
      <c r="B89" s="650" t="s">
        <v>754</v>
      </c>
      <c r="C89" s="278"/>
      <c r="D89" s="278"/>
      <c r="E89" s="279"/>
      <c r="F89" s="279"/>
      <c r="G89" s="279"/>
      <c r="H89" s="279"/>
      <c r="I89" s="280"/>
      <c r="J89" s="280"/>
      <c r="K89" s="280"/>
      <c r="L89" s="281">
        <v>1</v>
      </c>
      <c r="M89" s="281">
        <f>L89</f>
        <v>1</v>
      </c>
      <c r="N89" s="281"/>
      <c r="O89" s="281"/>
      <c r="P89" s="281">
        <v>1</v>
      </c>
      <c r="Q89" s="281"/>
      <c r="R89" s="281">
        <f>E89+I89+M89</f>
        <v>1</v>
      </c>
      <c r="S89" s="281"/>
      <c r="T89" s="281"/>
      <c r="U89" s="655">
        <f>P89+S89/2</f>
        <v>1</v>
      </c>
      <c r="V89" s="655"/>
      <c r="W89" s="655">
        <f>R89+T89/2</f>
        <v>1</v>
      </c>
    </row>
    <row r="90" spans="1:23" s="32" customFormat="1" ht="14.45" customHeight="1" x14ac:dyDescent="0.25">
      <c r="A90" s="5" t="s">
        <v>142</v>
      </c>
      <c r="B90" s="650" t="s">
        <v>755</v>
      </c>
      <c r="C90" s="278"/>
      <c r="D90" s="278"/>
      <c r="E90" s="279"/>
      <c r="F90" s="279"/>
      <c r="G90" s="279"/>
      <c r="H90" s="279"/>
      <c r="I90" s="280"/>
      <c r="J90" s="280"/>
      <c r="K90" s="280"/>
      <c r="L90" s="281">
        <v>2</v>
      </c>
      <c r="M90" s="281">
        <f>L90</f>
        <v>2</v>
      </c>
      <c r="N90" s="281"/>
      <c r="O90" s="281"/>
      <c r="P90" s="281">
        <v>2</v>
      </c>
      <c r="Q90" s="281"/>
      <c r="R90" s="281">
        <f>E90+I90+M90</f>
        <v>2</v>
      </c>
      <c r="S90" s="281"/>
      <c r="T90" s="281"/>
      <c r="U90" s="655">
        <f>P90+S90/2</f>
        <v>2</v>
      </c>
      <c r="V90" s="655"/>
      <c r="W90" s="655">
        <f>R90+T90/2</f>
        <v>2</v>
      </c>
    </row>
    <row r="91" spans="1:23" s="32" customFormat="1" ht="14.45" customHeight="1" x14ac:dyDescent="0.25">
      <c r="A91" s="5" t="s">
        <v>145</v>
      </c>
      <c r="B91" s="650" t="s">
        <v>756</v>
      </c>
      <c r="C91" s="278"/>
      <c r="D91" s="278"/>
      <c r="E91" s="279"/>
      <c r="F91" s="279"/>
      <c r="G91" s="279"/>
      <c r="H91" s="279"/>
      <c r="I91" s="280"/>
      <c r="J91" s="280"/>
      <c r="K91" s="280"/>
      <c r="L91" s="281">
        <v>1</v>
      </c>
      <c r="M91" s="281">
        <f>L91</f>
        <v>1</v>
      </c>
      <c r="N91" s="281"/>
      <c r="O91" s="281"/>
      <c r="P91" s="281">
        <v>1</v>
      </c>
      <c r="Q91" s="281"/>
      <c r="R91" s="281">
        <f>E91+I91+M91</f>
        <v>1</v>
      </c>
      <c r="S91" s="281"/>
      <c r="T91" s="281"/>
      <c r="U91" s="655">
        <f>P91+S91/2</f>
        <v>1</v>
      </c>
      <c r="V91" s="655"/>
      <c r="W91" s="655">
        <f>R91+T91/2</f>
        <v>1</v>
      </c>
    </row>
    <row r="92" spans="1:23" s="32" customFormat="1" ht="14.45" customHeight="1" x14ac:dyDescent="0.25">
      <c r="A92" s="5" t="s">
        <v>148</v>
      </c>
      <c r="B92" s="1084" t="s">
        <v>1190</v>
      </c>
      <c r="C92" s="1085"/>
      <c r="D92" s="1085"/>
      <c r="E92" s="1086"/>
      <c r="F92" s="1086"/>
      <c r="G92" s="1086"/>
      <c r="H92" s="1086"/>
      <c r="I92" s="1087"/>
      <c r="J92" s="1087"/>
      <c r="K92" s="1087"/>
      <c r="L92" s="1088">
        <v>0.5</v>
      </c>
      <c r="M92" s="1088">
        <f>L92</f>
        <v>0.5</v>
      </c>
      <c r="N92" s="1088"/>
      <c r="O92" s="1088"/>
      <c r="P92" s="1088">
        <f>L92+N92</f>
        <v>0.5</v>
      </c>
      <c r="Q92" s="1088"/>
      <c r="R92" s="1088">
        <f>E92+I92+M92</f>
        <v>0.5</v>
      </c>
      <c r="S92" s="1088"/>
      <c r="T92" s="1088"/>
      <c r="U92" s="1089">
        <f>P92+S92</f>
        <v>0.5</v>
      </c>
      <c r="V92" s="1090"/>
      <c r="W92" s="1091">
        <f>R92+T92/2</f>
        <v>0.5</v>
      </c>
    </row>
    <row r="93" spans="1:23" s="32" customFormat="1" ht="14.45" customHeight="1" x14ac:dyDescent="0.25">
      <c r="A93" s="5" t="s">
        <v>149</v>
      </c>
      <c r="B93" s="274" t="s">
        <v>757</v>
      </c>
      <c r="C93" s="278"/>
      <c r="D93" s="278"/>
      <c r="E93" s="279"/>
      <c r="F93" s="279"/>
      <c r="G93" s="279"/>
      <c r="H93" s="279"/>
      <c r="I93" s="280"/>
      <c r="J93" s="280"/>
      <c r="K93" s="280"/>
      <c r="L93" s="281">
        <f>SUM(L70:L92)</f>
        <v>23.5</v>
      </c>
      <c r="M93" s="281">
        <f>L93</f>
        <v>23.5</v>
      </c>
      <c r="N93" s="281">
        <f>SUM(N70:N91)</f>
        <v>0</v>
      </c>
      <c r="O93" s="281">
        <f>SUM(O70:O91)</f>
        <v>0</v>
      </c>
      <c r="P93" s="281">
        <f>SUM(P70:P92)</f>
        <v>23.5</v>
      </c>
      <c r="Q93" s="281"/>
      <c r="R93" s="281">
        <f>E93+I93+M93</f>
        <v>23.5</v>
      </c>
      <c r="S93" s="281">
        <f>SUM(S70:S91)</f>
        <v>0</v>
      </c>
      <c r="T93" s="281">
        <f>SUM(T70:T91)</f>
        <v>0</v>
      </c>
      <c r="U93" s="756">
        <f>P93+S93/2</f>
        <v>23.5</v>
      </c>
      <c r="V93" s="940">
        <v>0</v>
      </c>
      <c r="W93" s="756">
        <f>SUM(W70:W92)</f>
        <v>23.5</v>
      </c>
    </row>
    <row r="94" spans="1:23" s="32" customFormat="1" ht="14.45" customHeight="1" x14ac:dyDescent="0.25">
      <c r="A94" s="5"/>
      <c r="B94" s="651"/>
      <c r="C94" s="737"/>
      <c r="D94" s="737"/>
      <c r="E94" s="738"/>
      <c r="F94" s="738"/>
      <c r="G94" s="738"/>
      <c r="H94" s="738"/>
      <c r="I94" s="739"/>
      <c r="J94" s="739"/>
      <c r="K94" s="739"/>
      <c r="L94" s="740"/>
      <c r="M94" s="740"/>
      <c r="N94" s="740"/>
      <c r="O94" s="740"/>
      <c r="P94" s="740"/>
      <c r="Q94" s="740"/>
      <c r="R94" s="740"/>
      <c r="S94" s="740"/>
      <c r="T94" s="740"/>
      <c r="U94" s="741"/>
      <c r="V94" s="740"/>
      <c r="W94" s="740"/>
    </row>
    <row r="95" spans="1:23" s="32" customFormat="1" ht="14.45" customHeight="1" x14ac:dyDescent="0.25">
      <c r="A95" s="5"/>
      <c r="B95" s="79"/>
      <c r="C95" s="73"/>
      <c r="D95" s="73"/>
      <c r="E95" s="56"/>
      <c r="F95" s="56"/>
      <c r="G95" s="56"/>
      <c r="H95" s="56"/>
      <c r="I95" s="74"/>
      <c r="J95" s="74"/>
      <c r="K95" s="74"/>
      <c r="L95" s="57"/>
      <c r="M95" s="57"/>
      <c r="N95" s="57"/>
      <c r="O95" s="57"/>
      <c r="P95" s="57"/>
      <c r="Q95" s="57"/>
      <c r="R95" s="57"/>
      <c r="S95" s="57"/>
      <c r="T95" s="57"/>
      <c r="U95" s="276"/>
      <c r="V95" s="57"/>
      <c r="W95" s="57"/>
    </row>
    <row r="96" spans="1:23" s="32" customFormat="1" ht="14.45" customHeight="1" x14ac:dyDescent="0.25">
      <c r="A96" s="5"/>
      <c r="B96" s="79"/>
      <c r="C96" s="73"/>
      <c r="D96" s="73"/>
      <c r="E96" s="56"/>
      <c r="F96" s="56"/>
      <c r="G96" s="56"/>
      <c r="H96" s="56"/>
      <c r="I96" s="74"/>
      <c r="J96" s="74"/>
      <c r="K96" s="74"/>
      <c r="L96" s="57"/>
      <c r="M96" s="57"/>
      <c r="N96" s="57"/>
      <c r="O96" s="57"/>
      <c r="P96" s="57"/>
      <c r="Q96" s="57"/>
      <c r="R96" s="57"/>
      <c r="S96" s="57"/>
      <c r="T96" s="57"/>
      <c r="U96" s="276"/>
      <c r="V96" s="57"/>
      <c r="W96" s="57"/>
    </row>
    <row r="97" spans="1:241" s="32" customFormat="1" ht="14.45" customHeight="1" x14ac:dyDescent="0.25">
      <c r="A97" s="275" t="s">
        <v>152</v>
      </c>
      <c r="B97" s="79" t="s">
        <v>546</v>
      </c>
      <c r="C97" s="73"/>
      <c r="D97" s="73"/>
      <c r="E97" s="56"/>
      <c r="F97" s="56"/>
      <c r="G97" s="56"/>
      <c r="H97" s="56"/>
      <c r="I97" s="74"/>
      <c r="J97" s="74"/>
      <c r="K97" s="74"/>
      <c r="L97" s="57"/>
      <c r="M97" s="57"/>
      <c r="N97" s="57"/>
      <c r="O97" s="57"/>
      <c r="P97" s="57"/>
      <c r="Q97" s="57"/>
      <c r="R97" s="57"/>
      <c r="S97" s="57"/>
      <c r="T97" s="57"/>
      <c r="U97" s="276"/>
      <c r="V97" s="57"/>
      <c r="W97" s="57"/>
    </row>
    <row r="98" spans="1:241" s="32" customFormat="1" ht="14.45" customHeight="1" x14ac:dyDescent="0.25">
      <c r="A98" s="275" t="s">
        <v>153</v>
      </c>
      <c r="B98" s="277" t="s">
        <v>550</v>
      </c>
      <c r="C98" s="278"/>
      <c r="D98" s="278"/>
      <c r="E98" s="279"/>
      <c r="F98" s="279"/>
      <c r="G98" s="279"/>
      <c r="H98" s="279"/>
      <c r="I98" s="280"/>
      <c r="J98" s="280"/>
      <c r="K98" s="280"/>
      <c r="L98" s="280">
        <v>13</v>
      </c>
      <c r="M98" s="280">
        <f>L98</f>
        <v>13</v>
      </c>
      <c r="N98" s="281"/>
      <c r="O98" s="281"/>
      <c r="P98" s="280">
        <f>L98</f>
        <v>13</v>
      </c>
      <c r="Q98" s="281"/>
      <c r="R98" s="281">
        <f>M98+I98+E98</f>
        <v>13</v>
      </c>
      <c r="S98" s="281"/>
      <c r="T98" s="281"/>
      <c r="U98" s="280">
        <f>P98+S98/2</f>
        <v>13</v>
      </c>
      <c r="V98" s="281"/>
      <c r="W98" s="281">
        <f>R98+T98/2</f>
        <v>13</v>
      </c>
    </row>
    <row r="99" spans="1:241" s="32" customFormat="1" ht="14.45" customHeight="1" x14ac:dyDescent="0.25">
      <c r="A99" s="275" t="s">
        <v>154</v>
      </c>
      <c r="B99" s="277" t="s">
        <v>551</v>
      </c>
      <c r="C99" s="278"/>
      <c r="D99" s="278"/>
      <c r="E99" s="279"/>
      <c r="F99" s="279"/>
      <c r="G99" s="279"/>
      <c r="H99" s="279"/>
      <c r="I99" s="280"/>
      <c r="J99" s="280"/>
      <c r="K99" s="280"/>
      <c r="L99" s="280">
        <v>8</v>
      </c>
      <c r="M99" s="280">
        <f>L99</f>
        <v>8</v>
      </c>
      <c r="N99" s="281"/>
      <c r="O99" s="281"/>
      <c r="P99" s="280">
        <f>L99</f>
        <v>8</v>
      </c>
      <c r="Q99" s="281"/>
      <c r="R99" s="281">
        <f>P99+Q99</f>
        <v>8</v>
      </c>
      <c r="S99" s="281"/>
      <c r="T99" s="281"/>
      <c r="U99" s="280">
        <f>P99+S99/2</f>
        <v>8</v>
      </c>
      <c r="V99" s="281"/>
      <c r="W99" s="281">
        <f>R99+T99/2</f>
        <v>8</v>
      </c>
    </row>
    <row r="100" spans="1:241" s="32" customFormat="1" ht="14.45" customHeight="1" x14ac:dyDescent="0.25">
      <c r="A100" s="275" t="s">
        <v>155</v>
      </c>
      <c r="B100" s="277" t="s">
        <v>552</v>
      </c>
      <c r="C100" s="278"/>
      <c r="D100" s="278"/>
      <c r="E100" s="279"/>
      <c r="F100" s="279"/>
      <c r="G100" s="279"/>
      <c r="H100" s="279"/>
      <c r="I100" s="280"/>
      <c r="J100" s="280"/>
      <c r="K100" s="280"/>
      <c r="L100" s="280">
        <v>3</v>
      </c>
      <c r="M100" s="280">
        <f>L100</f>
        <v>3</v>
      </c>
      <c r="N100" s="281"/>
      <c r="O100" s="281"/>
      <c r="P100" s="280">
        <v>3</v>
      </c>
      <c r="Q100" s="281"/>
      <c r="R100" s="281">
        <v>3</v>
      </c>
      <c r="S100" s="281"/>
      <c r="T100" s="281"/>
      <c r="U100" s="280">
        <f>P100+S100/2</f>
        <v>3</v>
      </c>
      <c r="V100" s="281"/>
      <c r="W100" s="281">
        <f>R100+T100/2</f>
        <v>3</v>
      </c>
    </row>
    <row r="101" spans="1:241" s="32" customFormat="1" ht="14.45" customHeight="1" x14ac:dyDescent="0.25">
      <c r="A101" s="275" t="s">
        <v>156</v>
      </c>
      <c r="B101" s="282" t="s">
        <v>553</v>
      </c>
      <c r="C101" s="283"/>
      <c r="D101" s="283"/>
      <c r="E101" s="284"/>
      <c r="F101" s="284"/>
      <c r="G101" s="284"/>
      <c r="H101" s="284"/>
      <c r="I101" s="280"/>
      <c r="J101" s="280"/>
      <c r="K101" s="280"/>
      <c r="L101" s="281">
        <f>L98+L99+L100</f>
        <v>24</v>
      </c>
      <c r="M101" s="281">
        <f>L101</f>
        <v>24</v>
      </c>
      <c r="N101" s="281">
        <v>0</v>
      </c>
      <c r="O101" s="281">
        <f>O98+O99+O100</f>
        <v>0</v>
      </c>
      <c r="P101" s="281">
        <f>P98+P99+P100</f>
        <v>24</v>
      </c>
      <c r="Q101" s="281"/>
      <c r="R101" s="281">
        <f>R98+R99+R100</f>
        <v>24</v>
      </c>
      <c r="S101" s="281">
        <f>S98+S99+S100</f>
        <v>0</v>
      </c>
      <c r="T101" s="281">
        <f>T98+T99+T100</f>
        <v>0</v>
      </c>
      <c r="U101" s="756">
        <f>P101+S101/2</f>
        <v>24</v>
      </c>
      <c r="V101" s="940">
        <v>0</v>
      </c>
      <c r="W101" s="756">
        <f>R101+T101/2</f>
        <v>24</v>
      </c>
    </row>
    <row r="102" spans="1:241" ht="15.75" customHeight="1" x14ac:dyDescent="0.25">
      <c r="A102" s="275"/>
      <c r="B102" s="742"/>
      <c r="C102" s="743"/>
      <c r="D102" s="743"/>
      <c r="E102" s="744"/>
      <c r="F102" s="744"/>
      <c r="G102" s="744"/>
      <c r="H102" s="744"/>
      <c r="I102" s="745"/>
      <c r="J102" s="745"/>
      <c r="K102" s="745"/>
      <c r="L102" s="746"/>
      <c r="M102" s="746"/>
      <c r="N102" s="746"/>
      <c r="O102" s="746"/>
      <c r="P102" s="746"/>
      <c r="Q102" s="746"/>
      <c r="R102" s="746"/>
      <c r="S102" s="746"/>
      <c r="T102" s="746"/>
      <c r="U102" s="746"/>
      <c r="V102" s="746"/>
      <c r="W102" s="747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</row>
    <row r="103" spans="1:241" s="32" customFormat="1" ht="14.45" customHeight="1" x14ac:dyDescent="0.25">
      <c r="A103" s="275"/>
      <c r="B103" s="54"/>
      <c r="C103" s="55"/>
      <c r="D103" s="55"/>
      <c r="E103" s="56"/>
      <c r="F103" s="56"/>
      <c r="G103" s="56"/>
      <c r="H103" s="56"/>
      <c r="I103" s="74"/>
      <c r="J103" s="74"/>
      <c r="K103" s="74"/>
      <c r="L103" s="74"/>
      <c r="M103" s="74"/>
      <c r="N103" s="74"/>
      <c r="O103" s="74"/>
      <c r="P103" s="74"/>
      <c r="Q103" s="74"/>
      <c r="R103" s="61"/>
      <c r="S103" s="61"/>
      <c r="T103" s="61"/>
      <c r="U103" s="61"/>
      <c r="V103" s="61"/>
      <c r="W103" s="61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</row>
    <row r="104" spans="1:241" s="32" customFormat="1" ht="15.75" customHeight="1" x14ac:dyDescent="0.25">
      <c r="A104" s="275" t="s">
        <v>158</v>
      </c>
      <c r="B104" s="49" t="s">
        <v>721</v>
      </c>
      <c r="C104" s="50">
        <f>C24+C40+C64</f>
        <v>0</v>
      </c>
      <c r="D104" s="50"/>
      <c r="E104" s="50">
        <f>E24+E40+E64</f>
        <v>0</v>
      </c>
      <c r="F104" s="50"/>
      <c r="G104" s="50"/>
      <c r="H104" s="50">
        <f>H24+H40+H64</f>
        <v>0</v>
      </c>
      <c r="I104" s="50">
        <f>I24+I40+I64</f>
        <v>0</v>
      </c>
      <c r="J104" s="50">
        <f>J24+J40+J64</f>
        <v>0</v>
      </c>
      <c r="K104" s="50">
        <f>K24+K40+K64</f>
        <v>0</v>
      </c>
      <c r="L104" s="50">
        <f t="shared" ref="L104:W104" si="17">L24+L40+L101+L93</f>
        <v>187</v>
      </c>
      <c r="M104" s="50">
        <f t="shared" si="17"/>
        <v>187</v>
      </c>
      <c r="N104" s="50">
        <f t="shared" si="17"/>
        <v>1</v>
      </c>
      <c r="O104" s="50">
        <f t="shared" si="17"/>
        <v>1</v>
      </c>
      <c r="P104" s="50">
        <f t="shared" si="17"/>
        <v>187</v>
      </c>
      <c r="Q104" s="941">
        <f>Q101+Q93+Q40+Q24</f>
        <v>0</v>
      </c>
      <c r="R104" s="50">
        <f t="shared" si="17"/>
        <v>187</v>
      </c>
      <c r="S104" s="50">
        <f t="shared" si="17"/>
        <v>1</v>
      </c>
      <c r="T104" s="50">
        <f t="shared" si="17"/>
        <v>1</v>
      </c>
      <c r="U104" s="757">
        <f t="shared" si="17"/>
        <v>187.5</v>
      </c>
      <c r="V104" s="757">
        <f t="shared" ref="V104" si="18">V101+V93+V40+V24</f>
        <v>0</v>
      </c>
      <c r="W104" s="757">
        <f t="shared" si="17"/>
        <v>187.5</v>
      </c>
    </row>
    <row r="105" spans="1:241" s="32" customFormat="1" ht="14.45" customHeight="1" x14ac:dyDescent="0.25">
      <c r="A105" s="275"/>
      <c r="B105" s="59"/>
      <c r="C105" s="60"/>
      <c r="D105" s="60"/>
      <c r="E105" s="61"/>
      <c r="F105" s="61"/>
      <c r="G105" s="61"/>
      <c r="H105" s="61"/>
      <c r="I105" s="62"/>
      <c r="J105" s="62"/>
      <c r="K105" s="62"/>
      <c r="L105" s="62"/>
      <c r="M105" s="61"/>
      <c r="N105" s="61"/>
      <c r="O105" s="61"/>
      <c r="P105" s="61"/>
      <c r="Q105" s="57"/>
      <c r="R105" s="71"/>
      <c r="S105" s="72"/>
      <c r="T105" s="72"/>
      <c r="U105" s="487"/>
      <c r="V105" s="487"/>
      <c r="W105" s="487"/>
    </row>
    <row r="106" spans="1:241" ht="14.45" customHeight="1" x14ac:dyDescent="0.25">
      <c r="A106" s="275" t="s">
        <v>161</v>
      </c>
      <c r="B106" s="49" t="s">
        <v>637</v>
      </c>
      <c r="C106" s="78">
        <f>C10+C12+C104</f>
        <v>8</v>
      </c>
      <c r="D106" s="882">
        <f>D10+D12+D104</f>
        <v>-1</v>
      </c>
      <c r="E106" s="942">
        <f>E104+E10+E12</f>
        <v>7</v>
      </c>
      <c r="F106" s="78"/>
      <c r="G106" s="78"/>
      <c r="H106" s="78">
        <f>H10+H12+H104</f>
        <v>38</v>
      </c>
      <c r="I106" s="78">
        <f>I10+I12+I104</f>
        <v>38</v>
      </c>
      <c r="J106" s="78">
        <f>J10+J12+J104</f>
        <v>0</v>
      </c>
      <c r="K106" s="78">
        <f>K10+K12+K104</f>
        <v>0</v>
      </c>
      <c r="L106" s="488">
        <f>L104</f>
        <v>187</v>
      </c>
      <c r="M106" s="488">
        <f>M10+M12+M104</f>
        <v>187</v>
      </c>
      <c r="N106" s="488">
        <f>N10+N12+N104</f>
        <v>1</v>
      </c>
      <c r="O106" s="488">
        <f>O10+O12+O104</f>
        <v>1</v>
      </c>
      <c r="P106" s="53">
        <f>C106+H106+L106</f>
        <v>233</v>
      </c>
      <c r="Q106" s="883">
        <f>Q10+Q12+Q104</f>
        <v>-1</v>
      </c>
      <c r="R106" s="273">
        <f>R104+R12+R10</f>
        <v>232</v>
      </c>
      <c r="S106" s="522">
        <f>S10+S12+S104</f>
        <v>1</v>
      </c>
      <c r="T106" s="522">
        <f>T10+T12+T104</f>
        <v>1</v>
      </c>
      <c r="U106" s="1012">
        <f>U10+U12+U104</f>
        <v>233.5</v>
      </c>
      <c r="V106" s="943">
        <f>V104+V12+V10</f>
        <v>-1</v>
      </c>
      <c r="W106" s="554">
        <f>W104+W12+W10</f>
        <v>232.5</v>
      </c>
      <c r="X106" s="603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</row>
    <row r="107" spans="1:241" ht="15.75" customHeight="1" x14ac:dyDescent="0.25">
      <c r="B107" s="79"/>
      <c r="C107" s="73"/>
      <c r="D107" s="73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23"/>
      <c r="Q107" s="646"/>
      <c r="R107" s="523"/>
      <c r="S107" s="646"/>
      <c r="T107" s="646"/>
      <c r="U107" s="646"/>
      <c r="V107" s="646"/>
      <c r="W107" s="646"/>
    </row>
    <row r="108" spans="1:241" ht="15.75" customHeight="1" x14ac:dyDescent="0.25">
      <c r="B108" s="1348"/>
      <c r="C108" s="1348"/>
      <c r="D108" s="1348"/>
      <c r="E108" s="1348"/>
      <c r="F108" s="1348"/>
      <c r="G108" s="1348"/>
      <c r="H108" s="1348"/>
      <c r="I108" s="1348"/>
      <c r="J108" s="1348"/>
      <c r="K108" s="1348"/>
      <c r="L108" s="1348"/>
      <c r="M108" s="523"/>
      <c r="N108" s="57"/>
      <c r="O108" s="57"/>
      <c r="P108" s="523"/>
      <c r="Q108" s="646"/>
      <c r="R108" s="523"/>
      <c r="S108" s="646"/>
      <c r="T108" s="646"/>
      <c r="U108" s="646"/>
      <c r="V108" s="646"/>
      <c r="W108" s="646"/>
      <c r="X108" s="524"/>
    </row>
    <row r="109" spans="1:241" ht="13.9" customHeight="1" x14ac:dyDescent="0.25">
      <c r="A109" s="16"/>
      <c r="B109" s="1349"/>
      <c r="C109" s="1349"/>
      <c r="D109" s="1349"/>
      <c r="E109" s="1349"/>
      <c r="F109" s="1349"/>
      <c r="G109" s="1349"/>
      <c r="H109" s="1349"/>
      <c r="I109" s="1349"/>
      <c r="J109" s="1349"/>
      <c r="K109" s="1349"/>
      <c r="L109" s="1349"/>
      <c r="M109" s="1349"/>
      <c r="N109" s="1349"/>
      <c r="O109" s="1349"/>
      <c r="P109" s="1349"/>
      <c r="Q109" s="1349"/>
      <c r="R109" s="1349"/>
      <c r="S109" s="1349"/>
      <c r="T109" s="1349"/>
      <c r="U109" s="1349"/>
      <c r="V109" s="1349"/>
      <c r="W109" s="1349"/>
      <c r="X109" s="524"/>
    </row>
    <row r="110" spans="1:241" ht="13.9" customHeight="1" x14ac:dyDescent="0.25">
      <c r="B110" s="24" t="s">
        <v>299</v>
      </c>
    </row>
  </sheetData>
  <sheetProtection selectLockedCells="1" selectUnlockedCells="1"/>
  <mergeCells count="29">
    <mergeCell ref="A1:W1"/>
    <mergeCell ref="A2:W2"/>
    <mergeCell ref="A3:W3"/>
    <mergeCell ref="A5:A8"/>
    <mergeCell ref="C5:E5"/>
    <mergeCell ref="F5:G5"/>
    <mergeCell ref="H5:I5"/>
    <mergeCell ref="J5:K5"/>
    <mergeCell ref="L5:M5"/>
    <mergeCell ref="N5:O5"/>
    <mergeCell ref="P5:R5"/>
    <mergeCell ref="S5:T5"/>
    <mergeCell ref="U5:W5"/>
    <mergeCell ref="B6:B8"/>
    <mergeCell ref="C6:G6"/>
    <mergeCell ref="H6:K6"/>
    <mergeCell ref="L6:O6"/>
    <mergeCell ref="P6:T6"/>
    <mergeCell ref="U6:W7"/>
    <mergeCell ref="C7:E7"/>
    <mergeCell ref="S7:T7"/>
    <mergeCell ref="B108:L108"/>
    <mergeCell ref="B109:W109"/>
    <mergeCell ref="F7:G7"/>
    <mergeCell ref="H7:I7"/>
    <mergeCell ref="J7:K7"/>
    <mergeCell ref="L7:M7"/>
    <mergeCell ref="N7:O7"/>
    <mergeCell ref="P7:R7"/>
  </mergeCells>
  <pageMargins left="0.39370078740157483" right="0.19685039370078741" top="0.19685039370078741" bottom="0.19685039370078741" header="0.51181102362204722" footer="0.51181102362204722"/>
  <pageSetup paperSize="9" scale="57" firstPageNumber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sqref="A1:H1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347" t="s">
        <v>954</v>
      </c>
      <c r="B1" s="1347"/>
      <c r="C1" s="1347"/>
      <c r="D1" s="1347"/>
      <c r="E1" s="1347"/>
      <c r="F1" s="1347"/>
      <c r="G1" s="1347"/>
      <c r="H1" s="1347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  <c r="V1" s="699"/>
      <c r="W1" s="699"/>
      <c r="X1" s="699"/>
      <c r="Y1" s="699"/>
      <c r="Z1" s="699"/>
      <c r="AA1" s="699"/>
      <c r="AB1" s="699"/>
      <c r="AC1" s="699"/>
      <c r="AD1" s="699"/>
      <c r="AE1" s="699"/>
      <c r="AF1" s="699"/>
      <c r="AG1" s="699"/>
      <c r="AH1" s="699"/>
      <c r="AI1" s="699"/>
    </row>
    <row r="2" spans="1:35" x14ac:dyDescent="0.2">
      <c r="C2" t="s">
        <v>349</v>
      </c>
    </row>
    <row r="3" spans="1:35" ht="14.25" x14ac:dyDescent="0.2">
      <c r="A3" s="1359" t="s">
        <v>338</v>
      </c>
      <c r="B3" s="1359"/>
      <c r="C3" s="1359"/>
      <c r="D3" s="1359"/>
      <c r="E3" s="1359"/>
      <c r="F3" s="1359"/>
      <c r="G3" s="1359"/>
      <c r="H3" s="1359"/>
    </row>
    <row r="4" spans="1:35" ht="14.25" x14ac:dyDescent="0.2">
      <c r="A4" s="1359" t="s">
        <v>339</v>
      </c>
      <c r="B4" s="1359"/>
      <c r="C4" s="1359"/>
      <c r="D4" s="1359"/>
      <c r="E4" s="1359"/>
      <c r="F4" s="1359"/>
      <c r="G4" s="1359"/>
      <c r="H4" s="1359"/>
    </row>
    <row r="5" spans="1:35" ht="14.25" x14ac:dyDescent="0.2">
      <c r="A5" s="1360" t="s">
        <v>55</v>
      </c>
      <c r="B5" s="1360"/>
      <c r="C5" s="1360"/>
      <c r="D5" s="1360"/>
      <c r="E5" s="1360"/>
      <c r="F5" s="1360"/>
      <c r="G5" s="1360"/>
      <c r="H5" s="1360"/>
    </row>
    <row r="6" spans="1:35" ht="15" x14ac:dyDescent="0.25">
      <c r="A6" s="398"/>
      <c r="B6" s="661"/>
      <c r="C6" s="661"/>
      <c r="D6" s="661"/>
      <c r="E6" s="661"/>
    </row>
    <row r="7" spans="1:35" ht="14.25" customHeight="1" x14ac:dyDescent="0.2">
      <c r="A7" s="1361"/>
      <c r="B7" s="662" t="s">
        <v>57</v>
      </c>
      <c r="C7" s="662" t="s">
        <v>58</v>
      </c>
      <c r="D7" s="662" t="s">
        <v>59</v>
      </c>
      <c r="E7" s="662" t="s">
        <v>60</v>
      </c>
      <c r="F7" s="663" t="s">
        <v>499</v>
      </c>
      <c r="G7" s="663" t="s">
        <v>500</v>
      </c>
      <c r="H7" s="663" t="s">
        <v>501</v>
      </c>
    </row>
    <row r="8" spans="1:35" ht="14.25" customHeight="1" x14ac:dyDescent="0.2">
      <c r="A8" s="1361"/>
      <c r="B8" s="1362" t="s">
        <v>822</v>
      </c>
      <c r="C8" s="1363" t="s">
        <v>341</v>
      </c>
      <c r="D8" s="1364" t="s">
        <v>342</v>
      </c>
      <c r="E8" s="1365"/>
      <c r="F8" s="1366"/>
    </row>
    <row r="9" spans="1:35" ht="15.75" x14ac:dyDescent="0.25">
      <c r="A9" s="1361"/>
      <c r="B9" s="1362"/>
      <c r="C9" s="1363"/>
      <c r="D9" s="1364"/>
      <c r="E9" s="401">
        <v>2015</v>
      </c>
      <c r="F9" s="664">
        <v>2017</v>
      </c>
      <c r="G9" s="686">
        <v>2017</v>
      </c>
      <c r="H9" s="686">
        <v>2018</v>
      </c>
    </row>
    <row r="10" spans="1:35" ht="15" x14ac:dyDescent="0.25">
      <c r="A10" s="665"/>
      <c r="B10" s="666" t="s">
        <v>348</v>
      </c>
      <c r="C10" s="667"/>
      <c r="D10" s="687"/>
      <c r="E10" s="667"/>
    </row>
    <row r="11" spans="1:35" ht="15" x14ac:dyDescent="0.25">
      <c r="A11" s="668">
        <v>1</v>
      </c>
      <c r="B11" s="669" t="s">
        <v>823</v>
      </c>
      <c r="C11" s="670" t="s">
        <v>824</v>
      </c>
      <c r="D11" s="688" t="s">
        <v>354</v>
      </c>
      <c r="E11" s="671">
        <v>41</v>
      </c>
      <c r="F11" s="671">
        <v>50</v>
      </c>
      <c r="G11" s="671">
        <v>50</v>
      </c>
      <c r="H11" s="671">
        <v>50</v>
      </c>
    </row>
    <row r="12" spans="1:35" ht="15" x14ac:dyDescent="0.25">
      <c r="A12" s="668">
        <v>2</v>
      </c>
      <c r="B12" s="669" t="s">
        <v>825</v>
      </c>
      <c r="C12" s="670" t="s">
        <v>826</v>
      </c>
      <c r="D12" s="688" t="s">
        <v>354</v>
      </c>
      <c r="E12" s="671">
        <v>125</v>
      </c>
      <c r="F12" s="671">
        <v>147</v>
      </c>
      <c r="G12" s="671">
        <v>147</v>
      </c>
      <c r="H12" s="671">
        <v>147</v>
      </c>
    </row>
    <row r="13" spans="1:35" ht="25.5" customHeight="1" x14ac:dyDescent="0.25">
      <c r="A13" s="668">
        <v>3</v>
      </c>
      <c r="B13" s="672" t="s">
        <v>827</v>
      </c>
      <c r="C13" s="673" t="s">
        <v>770</v>
      </c>
      <c r="D13" s="689" t="s">
        <v>354</v>
      </c>
      <c r="E13" s="674"/>
      <c r="F13" s="674">
        <v>240</v>
      </c>
      <c r="G13" s="674">
        <v>240</v>
      </c>
      <c r="H13" s="674">
        <v>240</v>
      </c>
    </row>
    <row r="14" spans="1:35" ht="15" x14ac:dyDescent="0.25">
      <c r="A14" s="668">
        <v>4</v>
      </c>
      <c r="B14" s="669" t="s">
        <v>397</v>
      </c>
      <c r="C14" s="670" t="s">
        <v>828</v>
      </c>
      <c r="D14" s="688" t="s">
        <v>354</v>
      </c>
      <c r="E14" s="671">
        <v>330</v>
      </c>
      <c r="F14" s="671">
        <v>335</v>
      </c>
      <c r="G14" s="671">
        <v>335</v>
      </c>
      <c r="H14" s="671">
        <v>335</v>
      </c>
    </row>
    <row r="15" spans="1:35" ht="15" x14ac:dyDescent="0.25">
      <c r="A15" s="668">
        <v>5</v>
      </c>
      <c r="B15" s="669" t="s">
        <v>399</v>
      </c>
      <c r="C15" s="670" t="s">
        <v>829</v>
      </c>
      <c r="D15" s="688" t="s">
        <v>354</v>
      </c>
      <c r="E15" s="671">
        <v>930</v>
      </c>
      <c r="F15" s="671">
        <v>960</v>
      </c>
      <c r="G15" s="671">
        <v>960</v>
      </c>
      <c r="H15" s="671">
        <v>960</v>
      </c>
    </row>
    <row r="16" spans="1:35" ht="15" x14ac:dyDescent="0.25">
      <c r="A16" s="668">
        <v>6</v>
      </c>
      <c r="B16" s="669" t="s">
        <v>830</v>
      </c>
      <c r="C16" s="670" t="s">
        <v>831</v>
      </c>
      <c r="D16" s="688" t="s">
        <v>354</v>
      </c>
      <c r="E16" s="671"/>
      <c r="F16" s="671">
        <v>700</v>
      </c>
      <c r="G16" s="671">
        <v>700</v>
      </c>
      <c r="H16" s="671">
        <v>700</v>
      </c>
    </row>
    <row r="17" spans="1:8" ht="15" x14ac:dyDescent="0.25">
      <c r="A17" s="668">
        <v>7</v>
      </c>
      <c r="B17" s="670" t="s">
        <v>417</v>
      </c>
      <c r="C17" s="670" t="s">
        <v>832</v>
      </c>
      <c r="D17" s="690" t="s">
        <v>354</v>
      </c>
      <c r="E17" s="671">
        <v>225</v>
      </c>
      <c r="F17" s="671">
        <v>271</v>
      </c>
      <c r="G17" s="671">
        <v>271</v>
      </c>
      <c r="H17" s="671">
        <v>271</v>
      </c>
    </row>
    <row r="18" spans="1:8" ht="24.75" customHeight="1" x14ac:dyDescent="0.25">
      <c r="A18" s="668">
        <v>8</v>
      </c>
      <c r="B18" s="675" t="s">
        <v>833</v>
      </c>
      <c r="C18" s="676" t="s">
        <v>834</v>
      </c>
      <c r="D18" s="691" t="s">
        <v>354</v>
      </c>
      <c r="E18" s="677">
        <v>233</v>
      </c>
      <c r="F18" s="677">
        <v>236</v>
      </c>
      <c r="G18" s="677">
        <v>236</v>
      </c>
      <c r="H18" s="677">
        <v>236</v>
      </c>
    </row>
    <row r="19" spans="1:8" ht="20.25" customHeight="1" x14ac:dyDescent="0.25">
      <c r="A19" s="668">
        <v>9</v>
      </c>
      <c r="B19" s="675" t="s">
        <v>423</v>
      </c>
      <c r="C19" s="676" t="s">
        <v>835</v>
      </c>
      <c r="D19" s="691" t="s">
        <v>354</v>
      </c>
      <c r="E19" s="677">
        <v>250</v>
      </c>
      <c r="F19" s="677">
        <v>200</v>
      </c>
      <c r="G19" s="677">
        <v>200</v>
      </c>
      <c r="H19" s="677">
        <v>200</v>
      </c>
    </row>
    <row r="20" spans="1:8" ht="27.75" customHeight="1" x14ac:dyDescent="0.25">
      <c r="A20" s="668">
        <v>10</v>
      </c>
      <c r="B20" s="675" t="s">
        <v>434</v>
      </c>
      <c r="C20" s="676" t="s">
        <v>836</v>
      </c>
      <c r="D20" s="691" t="s">
        <v>354</v>
      </c>
      <c r="E20" s="677">
        <v>1800</v>
      </c>
      <c r="F20" s="677">
        <v>1800</v>
      </c>
      <c r="G20" s="677">
        <v>1800</v>
      </c>
      <c r="H20" s="677">
        <v>1800</v>
      </c>
    </row>
    <row r="21" spans="1:8" ht="28.5" customHeight="1" x14ac:dyDescent="0.25">
      <c r="A21" s="668">
        <v>11</v>
      </c>
      <c r="B21" s="675" t="s">
        <v>436</v>
      </c>
      <c r="C21" s="676" t="s">
        <v>837</v>
      </c>
      <c r="D21" s="691" t="s">
        <v>354</v>
      </c>
      <c r="E21" s="677">
        <v>2000</v>
      </c>
      <c r="F21" s="677">
        <v>2000</v>
      </c>
      <c r="G21" s="677">
        <v>2000</v>
      </c>
      <c r="H21" s="677">
        <v>2000</v>
      </c>
    </row>
    <row r="22" spans="1:8" ht="48" customHeight="1" x14ac:dyDescent="0.2">
      <c r="A22" s="692">
        <v>12</v>
      </c>
      <c r="B22" s="678" t="s">
        <v>838</v>
      </c>
      <c r="C22" s="693" t="s">
        <v>839</v>
      </c>
      <c r="D22" s="694" t="s">
        <v>354</v>
      </c>
      <c r="E22" s="695"/>
      <c r="F22" s="695">
        <v>97</v>
      </c>
      <c r="G22" s="695">
        <v>97</v>
      </c>
      <c r="H22" s="695">
        <v>97</v>
      </c>
    </row>
    <row r="23" spans="1:8" ht="30" customHeight="1" x14ac:dyDescent="0.25">
      <c r="A23" s="668">
        <v>13</v>
      </c>
      <c r="B23" s="675" t="s">
        <v>840</v>
      </c>
      <c r="C23" s="676" t="s">
        <v>841</v>
      </c>
      <c r="D23" s="691">
        <v>43465</v>
      </c>
      <c r="E23" s="677"/>
      <c r="F23" s="677">
        <v>991</v>
      </c>
      <c r="G23" s="677">
        <v>991</v>
      </c>
      <c r="H23" s="677">
        <v>991</v>
      </c>
    </row>
    <row r="24" spans="1:8" ht="33" customHeight="1" x14ac:dyDescent="0.25">
      <c r="A24" s="668">
        <v>14</v>
      </c>
      <c r="B24" s="675" t="s">
        <v>842</v>
      </c>
      <c r="C24" s="676" t="s">
        <v>843</v>
      </c>
      <c r="D24" s="691" t="s">
        <v>354</v>
      </c>
      <c r="E24" s="677"/>
      <c r="F24" s="677">
        <v>515</v>
      </c>
      <c r="G24" s="677">
        <v>515</v>
      </c>
      <c r="H24" s="677">
        <v>515</v>
      </c>
    </row>
    <row r="25" spans="1:8" ht="15" x14ac:dyDescent="0.25">
      <c r="A25" s="668">
        <v>17</v>
      </c>
      <c r="B25" s="680" t="s">
        <v>844</v>
      </c>
      <c r="C25" s="680" t="s">
        <v>845</v>
      </c>
      <c r="D25" s="696">
        <v>43009</v>
      </c>
      <c r="E25" s="681"/>
      <c r="F25" s="682">
        <v>3500</v>
      </c>
      <c r="G25" s="682">
        <v>3500</v>
      </c>
      <c r="H25" s="682">
        <v>3500</v>
      </c>
    </row>
    <row r="26" spans="1:8" ht="15" x14ac:dyDescent="0.25">
      <c r="A26" s="668">
        <v>22</v>
      </c>
      <c r="B26" s="680" t="s">
        <v>846</v>
      </c>
      <c r="C26" s="680" t="s">
        <v>847</v>
      </c>
      <c r="D26" s="696" t="s">
        <v>354</v>
      </c>
      <c r="E26" s="683"/>
      <c r="F26" s="682">
        <v>248</v>
      </c>
      <c r="G26" s="682">
        <v>248</v>
      </c>
      <c r="H26" s="682">
        <v>248</v>
      </c>
    </row>
    <row r="27" spans="1:8" ht="15.75" x14ac:dyDescent="0.25">
      <c r="A27" s="668">
        <v>23</v>
      </c>
      <c r="B27" s="680" t="s">
        <v>848</v>
      </c>
      <c r="C27" s="680" t="s">
        <v>849</v>
      </c>
      <c r="D27" s="685" t="s">
        <v>354</v>
      </c>
      <c r="E27" s="684"/>
      <c r="F27" s="682">
        <v>168</v>
      </c>
      <c r="G27" s="682">
        <v>168</v>
      </c>
      <c r="H27" s="682">
        <v>168</v>
      </c>
    </row>
    <row r="28" spans="1:8" ht="15.75" x14ac:dyDescent="0.25">
      <c r="A28" s="697">
        <v>24</v>
      </c>
      <c r="B28" s="680" t="s">
        <v>850</v>
      </c>
      <c r="C28" s="680" t="s">
        <v>851</v>
      </c>
      <c r="D28" s="685" t="s">
        <v>354</v>
      </c>
      <c r="E28" s="684"/>
      <c r="F28" s="682">
        <v>76</v>
      </c>
      <c r="G28" s="682">
        <v>76</v>
      </c>
      <c r="H28" s="682">
        <v>76</v>
      </c>
    </row>
    <row r="29" spans="1:8" ht="15.75" x14ac:dyDescent="0.25">
      <c r="A29" s="668">
        <v>25</v>
      </c>
      <c r="B29" s="684"/>
      <c r="C29" s="680" t="s">
        <v>852</v>
      </c>
      <c r="D29" s="685" t="s">
        <v>354</v>
      </c>
      <c r="E29" s="684"/>
      <c r="F29" s="679">
        <v>127</v>
      </c>
      <c r="G29" s="679">
        <v>127</v>
      </c>
      <c r="H29" s="679">
        <v>127</v>
      </c>
    </row>
    <row r="30" spans="1:8" ht="15" x14ac:dyDescent="0.25">
      <c r="A30" s="668">
        <v>26</v>
      </c>
      <c r="B30" s="680" t="s">
        <v>853</v>
      </c>
      <c r="C30" s="680" t="s">
        <v>854</v>
      </c>
      <c r="D30" s="696">
        <v>42855</v>
      </c>
      <c r="E30" s="683"/>
      <c r="F30" s="682">
        <v>1531</v>
      </c>
      <c r="G30" s="682">
        <v>1531</v>
      </c>
      <c r="H30" s="682">
        <v>1531</v>
      </c>
    </row>
    <row r="31" spans="1:8" ht="15" x14ac:dyDescent="0.25">
      <c r="A31" s="668">
        <v>27</v>
      </c>
      <c r="B31" s="680" t="s">
        <v>810</v>
      </c>
      <c r="C31" s="680" t="s">
        <v>855</v>
      </c>
      <c r="D31" s="696">
        <v>42855</v>
      </c>
      <c r="E31" s="683"/>
      <c r="F31" s="682">
        <v>3446</v>
      </c>
      <c r="G31" s="682">
        <v>3446</v>
      </c>
      <c r="H31" s="682">
        <v>3446</v>
      </c>
    </row>
    <row r="32" spans="1:8" ht="15" x14ac:dyDescent="0.25">
      <c r="A32" s="668">
        <v>28</v>
      </c>
      <c r="B32" s="680" t="s">
        <v>808</v>
      </c>
      <c r="C32" s="680" t="s">
        <v>856</v>
      </c>
      <c r="D32" s="696">
        <v>42825</v>
      </c>
      <c r="E32" s="683"/>
      <c r="F32" s="682">
        <v>1727</v>
      </c>
      <c r="G32" s="682">
        <v>1727</v>
      </c>
      <c r="H32" s="682">
        <v>1727</v>
      </c>
    </row>
    <row r="33" spans="1:8" ht="15" x14ac:dyDescent="0.25">
      <c r="A33" s="668">
        <v>29</v>
      </c>
      <c r="B33" s="680" t="s">
        <v>857</v>
      </c>
      <c r="C33" s="680" t="s">
        <v>858</v>
      </c>
      <c r="D33" s="696">
        <v>42916</v>
      </c>
      <c r="E33" s="681"/>
      <c r="F33" s="682">
        <v>1270</v>
      </c>
      <c r="G33" s="682">
        <v>1270</v>
      </c>
      <c r="H33" s="682">
        <v>1270</v>
      </c>
    </row>
    <row r="34" spans="1:8" ht="15" x14ac:dyDescent="0.25">
      <c r="A34" s="668">
        <v>30</v>
      </c>
      <c r="B34" s="680"/>
      <c r="C34" s="680" t="s">
        <v>859</v>
      </c>
      <c r="D34" s="696" t="s">
        <v>354</v>
      </c>
      <c r="E34" s="681"/>
      <c r="F34" s="682">
        <v>355</v>
      </c>
      <c r="G34" s="682">
        <v>355</v>
      </c>
      <c r="H34" s="682">
        <v>355</v>
      </c>
    </row>
    <row r="35" spans="1:8" ht="15" x14ac:dyDescent="0.25">
      <c r="A35" s="668">
        <v>31</v>
      </c>
      <c r="B35" s="680"/>
      <c r="C35" s="680" t="s">
        <v>860</v>
      </c>
      <c r="D35" s="696" t="s">
        <v>354</v>
      </c>
      <c r="E35" s="681"/>
      <c r="F35" s="682">
        <v>321</v>
      </c>
      <c r="G35" s="682">
        <v>321</v>
      </c>
      <c r="H35" s="682">
        <v>321</v>
      </c>
    </row>
    <row r="36" spans="1:8" ht="15" x14ac:dyDescent="0.25">
      <c r="A36" s="668">
        <v>32</v>
      </c>
      <c r="B36" s="680"/>
      <c r="C36" s="680" t="s">
        <v>861</v>
      </c>
      <c r="D36" s="696" t="s">
        <v>354</v>
      </c>
      <c r="E36" s="681"/>
      <c r="F36" s="682">
        <v>458</v>
      </c>
      <c r="G36" s="682">
        <v>458</v>
      </c>
      <c r="H36" s="682">
        <v>458</v>
      </c>
    </row>
    <row r="37" spans="1:8" ht="15" x14ac:dyDescent="0.25">
      <c r="A37" s="668">
        <v>33</v>
      </c>
      <c r="B37" s="680" t="s">
        <v>936</v>
      </c>
      <c r="C37" s="680" t="s">
        <v>937</v>
      </c>
      <c r="D37" s="696" t="s">
        <v>354</v>
      </c>
      <c r="E37" s="681"/>
      <c r="F37" s="682">
        <v>131</v>
      </c>
      <c r="G37" s="682">
        <v>131</v>
      </c>
      <c r="H37" s="682">
        <v>131</v>
      </c>
    </row>
    <row r="38" spans="1:8" ht="30" x14ac:dyDescent="0.25">
      <c r="A38" s="668">
        <v>34</v>
      </c>
      <c r="B38" s="680" t="s">
        <v>938</v>
      </c>
      <c r="C38" s="748" t="s">
        <v>939</v>
      </c>
      <c r="D38" s="696" t="s">
        <v>354</v>
      </c>
      <c r="E38" s="681"/>
      <c r="F38" s="682">
        <v>686</v>
      </c>
      <c r="G38" s="682">
        <v>686</v>
      </c>
      <c r="H38" s="682">
        <v>686</v>
      </c>
    </row>
    <row r="39" spans="1:8" ht="15" x14ac:dyDescent="0.25">
      <c r="A39" s="668"/>
      <c r="B39" s="680"/>
      <c r="C39" s="748" t="s">
        <v>940</v>
      </c>
      <c r="D39" s="696" t="s">
        <v>354</v>
      </c>
      <c r="E39" s="681"/>
      <c r="F39" s="682">
        <v>550</v>
      </c>
      <c r="G39" s="682">
        <v>550</v>
      </c>
      <c r="H39" s="682">
        <v>550</v>
      </c>
    </row>
    <row r="40" spans="1:8" ht="15" x14ac:dyDescent="0.25">
      <c r="A40" s="668"/>
      <c r="B40" s="680"/>
      <c r="C40" s="748" t="s">
        <v>935</v>
      </c>
      <c r="D40" s="696" t="s">
        <v>354</v>
      </c>
      <c r="E40" s="681"/>
      <c r="F40" s="682">
        <v>4000</v>
      </c>
      <c r="G40" s="682">
        <v>4000</v>
      </c>
      <c r="H40" s="682">
        <v>4000</v>
      </c>
    </row>
    <row r="41" spans="1:8" ht="15.75" x14ac:dyDescent="0.25">
      <c r="E41" s="698">
        <v>5934</v>
      </c>
      <c r="F41" s="698">
        <f>SUM(F11:F40)</f>
        <v>27136</v>
      </c>
      <c r="G41" s="698">
        <f>SUM(G11:G40)</f>
        <v>27136</v>
      </c>
      <c r="H41" s="698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75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367" t="s">
        <v>1221</v>
      </c>
      <c r="B1" s="1367"/>
      <c r="C1" s="1367"/>
      <c r="D1" s="1367"/>
      <c r="E1" s="1367"/>
      <c r="F1" s="1367"/>
      <c r="G1" s="1367"/>
      <c r="H1" s="1367"/>
    </row>
    <row r="2" spans="1:8" x14ac:dyDescent="0.2">
      <c r="A2" s="813"/>
      <c r="B2" s="813"/>
      <c r="C2" s="813"/>
      <c r="D2" s="814"/>
      <c r="E2" s="813"/>
      <c r="F2" s="813"/>
      <c r="G2" s="813"/>
      <c r="H2" s="813"/>
    </row>
    <row r="3" spans="1:8" x14ac:dyDescent="0.2">
      <c r="A3" s="1371" t="s">
        <v>78</v>
      </c>
      <c r="B3" s="1371"/>
      <c r="C3" s="1371"/>
      <c r="D3" s="1371"/>
      <c r="E3" s="1371"/>
      <c r="F3" s="1371"/>
      <c r="G3" s="1371"/>
      <c r="H3" s="1371"/>
    </row>
    <row r="4" spans="1:8" ht="14.25" x14ac:dyDescent="0.2">
      <c r="A4" s="1359" t="s">
        <v>338</v>
      </c>
      <c r="B4" s="1359"/>
      <c r="C4" s="1359"/>
      <c r="D4" s="1359"/>
      <c r="E4" s="1359"/>
      <c r="F4" s="1359"/>
      <c r="G4" s="1359"/>
      <c r="H4" s="1359"/>
    </row>
    <row r="5" spans="1:8" ht="14.25" x14ac:dyDescent="0.2">
      <c r="A5" s="1359" t="s">
        <v>1193</v>
      </c>
      <c r="B5" s="1359"/>
      <c r="C5" s="1359"/>
      <c r="D5" s="1359"/>
      <c r="E5" s="1359"/>
      <c r="F5" s="1359"/>
      <c r="G5" s="1359"/>
      <c r="H5" s="1359"/>
    </row>
    <row r="6" spans="1:8" ht="14.25" x14ac:dyDescent="0.2">
      <c r="A6" s="1360" t="s">
        <v>55</v>
      </c>
      <c r="B6" s="1360"/>
      <c r="C6" s="1360"/>
      <c r="D6" s="1360"/>
      <c r="E6" s="1360"/>
      <c r="F6" s="1360"/>
      <c r="G6" s="1360"/>
      <c r="H6" s="1360"/>
    </row>
    <row r="7" spans="1:8" ht="15" x14ac:dyDescent="0.25">
      <c r="A7" s="1040"/>
      <c r="B7" s="1041"/>
      <c r="C7" s="1041"/>
      <c r="D7" s="1041"/>
      <c r="E7" s="1041"/>
      <c r="F7" s="813"/>
      <c r="G7" s="813"/>
      <c r="H7" s="813"/>
    </row>
    <row r="8" spans="1:8" ht="14.25" customHeight="1" x14ac:dyDescent="0.2">
      <c r="A8" s="1368"/>
      <c r="B8" s="1042" t="s">
        <v>57</v>
      </c>
      <c r="C8" s="1042" t="s">
        <v>58</v>
      </c>
      <c r="D8" s="1042" t="s">
        <v>59</v>
      </c>
      <c r="E8" s="1042" t="s">
        <v>60</v>
      </c>
      <c r="F8" s="1043" t="s">
        <v>499</v>
      </c>
      <c r="G8" s="1043" t="s">
        <v>500</v>
      </c>
      <c r="H8" s="1043" t="s">
        <v>501</v>
      </c>
    </row>
    <row r="9" spans="1:8" ht="14.25" customHeight="1" x14ac:dyDescent="0.2">
      <c r="A9" s="1368"/>
      <c r="B9" s="1369" t="s">
        <v>340</v>
      </c>
      <c r="C9" s="1370" t="s">
        <v>341</v>
      </c>
      <c r="D9" s="1370" t="s">
        <v>342</v>
      </c>
      <c r="E9" s="1044"/>
      <c r="F9" s="1045"/>
      <c r="G9" s="1046"/>
      <c r="H9" s="1046"/>
    </row>
    <row r="10" spans="1:8" ht="14.25" customHeight="1" x14ac:dyDescent="0.2">
      <c r="A10" s="1368"/>
      <c r="B10" s="1369"/>
      <c r="C10" s="1370"/>
      <c r="D10" s="1370"/>
      <c r="E10" s="1047" t="s">
        <v>759</v>
      </c>
      <c r="F10" s="1048" t="s">
        <v>986</v>
      </c>
      <c r="G10" s="1049" t="s">
        <v>1194</v>
      </c>
      <c r="H10" s="1049" t="s">
        <v>1195</v>
      </c>
    </row>
    <row r="11" spans="1:8" ht="15" x14ac:dyDescent="0.25">
      <c r="A11" s="409"/>
      <c r="B11" s="445" t="s">
        <v>348</v>
      </c>
      <c r="C11" s="446"/>
      <c r="D11" s="446"/>
      <c r="E11" s="813"/>
      <c r="F11" s="813"/>
      <c r="G11" s="813"/>
      <c r="H11" s="813"/>
    </row>
    <row r="12" spans="1:8" ht="15" x14ac:dyDescent="0.25">
      <c r="A12" s="1050">
        <v>1</v>
      </c>
      <c r="B12" s="1051" t="s">
        <v>352</v>
      </c>
      <c r="C12" s="1052" t="s">
        <v>351</v>
      </c>
      <c r="D12" s="1053" t="s">
        <v>354</v>
      </c>
      <c r="E12" s="1054">
        <v>300</v>
      </c>
      <c r="F12" s="1054">
        <v>300</v>
      </c>
      <c r="G12" s="1054">
        <v>300</v>
      </c>
      <c r="H12" s="1054">
        <v>300</v>
      </c>
    </row>
    <row r="13" spans="1:8" ht="15" x14ac:dyDescent="0.25">
      <c r="A13" s="1050">
        <v>2</v>
      </c>
      <c r="B13" s="1055" t="s">
        <v>355</v>
      </c>
      <c r="C13" s="1056" t="s">
        <v>356</v>
      </c>
      <c r="D13" s="1053" t="s">
        <v>354</v>
      </c>
      <c r="E13" s="1057">
        <v>100</v>
      </c>
      <c r="F13" s="1057">
        <v>100</v>
      </c>
      <c r="G13" s="1057">
        <v>100</v>
      </c>
      <c r="H13" s="1057">
        <v>100</v>
      </c>
    </row>
    <row r="14" spans="1:8" ht="15" x14ac:dyDescent="0.25">
      <c r="A14" s="1050">
        <v>3</v>
      </c>
      <c r="B14" s="1055" t="s">
        <v>359</v>
      </c>
      <c r="C14" s="1056" t="s">
        <v>760</v>
      </c>
      <c r="D14" s="1053" t="s">
        <v>354</v>
      </c>
      <c r="E14" s="1057">
        <v>24241</v>
      </c>
      <c r="F14" s="1057">
        <v>24241</v>
      </c>
      <c r="G14" s="1057">
        <v>24241</v>
      </c>
      <c r="H14" s="1057">
        <v>24241</v>
      </c>
    </row>
    <row r="15" spans="1:8" ht="15" x14ac:dyDescent="0.25">
      <c r="A15" s="1050">
        <v>4</v>
      </c>
      <c r="B15" s="1055" t="s">
        <v>359</v>
      </c>
      <c r="C15" s="1056" t="s">
        <v>761</v>
      </c>
      <c r="D15" s="1053" t="s">
        <v>354</v>
      </c>
      <c r="E15" s="1057">
        <v>27321</v>
      </c>
      <c r="F15" s="1057">
        <v>27321</v>
      </c>
      <c r="G15" s="1057">
        <v>27321</v>
      </c>
      <c r="H15" s="1057">
        <v>27321</v>
      </c>
    </row>
    <row r="16" spans="1:8" ht="15" x14ac:dyDescent="0.25">
      <c r="A16" s="1050">
        <v>5</v>
      </c>
      <c r="B16" s="1055" t="s">
        <v>367</v>
      </c>
      <c r="C16" s="1056" t="s">
        <v>368</v>
      </c>
      <c r="D16" s="1053" t="s">
        <v>354</v>
      </c>
      <c r="E16" s="1057">
        <v>10</v>
      </c>
      <c r="F16" s="1057">
        <v>10</v>
      </c>
      <c r="G16" s="1057">
        <v>10</v>
      </c>
      <c r="H16" s="1057">
        <v>10</v>
      </c>
    </row>
    <row r="17" spans="1:19" ht="15" x14ac:dyDescent="0.25">
      <c r="A17" s="1050">
        <v>6</v>
      </c>
      <c r="B17" s="1055" t="s">
        <v>762</v>
      </c>
      <c r="C17" s="1056" t="s">
        <v>763</v>
      </c>
      <c r="D17" s="1058" t="s">
        <v>354</v>
      </c>
      <c r="E17" s="1057">
        <v>62</v>
      </c>
      <c r="F17" s="1057">
        <v>62</v>
      </c>
      <c r="G17" s="1057">
        <v>62</v>
      </c>
      <c r="H17" s="1057">
        <v>62</v>
      </c>
    </row>
    <row r="18" spans="1:19" ht="15" x14ac:dyDescent="0.25">
      <c r="A18" s="1050">
        <v>7</v>
      </c>
      <c r="B18" s="1055" t="s">
        <v>764</v>
      </c>
      <c r="C18" s="1056" t="s">
        <v>765</v>
      </c>
      <c r="D18" s="1058" t="s">
        <v>354</v>
      </c>
      <c r="E18" s="1057">
        <v>900</v>
      </c>
      <c r="F18" s="1057">
        <v>900</v>
      </c>
      <c r="G18" s="1057">
        <v>900</v>
      </c>
      <c r="H18" s="1057">
        <v>900</v>
      </c>
    </row>
    <row r="19" spans="1:19" ht="15" x14ac:dyDescent="0.25">
      <c r="A19" s="1050">
        <v>8</v>
      </c>
      <c r="B19" s="1055" t="s">
        <v>766</v>
      </c>
      <c r="C19" s="1056" t="s">
        <v>767</v>
      </c>
      <c r="D19" s="1058" t="s">
        <v>354</v>
      </c>
      <c r="E19" s="1057">
        <v>1190</v>
      </c>
      <c r="F19" s="1057">
        <v>1190</v>
      </c>
      <c r="G19" s="1057">
        <v>1190</v>
      </c>
      <c r="H19" s="1057">
        <v>1190</v>
      </c>
    </row>
    <row r="20" spans="1:19" ht="15" x14ac:dyDescent="0.25">
      <c r="A20" s="1050">
        <v>9</v>
      </c>
      <c r="B20" s="1055" t="s">
        <v>379</v>
      </c>
      <c r="C20" s="1056" t="s">
        <v>768</v>
      </c>
      <c r="D20" s="1058" t="s">
        <v>354</v>
      </c>
      <c r="E20" s="1057">
        <v>1600</v>
      </c>
      <c r="F20" s="1057">
        <v>1600</v>
      </c>
      <c r="G20" s="1057">
        <v>1600</v>
      </c>
      <c r="H20" s="1057">
        <v>1600</v>
      </c>
    </row>
    <row r="21" spans="1:19" ht="31.5" customHeight="1" x14ac:dyDescent="0.25">
      <c r="A21" s="1050">
        <v>10</v>
      </c>
      <c r="B21" s="1059" t="s">
        <v>769</v>
      </c>
      <c r="C21" s="1060" t="s">
        <v>770</v>
      </c>
      <c r="D21" s="1061" t="s">
        <v>354</v>
      </c>
      <c r="E21" s="1062">
        <v>35</v>
      </c>
      <c r="F21" s="1062">
        <v>35</v>
      </c>
      <c r="G21" s="1062">
        <v>35</v>
      </c>
      <c r="H21" s="1062">
        <v>35</v>
      </c>
    </row>
    <row r="22" spans="1:19" ht="15" x14ac:dyDescent="0.25">
      <c r="A22" s="1050">
        <f>A21+1</f>
        <v>11</v>
      </c>
      <c r="B22" s="1056"/>
      <c r="C22" s="1056" t="s">
        <v>771</v>
      </c>
      <c r="D22" s="1053"/>
      <c r="E22" s="1057">
        <v>1844</v>
      </c>
      <c r="F22" s="1057">
        <v>1844</v>
      </c>
      <c r="G22" s="1057">
        <v>1844</v>
      </c>
      <c r="H22" s="1057">
        <v>1844</v>
      </c>
    </row>
    <row r="23" spans="1:19" ht="15" x14ac:dyDescent="0.25">
      <c r="A23" s="1050">
        <v>12</v>
      </c>
      <c r="B23" s="1055" t="s">
        <v>1010</v>
      </c>
      <c r="C23" s="1056" t="s">
        <v>1007</v>
      </c>
      <c r="D23" s="1053" t="s">
        <v>354</v>
      </c>
      <c r="E23" s="1057">
        <v>900</v>
      </c>
      <c r="F23" s="1057">
        <v>900</v>
      </c>
      <c r="G23" s="1057">
        <v>900</v>
      </c>
      <c r="H23" s="1057">
        <v>900</v>
      </c>
    </row>
    <row r="24" spans="1:19" ht="31.5" customHeight="1" x14ac:dyDescent="0.25">
      <c r="A24" s="1050">
        <f t="shared" ref="A24:A68" si="0">A23+1</f>
        <v>13</v>
      </c>
      <c r="B24" s="680" t="s">
        <v>403</v>
      </c>
      <c r="C24" s="1063" t="s">
        <v>404</v>
      </c>
      <c r="D24" s="1064" t="s">
        <v>354</v>
      </c>
      <c r="E24" s="1065">
        <v>40</v>
      </c>
      <c r="F24" s="1065">
        <v>40</v>
      </c>
      <c r="G24" s="1065">
        <v>40</v>
      </c>
      <c r="H24" s="1065">
        <v>40</v>
      </c>
    </row>
    <row r="25" spans="1:19" ht="30" customHeight="1" x14ac:dyDescent="0.25">
      <c r="A25" s="1050">
        <f t="shared" si="0"/>
        <v>14</v>
      </c>
      <c r="B25" s="680" t="s">
        <v>407</v>
      </c>
      <c r="C25" s="1063" t="s">
        <v>772</v>
      </c>
      <c r="D25" s="1064" t="s">
        <v>354</v>
      </c>
      <c r="E25" s="1066">
        <v>210</v>
      </c>
      <c r="F25" s="1066">
        <v>210</v>
      </c>
      <c r="G25" s="1066">
        <v>210</v>
      </c>
      <c r="H25" s="1066">
        <v>210</v>
      </c>
    </row>
    <row r="26" spans="1:19" ht="27" customHeight="1" x14ac:dyDescent="0.25">
      <c r="A26" s="1050">
        <f t="shared" si="0"/>
        <v>15</v>
      </c>
      <c r="B26" s="1059" t="s">
        <v>409</v>
      </c>
      <c r="C26" s="1060" t="s">
        <v>773</v>
      </c>
      <c r="D26" s="1061" t="s">
        <v>354</v>
      </c>
      <c r="E26" s="1062">
        <v>199</v>
      </c>
      <c r="F26" s="1062">
        <v>199</v>
      </c>
      <c r="G26" s="1062">
        <v>199</v>
      </c>
      <c r="H26" s="1062">
        <v>199</v>
      </c>
    </row>
    <row r="27" spans="1:19" ht="26.25" customHeight="1" x14ac:dyDescent="0.25">
      <c r="A27" s="1050">
        <f t="shared" si="0"/>
        <v>16</v>
      </c>
      <c r="B27" s="1059" t="s">
        <v>411</v>
      </c>
      <c r="C27" s="1060" t="s">
        <v>412</v>
      </c>
      <c r="D27" s="1061" t="s">
        <v>354</v>
      </c>
      <c r="E27" s="1062">
        <v>1863</v>
      </c>
      <c r="F27" s="1062">
        <v>1863</v>
      </c>
      <c r="G27" s="1062">
        <v>1863</v>
      </c>
      <c r="H27" s="1062">
        <v>1863</v>
      </c>
    </row>
    <row r="28" spans="1:19" s="1068" customFormat="1" ht="30" customHeight="1" x14ac:dyDescent="0.25">
      <c r="A28" s="1050">
        <f t="shared" si="0"/>
        <v>17</v>
      </c>
      <c r="B28" s="680" t="s">
        <v>1196</v>
      </c>
      <c r="C28" s="1067" t="s">
        <v>1197</v>
      </c>
      <c r="D28" s="1064" t="s">
        <v>354</v>
      </c>
      <c r="E28" s="683">
        <v>5985</v>
      </c>
      <c r="F28" s="683">
        <v>5985</v>
      </c>
      <c r="G28" s="683">
        <v>5985</v>
      </c>
      <c r="H28" s="683">
        <v>5985</v>
      </c>
      <c r="I28" s="684"/>
      <c r="J28" s="684"/>
      <c r="K28" s="684"/>
      <c r="L28" s="684"/>
      <c r="M28" s="684"/>
      <c r="N28" s="684"/>
      <c r="O28" s="684"/>
      <c r="P28" s="684"/>
      <c r="Q28" s="684"/>
      <c r="R28" s="684"/>
      <c r="S28" s="684"/>
    </row>
    <row r="29" spans="1:19" ht="15" x14ac:dyDescent="0.25">
      <c r="A29" s="1050">
        <f t="shared" si="0"/>
        <v>18</v>
      </c>
      <c r="B29" s="1056" t="s">
        <v>419</v>
      </c>
      <c r="C29" s="1056" t="s">
        <v>774</v>
      </c>
      <c r="D29" s="1053" t="s">
        <v>354</v>
      </c>
      <c r="E29" s="1057">
        <v>36</v>
      </c>
      <c r="F29" s="1057">
        <v>36</v>
      </c>
      <c r="G29" s="1057">
        <v>36</v>
      </c>
      <c r="H29" s="1057">
        <v>36</v>
      </c>
    </row>
    <row r="30" spans="1:19" ht="27" customHeight="1" x14ac:dyDescent="0.25">
      <c r="A30" s="1050">
        <f t="shared" si="0"/>
        <v>19</v>
      </c>
      <c r="B30" s="680"/>
      <c r="C30" s="1067" t="s">
        <v>775</v>
      </c>
      <c r="D30" s="1064" t="s">
        <v>354</v>
      </c>
      <c r="E30" s="1066">
        <v>15</v>
      </c>
      <c r="F30" s="1066">
        <v>15</v>
      </c>
      <c r="G30" s="1066">
        <v>15</v>
      </c>
      <c r="H30" s="1066">
        <v>15</v>
      </c>
    </row>
    <row r="31" spans="1:19" ht="35.25" customHeight="1" x14ac:dyDescent="0.25">
      <c r="A31" s="1050">
        <f t="shared" si="0"/>
        <v>20</v>
      </c>
      <c r="B31" s="680" t="s">
        <v>425</v>
      </c>
      <c r="C31" s="1067" t="s">
        <v>426</v>
      </c>
      <c r="D31" s="1064">
        <v>43497</v>
      </c>
      <c r="E31" s="683">
        <v>3553</v>
      </c>
      <c r="F31" s="683">
        <v>3553</v>
      </c>
      <c r="G31" s="683">
        <v>3553</v>
      </c>
      <c r="H31" s="683">
        <v>3553</v>
      </c>
    </row>
    <row r="32" spans="1:19" ht="30.75" customHeight="1" x14ac:dyDescent="0.25">
      <c r="A32" s="1050">
        <f t="shared" si="0"/>
        <v>21</v>
      </c>
      <c r="B32" s="680" t="s">
        <v>776</v>
      </c>
      <c r="C32" s="1067" t="s">
        <v>1198</v>
      </c>
      <c r="D32" s="1064" t="s">
        <v>354</v>
      </c>
      <c r="E32" s="683">
        <v>1920</v>
      </c>
      <c r="F32" s="683">
        <v>1920</v>
      </c>
      <c r="G32" s="683">
        <v>1920</v>
      </c>
      <c r="H32" s="683">
        <v>1920</v>
      </c>
    </row>
    <row r="33" spans="1:19" s="1068" customFormat="1" ht="27.75" customHeight="1" x14ac:dyDescent="0.25">
      <c r="A33" s="1050">
        <f t="shared" si="0"/>
        <v>22</v>
      </c>
      <c r="B33" s="680" t="s">
        <v>776</v>
      </c>
      <c r="C33" s="1067" t="s">
        <v>1199</v>
      </c>
      <c r="D33" s="1064" t="s">
        <v>354</v>
      </c>
      <c r="E33" s="683">
        <v>1800</v>
      </c>
      <c r="F33" s="683">
        <v>1800</v>
      </c>
      <c r="G33" s="683">
        <v>1800</v>
      </c>
      <c r="H33" s="683">
        <v>1800</v>
      </c>
      <c r="I33" s="684"/>
      <c r="J33" s="684"/>
      <c r="K33" s="684"/>
      <c r="L33" s="684"/>
      <c r="M33" s="684"/>
      <c r="N33" s="684"/>
      <c r="O33" s="684"/>
      <c r="P33" s="684"/>
      <c r="Q33" s="684"/>
      <c r="R33" s="684"/>
      <c r="S33" s="684"/>
    </row>
    <row r="34" spans="1:19" ht="27.75" customHeight="1" x14ac:dyDescent="0.25">
      <c r="A34" s="1050">
        <f t="shared" si="0"/>
        <v>23</v>
      </c>
      <c r="B34" s="680" t="s">
        <v>777</v>
      </c>
      <c r="C34" s="1067" t="s">
        <v>778</v>
      </c>
      <c r="D34" s="1064" t="s">
        <v>354</v>
      </c>
      <c r="E34" s="683">
        <v>30</v>
      </c>
      <c r="F34" s="683">
        <v>30</v>
      </c>
      <c r="G34" s="683">
        <v>30</v>
      </c>
      <c r="H34" s="683">
        <v>30</v>
      </c>
    </row>
    <row r="35" spans="1:19" ht="21.75" customHeight="1" x14ac:dyDescent="0.25">
      <c r="A35" s="1050">
        <f t="shared" si="0"/>
        <v>24</v>
      </c>
      <c r="B35" s="680" t="s">
        <v>779</v>
      </c>
      <c r="C35" s="1067" t="s">
        <v>780</v>
      </c>
      <c r="D35" s="1064">
        <v>44196</v>
      </c>
      <c r="E35" s="683">
        <v>153</v>
      </c>
      <c r="F35" s="683">
        <v>153</v>
      </c>
      <c r="G35" s="683">
        <v>153</v>
      </c>
      <c r="H35" s="683">
        <v>153</v>
      </c>
    </row>
    <row r="36" spans="1:19" ht="24.75" customHeight="1" x14ac:dyDescent="0.25">
      <c r="A36" s="1050">
        <f t="shared" si="0"/>
        <v>25</v>
      </c>
      <c r="B36" s="680" t="s">
        <v>781</v>
      </c>
      <c r="C36" s="1067" t="s">
        <v>782</v>
      </c>
      <c r="D36" s="1064" t="s">
        <v>354</v>
      </c>
      <c r="E36" s="683">
        <v>457</v>
      </c>
      <c r="F36" s="683">
        <v>457</v>
      </c>
      <c r="G36" s="683">
        <v>457</v>
      </c>
      <c r="H36" s="683">
        <v>457</v>
      </c>
    </row>
    <row r="37" spans="1:19" ht="28.5" customHeight="1" x14ac:dyDescent="0.25">
      <c r="A37" s="1050">
        <f t="shared" si="0"/>
        <v>26</v>
      </c>
      <c r="B37" s="680" t="s">
        <v>783</v>
      </c>
      <c r="C37" s="1067" t="s">
        <v>985</v>
      </c>
      <c r="D37" s="1064" t="s">
        <v>354</v>
      </c>
      <c r="E37" s="683">
        <v>198</v>
      </c>
      <c r="F37" s="683">
        <v>198</v>
      </c>
      <c r="G37" s="683">
        <v>198</v>
      </c>
      <c r="H37" s="683">
        <v>198</v>
      </c>
    </row>
    <row r="38" spans="1:19" ht="36" customHeight="1" x14ac:dyDescent="0.25">
      <c r="A38" s="1050">
        <f t="shared" si="0"/>
        <v>27</v>
      </c>
      <c r="B38" s="680" t="s">
        <v>784</v>
      </c>
      <c r="C38" s="1067" t="s">
        <v>785</v>
      </c>
      <c r="D38" s="1064" t="s">
        <v>354</v>
      </c>
      <c r="E38" s="683">
        <v>217</v>
      </c>
      <c r="F38" s="683">
        <v>217</v>
      </c>
      <c r="G38" s="683">
        <v>217</v>
      </c>
      <c r="H38" s="683">
        <v>217</v>
      </c>
    </row>
    <row r="39" spans="1:19" ht="26.25" customHeight="1" x14ac:dyDescent="0.25">
      <c r="A39" s="1050">
        <f t="shared" si="0"/>
        <v>28</v>
      </c>
      <c r="B39" s="680" t="s">
        <v>131</v>
      </c>
      <c r="C39" s="1067" t="s">
        <v>786</v>
      </c>
      <c r="D39" s="1064" t="s">
        <v>354</v>
      </c>
      <c r="E39" s="683">
        <v>1200</v>
      </c>
      <c r="F39" s="683">
        <v>1200</v>
      </c>
      <c r="G39" s="683">
        <v>1200</v>
      </c>
      <c r="H39" s="683">
        <v>1200</v>
      </c>
    </row>
    <row r="40" spans="1:19" ht="30.75" customHeight="1" x14ac:dyDescent="0.25">
      <c r="A40" s="1050">
        <f t="shared" si="0"/>
        <v>29</v>
      </c>
      <c r="B40" s="680" t="s">
        <v>787</v>
      </c>
      <c r="C40" s="1067" t="s">
        <v>788</v>
      </c>
      <c r="D40" s="1064">
        <v>43709</v>
      </c>
      <c r="E40" s="683">
        <v>2439</v>
      </c>
      <c r="F40" s="683">
        <v>2439</v>
      </c>
      <c r="G40" s="683">
        <v>2439</v>
      </c>
      <c r="H40" s="683">
        <v>2439</v>
      </c>
    </row>
    <row r="41" spans="1:19" ht="36" customHeight="1" x14ac:dyDescent="0.25">
      <c r="A41" s="1050">
        <f t="shared" si="0"/>
        <v>30</v>
      </c>
      <c r="B41" s="1069" t="s">
        <v>789</v>
      </c>
      <c r="C41" s="1067" t="s">
        <v>790</v>
      </c>
      <c r="D41" s="1064" t="s">
        <v>354</v>
      </c>
      <c r="E41" s="682">
        <v>508</v>
      </c>
      <c r="F41" s="682">
        <v>508</v>
      </c>
      <c r="G41" s="682">
        <v>508</v>
      </c>
      <c r="H41" s="682">
        <v>508</v>
      </c>
    </row>
    <row r="42" spans="1:19" ht="30" customHeight="1" x14ac:dyDescent="0.25">
      <c r="A42" s="1050">
        <f t="shared" si="0"/>
        <v>31</v>
      </c>
      <c r="B42" s="1069"/>
      <c r="C42" s="1067" t="s">
        <v>791</v>
      </c>
      <c r="D42" s="1064" t="s">
        <v>354</v>
      </c>
      <c r="E42" s="682">
        <v>230</v>
      </c>
      <c r="F42" s="682">
        <v>230</v>
      </c>
      <c r="G42" s="682">
        <v>230</v>
      </c>
      <c r="H42" s="682">
        <v>230</v>
      </c>
    </row>
    <row r="43" spans="1:19" ht="15" x14ac:dyDescent="0.25">
      <c r="A43" s="1050">
        <v>32</v>
      </c>
      <c r="B43" s="680" t="s">
        <v>1200</v>
      </c>
      <c r="C43" s="680" t="s">
        <v>792</v>
      </c>
      <c r="D43" s="1064">
        <v>43251</v>
      </c>
      <c r="E43" s="682">
        <v>302</v>
      </c>
      <c r="F43" s="682">
        <v>302</v>
      </c>
      <c r="G43" s="682">
        <v>302</v>
      </c>
      <c r="H43" s="682">
        <v>302</v>
      </c>
    </row>
    <row r="44" spans="1:19" ht="15" x14ac:dyDescent="0.25">
      <c r="A44" s="1050">
        <v>33</v>
      </c>
      <c r="B44" s="680" t="s">
        <v>793</v>
      </c>
      <c r="C44" s="680" t="s">
        <v>794</v>
      </c>
      <c r="D44" s="1064" t="s">
        <v>1201</v>
      </c>
      <c r="E44" s="682">
        <v>10672</v>
      </c>
      <c r="F44" s="682">
        <v>10672</v>
      </c>
      <c r="G44" s="682">
        <v>10672</v>
      </c>
      <c r="H44" s="682"/>
    </row>
    <row r="45" spans="1:19" ht="15" x14ac:dyDescent="0.25">
      <c r="A45" s="1050">
        <f t="shared" si="0"/>
        <v>34</v>
      </c>
      <c r="B45" s="680" t="s">
        <v>795</v>
      </c>
      <c r="C45" s="680" t="s">
        <v>796</v>
      </c>
      <c r="D45" s="1064" t="s">
        <v>354</v>
      </c>
      <c r="E45" s="682">
        <v>5760</v>
      </c>
      <c r="F45" s="682">
        <v>5760</v>
      </c>
      <c r="G45" s="682">
        <v>5760</v>
      </c>
      <c r="H45" s="682">
        <v>5760</v>
      </c>
    </row>
    <row r="46" spans="1:19" ht="15" x14ac:dyDescent="0.25">
      <c r="A46" s="1050">
        <f t="shared" si="0"/>
        <v>35</v>
      </c>
      <c r="B46" s="680" t="s">
        <v>797</v>
      </c>
      <c r="C46" s="680" t="s">
        <v>798</v>
      </c>
      <c r="D46" s="1064" t="s">
        <v>354</v>
      </c>
      <c r="E46" s="682">
        <v>3658</v>
      </c>
      <c r="F46" s="682">
        <v>3658</v>
      </c>
      <c r="G46" s="682">
        <v>3658</v>
      </c>
      <c r="H46" s="682">
        <v>3658</v>
      </c>
    </row>
    <row r="47" spans="1:19" ht="15" x14ac:dyDescent="0.25">
      <c r="A47" s="1050">
        <f t="shared" si="0"/>
        <v>36</v>
      </c>
      <c r="B47" s="680" t="s">
        <v>119</v>
      </c>
      <c r="C47" s="680" t="s">
        <v>800</v>
      </c>
      <c r="D47" s="1064" t="s">
        <v>354</v>
      </c>
      <c r="E47" s="682">
        <v>242</v>
      </c>
      <c r="F47" s="682">
        <v>242</v>
      </c>
      <c r="G47" s="682">
        <v>242</v>
      </c>
      <c r="H47" s="682">
        <v>242</v>
      </c>
    </row>
    <row r="48" spans="1:19" ht="15" x14ac:dyDescent="0.25">
      <c r="A48" s="1050">
        <f t="shared" si="0"/>
        <v>37</v>
      </c>
      <c r="B48" s="680" t="s">
        <v>801</v>
      </c>
      <c r="C48" s="680" t="s">
        <v>802</v>
      </c>
      <c r="D48" s="1064" t="s">
        <v>354</v>
      </c>
      <c r="E48" s="682">
        <v>993</v>
      </c>
      <c r="F48" s="682">
        <v>993</v>
      </c>
      <c r="G48" s="682">
        <v>993</v>
      </c>
      <c r="H48" s="682">
        <v>993</v>
      </c>
    </row>
    <row r="49" spans="1:11" ht="30" x14ac:dyDescent="0.25">
      <c r="A49" s="1050">
        <f t="shared" si="0"/>
        <v>38</v>
      </c>
      <c r="B49" s="1069" t="s">
        <v>803</v>
      </c>
      <c r="C49" s="1067" t="s">
        <v>804</v>
      </c>
      <c r="D49" s="1064" t="s">
        <v>354</v>
      </c>
      <c r="E49" s="682">
        <v>38</v>
      </c>
      <c r="F49" s="682">
        <v>38</v>
      </c>
      <c r="G49" s="682">
        <v>38</v>
      </c>
      <c r="H49" s="682">
        <v>38</v>
      </c>
    </row>
    <row r="50" spans="1:11" ht="15" customHeight="1" x14ac:dyDescent="0.25">
      <c r="A50" s="1050">
        <f t="shared" si="0"/>
        <v>39</v>
      </c>
      <c r="B50" s="680"/>
      <c r="C50" s="680" t="s">
        <v>805</v>
      </c>
      <c r="D50" s="1064" t="s">
        <v>354</v>
      </c>
      <c r="E50" s="682">
        <v>45</v>
      </c>
      <c r="F50" s="682">
        <v>45</v>
      </c>
      <c r="G50" s="682">
        <v>45</v>
      </c>
      <c r="H50" s="682">
        <v>45</v>
      </c>
    </row>
    <row r="51" spans="1:11" ht="15" x14ac:dyDescent="0.25">
      <c r="A51" s="1050">
        <f t="shared" si="0"/>
        <v>40</v>
      </c>
      <c r="B51" s="680" t="s">
        <v>1202</v>
      </c>
      <c r="C51" s="680" t="s">
        <v>806</v>
      </c>
      <c r="D51" s="1064">
        <v>43190</v>
      </c>
      <c r="E51" s="682">
        <v>610</v>
      </c>
      <c r="F51" s="682">
        <v>610</v>
      </c>
      <c r="G51" s="682">
        <v>610</v>
      </c>
      <c r="H51" s="682">
        <v>610</v>
      </c>
    </row>
    <row r="52" spans="1:11" ht="15" x14ac:dyDescent="0.25">
      <c r="A52" s="1050">
        <f t="shared" si="0"/>
        <v>41</v>
      </c>
      <c r="B52" s="680" t="s">
        <v>1203</v>
      </c>
      <c r="C52" s="680" t="s">
        <v>807</v>
      </c>
      <c r="D52" s="1064">
        <v>43190</v>
      </c>
      <c r="E52" s="682">
        <v>610</v>
      </c>
      <c r="F52" s="682">
        <v>610</v>
      </c>
      <c r="G52" s="682">
        <v>610</v>
      </c>
      <c r="H52" s="682">
        <v>610</v>
      </c>
    </row>
    <row r="53" spans="1:11" ht="15" x14ac:dyDescent="0.25">
      <c r="A53" s="1050">
        <f t="shared" si="0"/>
        <v>42</v>
      </c>
      <c r="B53" s="680" t="s">
        <v>808</v>
      </c>
      <c r="C53" s="680" t="s">
        <v>809</v>
      </c>
      <c r="D53" s="1064">
        <v>42825</v>
      </c>
      <c r="E53" s="682">
        <v>210</v>
      </c>
      <c r="F53" s="682">
        <v>210</v>
      </c>
      <c r="G53" s="682">
        <v>210</v>
      </c>
      <c r="H53" s="682">
        <v>210</v>
      </c>
    </row>
    <row r="54" spans="1:11" ht="15" x14ac:dyDescent="0.25">
      <c r="A54" s="1050">
        <f t="shared" si="0"/>
        <v>43</v>
      </c>
      <c r="B54" s="680" t="s">
        <v>810</v>
      </c>
      <c r="C54" s="680" t="s">
        <v>811</v>
      </c>
      <c r="D54" s="1064">
        <v>42855</v>
      </c>
      <c r="E54" s="682">
        <v>972</v>
      </c>
      <c r="F54" s="682">
        <v>972</v>
      </c>
      <c r="G54" s="682">
        <v>972</v>
      </c>
      <c r="H54" s="682">
        <v>972</v>
      </c>
    </row>
    <row r="55" spans="1:11" ht="15" x14ac:dyDescent="0.25">
      <c r="A55" s="1050">
        <f t="shared" si="0"/>
        <v>44</v>
      </c>
      <c r="B55" s="680" t="s">
        <v>799</v>
      </c>
      <c r="C55" s="680" t="s">
        <v>812</v>
      </c>
      <c r="D55" s="1064" t="s">
        <v>354</v>
      </c>
      <c r="E55" s="682">
        <v>486</v>
      </c>
      <c r="F55" s="682">
        <v>486</v>
      </c>
      <c r="G55" s="682">
        <v>486</v>
      </c>
      <c r="H55" s="682">
        <v>486</v>
      </c>
    </row>
    <row r="56" spans="1:11" ht="15.75" x14ac:dyDescent="0.25">
      <c r="A56" s="1050">
        <v>45</v>
      </c>
      <c r="B56" s="1070"/>
      <c r="C56" s="680" t="s">
        <v>813</v>
      </c>
      <c r="D56" s="1071" t="s">
        <v>354</v>
      </c>
      <c r="E56" s="682">
        <v>175</v>
      </c>
      <c r="F56" s="682">
        <v>175</v>
      </c>
      <c r="G56" s="682">
        <v>175</v>
      </c>
      <c r="H56" s="682">
        <v>175</v>
      </c>
    </row>
    <row r="57" spans="1:11" ht="15.75" x14ac:dyDescent="0.25">
      <c r="A57" s="1050">
        <f t="shared" si="0"/>
        <v>46</v>
      </c>
      <c r="B57" s="1070"/>
      <c r="C57" s="680" t="s">
        <v>814</v>
      </c>
      <c r="D57" s="1071" t="s">
        <v>354</v>
      </c>
      <c r="E57" s="682">
        <v>55</v>
      </c>
      <c r="F57" s="682">
        <v>55</v>
      </c>
      <c r="G57" s="682">
        <v>55</v>
      </c>
      <c r="H57" s="682">
        <v>55</v>
      </c>
    </row>
    <row r="58" spans="1:11" ht="15" x14ac:dyDescent="0.25">
      <c r="A58" s="1050">
        <f t="shared" si="0"/>
        <v>47</v>
      </c>
      <c r="B58" s="1070"/>
      <c r="C58" s="680" t="s">
        <v>815</v>
      </c>
      <c r="D58" s="1072">
        <v>45291</v>
      </c>
      <c r="E58" s="682">
        <v>19500</v>
      </c>
      <c r="F58" s="682">
        <v>19500</v>
      </c>
      <c r="G58" s="682">
        <v>19500</v>
      </c>
      <c r="H58" s="682">
        <v>19500</v>
      </c>
    </row>
    <row r="59" spans="1:11" ht="15.75" x14ac:dyDescent="0.25">
      <c r="A59" s="1050">
        <f t="shared" si="0"/>
        <v>48</v>
      </c>
      <c r="B59" s="1070"/>
      <c r="C59" s="680" t="s">
        <v>816</v>
      </c>
      <c r="D59" s="1071" t="s">
        <v>354</v>
      </c>
      <c r="E59" s="682">
        <v>37</v>
      </c>
      <c r="F59" s="682">
        <v>37</v>
      </c>
      <c r="G59" s="682">
        <v>37</v>
      </c>
      <c r="H59" s="682">
        <v>37</v>
      </c>
    </row>
    <row r="60" spans="1:11" ht="15.75" x14ac:dyDescent="0.25">
      <c r="A60" s="1050">
        <f t="shared" si="0"/>
        <v>49</v>
      </c>
      <c r="B60" s="1070"/>
      <c r="C60" s="680" t="s">
        <v>817</v>
      </c>
      <c r="D60" s="1071" t="s">
        <v>354</v>
      </c>
      <c r="E60" s="682">
        <v>53</v>
      </c>
      <c r="F60" s="682">
        <v>53</v>
      </c>
      <c r="G60" s="682">
        <v>53</v>
      </c>
      <c r="H60" s="682">
        <v>53</v>
      </c>
      <c r="K60" s="682"/>
    </row>
    <row r="61" spans="1:11" ht="15.75" x14ac:dyDescent="0.25">
      <c r="A61" s="1050">
        <f t="shared" si="0"/>
        <v>50</v>
      </c>
      <c r="B61" s="1070"/>
      <c r="C61" s="680" t="s">
        <v>818</v>
      </c>
      <c r="D61" s="1071" t="s">
        <v>354</v>
      </c>
      <c r="E61" s="682">
        <v>104</v>
      </c>
      <c r="F61" s="682">
        <v>104</v>
      </c>
      <c r="G61" s="682">
        <v>104</v>
      </c>
      <c r="H61" s="682">
        <v>104</v>
      </c>
    </row>
    <row r="62" spans="1:11" ht="15.75" x14ac:dyDescent="0.25">
      <c r="A62" s="1050">
        <f t="shared" si="0"/>
        <v>51</v>
      </c>
      <c r="B62" s="1070"/>
      <c r="C62" s="680" t="s">
        <v>819</v>
      </c>
      <c r="D62" s="1071" t="s">
        <v>354</v>
      </c>
      <c r="E62" s="682">
        <v>192</v>
      </c>
      <c r="F62" s="682">
        <v>192</v>
      </c>
      <c r="G62" s="682">
        <v>192</v>
      </c>
      <c r="H62" s="682">
        <v>192</v>
      </c>
    </row>
    <row r="63" spans="1:11" ht="15.75" x14ac:dyDescent="0.25">
      <c r="A63" s="1050">
        <f t="shared" si="0"/>
        <v>52</v>
      </c>
      <c r="B63" s="1070"/>
      <c r="C63" s="680" t="s">
        <v>820</v>
      </c>
      <c r="D63" s="1071" t="s">
        <v>354</v>
      </c>
      <c r="E63" s="682">
        <v>134</v>
      </c>
      <c r="F63" s="682">
        <v>134</v>
      </c>
      <c r="G63" s="682">
        <v>134</v>
      </c>
      <c r="H63" s="682">
        <v>134</v>
      </c>
    </row>
    <row r="64" spans="1:11" ht="15.75" x14ac:dyDescent="0.25">
      <c r="A64" s="1050">
        <f t="shared" si="0"/>
        <v>53</v>
      </c>
      <c r="B64" s="1070"/>
      <c r="C64" s="680" t="s">
        <v>821</v>
      </c>
      <c r="D64" s="1071" t="s">
        <v>354</v>
      </c>
      <c r="E64" s="682">
        <v>159</v>
      </c>
      <c r="F64" s="682">
        <v>159</v>
      </c>
      <c r="G64" s="682">
        <v>159</v>
      </c>
      <c r="H64" s="682">
        <v>159</v>
      </c>
    </row>
    <row r="65" spans="1:11" ht="15" x14ac:dyDescent="0.25">
      <c r="A65" s="1050">
        <f t="shared" si="0"/>
        <v>54</v>
      </c>
      <c r="B65" s="1073">
        <v>68360</v>
      </c>
      <c r="C65" s="680" t="s">
        <v>987</v>
      </c>
      <c r="D65" s="1074" t="s">
        <v>354</v>
      </c>
      <c r="E65" s="682">
        <v>1844</v>
      </c>
      <c r="F65" s="682">
        <v>1844</v>
      </c>
      <c r="G65" s="682">
        <v>1844</v>
      </c>
      <c r="H65" s="682">
        <v>1844</v>
      </c>
    </row>
    <row r="66" spans="1:11" ht="15" x14ac:dyDescent="0.25">
      <c r="A66" s="1050">
        <f t="shared" si="0"/>
        <v>55</v>
      </c>
      <c r="B66" s="1075" t="s">
        <v>931</v>
      </c>
      <c r="C66" s="680" t="s">
        <v>932</v>
      </c>
      <c r="D66" s="1072">
        <v>43465</v>
      </c>
      <c r="E66" s="682">
        <v>21000</v>
      </c>
      <c r="F66" s="682">
        <v>21000</v>
      </c>
      <c r="G66" s="682">
        <v>21000</v>
      </c>
      <c r="H66" s="682">
        <v>21000</v>
      </c>
    </row>
    <row r="67" spans="1:11" ht="15" x14ac:dyDescent="0.25">
      <c r="A67" s="1050">
        <f t="shared" si="0"/>
        <v>56</v>
      </c>
      <c r="B67" s="1075" t="s">
        <v>933</v>
      </c>
      <c r="C67" s="680" t="s">
        <v>934</v>
      </c>
      <c r="D67" s="1074" t="s">
        <v>354</v>
      </c>
      <c r="E67" s="682">
        <v>31000</v>
      </c>
      <c r="F67" s="682">
        <v>31000</v>
      </c>
      <c r="G67" s="682">
        <v>31000</v>
      </c>
      <c r="H67" s="682">
        <v>31000</v>
      </c>
      <c r="I67" s="813"/>
    </row>
    <row r="68" spans="1:11" ht="15" x14ac:dyDescent="0.25">
      <c r="A68" s="1050">
        <f t="shared" si="0"/>
        <v>57</v>
      </c>
      <c r="B68" s="1076"/>
      <c r="C68" s="680" t="s">
        <v>935</v>
      </c>
      <c r="D68" s="1074" t="s">
        <v>354</v>
      </c>
      <c r="E68" s="682">
        <v>732</v>
      </c>
      <c r="F68" s="682">
        <v>732</v>
      </c>
      <c r="G68" s="682">
        <v>732</v>
      </c>
      <c r="H68" s="682">
        <v>732</v>
      </c>
      <c r="I68" s="813"/>
    </row>
    <row r="69" spans="1:11" ht="15" x14ac:dyDescent="0.25">
      <c r="A69" s="1050">
        <v>61</v>
      </c>
      <c r="B69" s="1075" t="s">
        <v>1008</v>
      </c>
      <c r="C69" s="680" t="s">
        <v>1009</v>
      </c>
      <c r="D69" s="1074" t="s">
        <v>354</v>
      </c>
      <c r="E69" s="682">
        <v>3277</v>
      </c>
      <c r="F69" s="682">
        <v>3277</v>
      </c>
      <c r="G69" s="682">
        <v>3277</v>
      </c>
      <c r="H69" s="682">
        <v>3277</v>
      </c>
      <c r="I69" s="813"/>
    </row>
    <row r="70" spans="1:11" ht="30" x14ac:dyDescent="0.25">
      <c r="A70" s="1050">
        <v>62</v>
      </c>
      <c r="B70" s="1075" t="s">
        <v>1204</v>
      </c>
      <c r="C70" s="748" t="s">
        <v>1205</v>
      </c>
      <c r="D70" s="1074" t="s">
        <v>354</v>
      </c>
      <c r="E70" s="682">
        <v>600</v>
      </c>
      <c r="F70" s="682">
        <v>600</v>
      </c>
      <c r="G70" s="682">
        <v>600</v>
      </c>
      <c r="H70" s="682">
        <v>600</v>
      </c>
      <c r="I70" s="813"/>
      <c r="J70" s="813"/>
      <c r="K70" s="813"/>
    </row>
    <row r="71" spans="1:11" ht="15" x14ac:dyDescent="0.25">
      <c r="A71" s="1050">
        <v>63</v>
      </c>
      <c r="B71" s="1075" t="s">
        <v>1206</v>
      </c>
      <c r="C71" s="680" t="s">
        <v>1207</v>
      </c>
      <c r="D71" s="1074" t="s">
        <v>354</v>
      </c>
      <c r="E71" s="682">
        <v>283</v>
      </c>
      <c r="F71" s="682">
        <v>283</v>
      </c>
      <c r="G71" s="682">
        <v>283</v>
      </c>
      <c r="H71" s="682">
        <v>283</v>
      </c>
      <c r="I71" s="1077"/>
      <c r="J71" s="1077"/>
      <c r="K71" s="1077"/>
    </row>
    <row r="72" spans="1:11" ht="15" x14ac:dyDescent="0.25">
      <c r="A72" s="1050">
        <v>64</v>
      </c>
      <c r="B72" s="1075" t="s">
        <v>1208</v>
      </c>
      <c r="C72" s="680" t="s">
        <v>1209</v>
      </c>
      <c r="D72" s="1072">
        <v>46727</v>
      </c>
      <c r="E72" s="682"/>
      <c r="F72" s="682"/>
      <c r="G72" s="682">
        <v>155396</v>
      </c>
      <c r="H72" s="682">
        <v>155396</v>
      </c>
      <c r="I72" s="1077"/>
      <c r="J72" s="1077"/>
      <c r="K72" s="1077"/>
    </row>
    <row r="73" spans="1:11" ht="15" x14ac:dyDescent="0.25">
      <c r="A73" s="1050">
        <v>65</v>
      </c>
      <c r="B73" s="1075" t="s">
        <v>1210</v>
      </c>
      <c r="C73" s="680" t="s">
        <v>1211</v>
      </c>
      <c r="D73" s="1072" t="s">
        <v>354</v>
      </c>
      <c r="E73" s="682">
        <v>3000</v>
      </c>
      <c r="F73" s="682">
        <v>3000</v>
      </c>
      <c r="G73" s="682">
        <v>3000</v>
      </c>
      <c r="H73" s="682">
        <v>3000</v>
      </c>
      <c r="I73" s="1077"/>
      <c r="J73" s="1077"/>
      <c r="K73" s="1077"/>
    </row>
    <row r="74" spans="1:11" ht="15" x14ac:dyDescent="0.25">
      <c r="A74" s="1050">
        <v>66</v>
      </c>
      <c r="B74" s="1075" t="s">
        <v>1212</v>
      </c>
      <c r="C74" s="680" t="s">
        <v>1213</v>
      </c>
      <c r="D74" s="1072">
        <v>44105</v>
      </c>
      <c r="E74" s="682">
        <v>350</v>
      </c>
      <c r="F74" s="682">
        <v>350</v>
      </c>
      <c r="G74" s="682">
        <v>263</v>
      </c>
      <c r="H74" s="682">
        <v>0</v>
      </c>
      <c r="I74" s="1077"/>
      <c r="J74" s="1077"/>
      <c r="K74" s="1077"/>
    </row>
    <row r="75" spans="1:11" ht="15.75" x14ac:dyDescent="0.25">
      <c r="A75" s="1050"/>
      <c r="B75" s="1070"/>
      <c r="C75" s="1070"/>
      <c r="D75" s="1078"/>
      <c r="E75" s="1079">
        <f>SUM(E11:E74)</f>
        <v>186649</v>
      </c>
      <c r="F75" s="1080">
        <f>SUM(F12:F74)</f>
        <v>186649</v>
      </c>
      <c r="G75" s="1080">
        <f>SUM(G12:G74)</f>
        <v>341958</v>
      </c>
      <c r="H75" s="1080">
        <f>SUM(H12:H74)</f>
        <v>331023</v>
      </c>
    </row>
  </sheetData>
  <mergeCells count="9">
    <mergeCell ref="A1:H1"/>
    <mergeCell ref="A4:H4"/>
    <mergeCell ref="A5:H5"/>
    <mergeCell ref="A6:H6"/>
    <mergeCell ref="A8:A10"/>
    <mergeCell ref="B9:B10"/>
    <mergeCell ref="C9:C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99" customWidth="1"/>
    <col min="2" max="2" width="27.7109375" style="411" customWidth="1"/>
    <col min="3" max="3" width="47.85546875" style="411" customWidth="1"/>
    <col min="4" max="4" width="9.140625" style="400"/>
    <col min="5" max="5" width="8.7109375" style="411" bestFit="1" customWidth="1"/>
    <col min="6" max="6" width="8.42578125" style="411" bestFit="1" customWidth="1"/>
    <col min="7" max="7" width="8.7109375" style="411" customWidth="1"/>
    <col min="8" max="8" width="8.85546875" style="411" customWidth="1"/>
    <col min="9" max="9" width="9.140625" style="411"/>
    <col min="10" max="16384" width="9.140625" style="402"/>
  </cols>
  <sheetData>
    <row r="1" spans="1:11" ht="14.1" customHeight="1" x14ac:dyDescent="0.25">
      <c r="C1" s="1376" t="s">
        <v>170</v>
      </c>
      <c r="D1" s="1376"/>
      <c r="E1" s="1376"/>
      <c r="F1" s="1376"/>
      <c r="G1" s="1376"/>
      <c r="H1" s="1376"/>
    </row>
    <row r="2" spans="1:11" ht="20.100000000000001" customHeight="1" x14ac:dyDescent="0.25">
      <c r="A2" s="1359" t="s">
        <v>338</v>
      </c>
      <c r="B2" s="1377"/>
      <c r="C2" s="1377"/>
      <c r="D2" s="1377"/>
      <c r="E2" s="1377"/>
      <c r="F2" s="1377"/>
      <c r="G2" s="1377"/>
      <c r="H2" s="1377"/>
    </row>
    <row r="3" spans="1:11" ht="14.1" customHeight="1" x14ac:dyDescent="0.25">
      <c r="A3" s="1359" t="s">
        <v>339</v>
      </c>
      <c r="B3" s="1377"/>
      <c r="C3" s="1377"/>
      <c r="D3" s="1377"/>
      <c r="E3" s="1377"/>
      <c r="F3" s="1377"/>
      <c r="G3" s="1377"/>
      <c r="H3" s="1377"/>
    </row>
    <row r="4" spans="1:11" ht="14.1" customHeight="1" x14ac:dyDescent="0.25">
      <c r="A4" s="1360" t="s">
        <v>55</v>
      </c>
      <c r="B4" s="1378"/>
      <c r="C4" s="1378"/>
      <c r="D4" s="1378"/>
      <c r="E4" s="1378"/>
      <c r="F4" s="1378"/>
      <c r="G4" s="1378"/>
      <c r="H4" s="1378"/>
    </row>
    <row r="5" spans="1:11" ht="14.1" customHeight="1" x14ac:dyDescent="0.25">
      <c r="A5" s="398"/>
      <c r="B5" s="399"/>
      <c r="C5" s="399"/>
      <c r="D5" s="399"/>
      <c r="E5" s="399"/>
      <c r="F5" s="399"/>
      <c r="G5" s="399"/>
      <c r="H5" s="399"/>
    </row>
    <row r="6" spans="1:11" ht="14.1" customHeight="1" x14ac:dyDescent="0.25">
      <c r="A6" s="1368"/>
      <c r="B6" s="401" t="s">
        <v>57</v>
      </c>
      <c r="C6" s="401" t="s">
        <v>58</v>
      </c>
      <c r="D6" s="401" t="s">
        <v>59</v>
      </c>
      <c r="E6" s="401" t="s">
        <v>60</v>
      </c>
      <c r="F6" s="401" t="s">
        <v>499</v>
      </c>
      <c r="G6" s="401" t="s">
        <v>500</v>
      </c>
      <c r="H6" s="401" t="s">
        <v>501</v>
      </c>
      <c r="I6" s="401" t="s">
        <v>629</v>
      </c>
    </row>
    <row r="7" spans="1:11" s="441" customFormat="1" ht="13.5" customHeight="1" x14ac:dyDescent="0.25">
      <c r="A7" s="1368"/>
      <c r="B7" s="1375" t="s">
        <v>340</v>
      </c>
      <c r="C7" s="1379" t="s">
        <v>341</v>
      </c>
      <c r="D7" s="1379" t="s">
        <v>342</v>
      </c>
      <c r="E7" s="1373" t="s">
        <v>343</v>
      </c>
      <c r="F7" s="1374"/>
      <c r="G7" s="1374"/>
      <c r="H7" s="1374"/>
      <c r="I7" s="1375"/>
      <c r="J7" s="440"/>
      <c r="K7" s="440"/>
    </row>
    <row r="8" spans="1:11" s="441" customFormat="1" ht="13.5" customHeight="1" x14ac:dyDescent="0.25">
      <c r="A8" s="1368"/>
      <c r="B8" s="1375"/>
      <c r="C8" s="1379"/>
      <c r="D8" s="1379"/>
      <c r="E8" s="442" t="s">
        <v>344</v>
      </c>
      <c r="F8" s="442" t="s">
        <v>345</v>
      </c>
      <c r="G8" s="442" t="s">
        <v>346</v>
      </c>
      <c r="H8" s="443" t="s">
        <v>347</v>
      </c>
      <c r="I8" s="442" t="s">
        <v>166</v>
      </c>
      <c r="J8" s="444"/>
      <c r="K8" s="444"/>
    </row>
    <row r="9" spans="1:11" s="441" customFormat="1" ht="13.5" customHeight="1" x14ac:dyDescent="0.25">
      <c r="A9" s="409" t="s">
        <v>508</v>
      </c>
      <c r="B9" s="445" t="s">
        <v>348</v>
      </c>
      <c r="C9" s="446"/>
      <c r="D9" s="447"/>
      <c r="E9" s="446"/>
      <c r="F9" s="446"/>
      <c r="G9" s="446"/>
      <c r="H9" s="446"/>
      <c r="I9" s="397"/>
    </row>
    <row r="10" spans="1:11" ht="13.5" customHeight="1" x14ac:dyDescent="0.25">
      <c r="A10" s="409" t="s">
        <v>516</v>
      </c>
      <c r="B10" s="448" t="s">
        <v>349</v>
      </c>
    </row>
    <row r="11" spans="1:11" ht="13.5" customHeight="1" x14ac:dyDescent="0.25">
      <c r="A11" s="409" t="s">
        <v>517</v>
      </c>
      <c r="B11" s="431" t="s">
        <v>350</v>
      </c>
      <c r="C11" s="432" t="s">
        <v>351</v>
      </c>
      <c r="D11" s="433"/>
      <c r="E11" s="432"/>
      <c r="F11" s="432"/>
      <c r="G11" s="432"/>
      <c r="H11" s="432"/>
    </row>
    <row r="12" spans="1:11" ht="13.5" customHeight="1" x14ac:dyDescent="0.25">
      <c r="A12" s="409" t="s">
        <v>518</v>
      </c>
      <c r="B12" s="431" t="s">
        <v>352</v>
      </c>
      <c r="C12" s="432" t="s">
        <v>353</v>
      </c>
      <c r="D12" s="400" t="s">
        <v>354</v>
      </c>
      <c r="E12" s="434">
        <v>300</v>
      </c>
      <c r="F12" s="434">
        <v>300</v>
      </c>
      <c r="G12" s="434">
        <v>300</v>
      </c>
      <c r="H12" s="434">
        <v>300</v>
      </c>
    </row>
    <row r="13" spans="1:11" ht="13.5" customHeight="1" x14ac:dyDescent="0.25">
      <c r="A13" s="409" t="s">
        <v>519</v>
      </c>
      <c r="B13" s="410" t="s">
        <v>355</v>
      </c>
      <c r="C13" s="411" t="s">
        <v>356</v>
      </c>
      <c r="D13" s="400" t="s">
        <v>354</v>
      </c>
      <c r="E13" s="408">
        <v>100</v>
      </c>
      <c r="F13" s="408">
        <v>100</v>
      </c>
      <c r="G13" s="408">
        <v>100</v>
      </c>
      <c r="H13" s="408">
        <v>100</v>
      </c>
      <c r="I13" s="411">
        <v>100</v>
      </c>
    </row>
    <row r="14" spans="1:11" ht="13.5" customHeight="1" x14ac:dyDescent="0.25">
      <c r="A14" s="409" t="s">
        <v>520</v>
      </c>
      <c r="B14" s="410" t="s">
        <v>357</v>
      </c>
      <c r="C14" s="411" t="s">
        <v>358</v>
      </c>
      <c r="D14" s="400" t="s">
        <v>354</v>
      </c>
      <c r="E14" s="408">
        <v>24554</v>
      </c>
      <c r="F14" s="408">
        <v>19393</v>
      </c>
      <c r="G14" s="408"/>
      <c r="H14" s="408">
        <v>24241</v>
      </c>
      <c r="I14" s="411">
        <v>24250</v>
      </c>
    </row>
    <row r="15" spans="1:11" ht="13.5" customHeight="1" x14ac:dyDescent="0.25">
      <c r="A15" s="409" t="s">
        <v>521</v>
      </c>
      <c r="B15" s="410" t="s">
        <v>359</v>
      </c>
      <c r="C15" s="411" t="s">
        <v>360</v>
      </c>
      <c r="D15" s="400" t="s">
        <v>354</v>
      </c>
      <c r="E15" s="408"/>
      <c r="F15" s="408"/>
      <c r="G15" s="408"/>
      <c r="H15" s="408"/>
    </row>
    <row r="16" spans="1:11" ht="13.5" customHeight="1" x14ac:dyDescent="0.25">
      <c r="A16" s="409" t="s">
        <v>522</v>
      </c>
      <c r="B16" s="410" t="s">
        <v>361</v>
      </c>
      <c r="C16" s="411" t="s">
        <v>362</v>
      </c>
      <c r="D16" s="400" t="s">
        <v>354</v>
      </c>
      <c r="E16" s="408">
        <v>17280</v>
      </c>
      <c r="F16" s="408">
        <v>17280</v>
      </c>
      <c r="G16" s="408">
        <v>17280</v>
      </c>
      <c r="H16" s="408">
        <v>17280</v>
      </c>
      <c r="I16" s="411">
        <v>17280</v>
      </c>
    </row>
    <row r="17" spans="1:13" ht="13.5" customHeight="1" x14ac:dyDescent="0.25">
      <c r="A17" s="409" t="s">
        <v>523</v>
      </c>
      <c r="B17" s="410" t="s">
        <v>363</v>
      </c>
      <c r="C17" s="411" t="s">
        <v>364</v>
      </c>
      <c r="D17" s="400" t="s">
        <v>354</v>
      </c>
      <c r="E17" s="408">
        <v>32739</v>
      </c>
      <c r="F17" s="408">
        <v>25858</v>
      </c>
      <c r="G17" s="408"/>
      <c r="H17" s="408">
        <v>27321</v>
      </c>
      <c r="I17" s="411">
        <v>27350</v>
      </c>
    </row>
    <row r="18" spans="1:13" ht="13.5" customHeight="1" x14ac:dyDescent="0.25">
      <c r="A18" s="409" t="s">
        <v>565</v>
      </c>
      <c r="B18" s="410"/>
      <c r="C18" s="411" t="s">
        <v>365</v>
      </c>
      <c r="D18" s="400" t="s">
        <v>354</v>
      </c>
      <c r="E18" s="408"/>
      <c r="F18" s="408"/>
      <c r="G18" s="408"/>
      <c r="H18" s="408"/>
    </row>
    <row r="19" spans="1:13" ht="13.5" customHeight="1" x14ac:dyDescent="0.25">
      <c r="A19" s="409" t="s">
        <v>566</v>
      </c>
      <c r="B19" s="410"/>
      <c r="C19" s="411" t="s">
        <v>366</v>
      </c>
      <c r="D19" s="400" t="s">
        <v>354</v>
      </c>
      <c r="E19" s="408">
        <v>23050</v>
      </c>
      <c r="F19" s="408">
        <v>23050</v>
      </c>
      <c r="G19" s="408">
        <v>23050</v>
      </c>
      <c r="H19" s="408">
        <v>23050</v>
      </c>
      <c r="I19" s="411">
        <v>23050</v>
      </c>
    </row>
    <row r="20" spans="1:13" ht="18" customHeight="1" x14ac:dyDescent="0.25">
      <c r="A20" s="409" t="s">
        <v>567</v>
      </c>
      <c r="B20" s="410" t="s">
        <v>367</v>
      </c>
      <c r="C20" s="411" t="s">
        <v>368</v>
      </c>
      <c r="D20" s="400" t="s">
        <v>354</v>
      </c>
      <c r="E20" s="408">
        <v>9</v>
      </c>
      <c r="F20" s="408">
        <v>9</v>
      </c>
      <c r="G20" s="408">
        <v>9</v>
      </c>
      <c r="H20" s="408">
        <v>9</v>
      </c>
      <c r="I20" s="411">
        <v>9</v>
      </c>
    </row>
    <row r="21" spans="1:13" ht="13.5" customHeight="1" x14ac:dyDescent="0.25">
      <c r="A21" s="409" t="s">
        <v>568</v>
      </c>
      <c r="B21" s="410" t="s">
        <v>369</v>
      </c>
      <c r="C21" s="411" t="s">
        <v>370</v>
      </c>
      <c r="D21" s="400" t="s">
        <v>354</v>
      </c>
      <c r="E21" s="408">
        <v>50</v>
      </c>
      <c r="F21" s="408">
        <v>50</v>
      </c>
      <c r="G21" s="408">
        <v>50</v>
      </c>
      <c r="H21" s="408">
        <v>100</v>
      </c>
      <c r="I21" s="411">
        <v>100</v>
      </c>
    </row>
    <row r="22" spans="1:13" ht="21" customHeight="1" x14ac:dyDescent="0.25">
      <c r="A22" s="409" t="s">
        <v>569</v>
      </c>
      <c r="B22" s="410" t="s">
        <v>371</v>
      </c>
      <c r="C22" s="411" t="s">
        <v>372</v>
      </c>
      <c r="D22" s="412" t="s">
        <v>354</v>
      </c>
      <c r="E22" s="408">
        <v>875</v>
      </c>
      <c r="F22" s="408">
        <v>875</v>
      </c>
      <c r="G22" s="408">
        <v>875</v>
      </c>
      <c r="H22" s="408">
        <v>875</v>
      </c>
      <c r="I22" s="411">
        <v>875</v>
      </c>
    </row>
    <row r="23" spans="1:13" s="404" customFormat="1" ht="30" x14ac:dyDescent="0.25">
      <c r="A23" s="409" t="s">
        <v>570</v>
      </c>
      <c r="B23" s="413" t="s">
        <v>373</v>
      </c>
      <c r="C23" s="435" t="s">
        <v>374</v>
      </c>
      <c r="D23" s="415" t="s">
        <v>354</v>
      </c>
      <c r="E23" s="436">
        <v>129</v>
      </c>
      <c r="F23" s="436">
        <v>129</v>
      </c>
      <c r="G23" s="436">
        <v>129</v>
      </c>
      <c r="H23" s="436">
        <v>193</v>
      </c>
      <c r="I23" s="421">
        <v>193</v>
      </c>
      <c r="J23" s="428"/>
      <c r="K23" s="437"/>
      <c r="M23" s="438"/>
    </row>
    <row r="24" spans="1:13" ht="17.25" customHeight="1" x14ac:dyDescent="0.25">
      <c r="A24" s="409" t="s">
        <v>571</v>
      </c>
      <c r="B24" s="410" t="s">
        <v>117</v>
      </c>
      <c r="C24" s="411" t="s">
        <v>375</v>
      </c>
      <c r="D24" s="412" t="s">
        <v>354</v>
      </c>
      <c r="E24" s="408">
        <v>125</v>
      </c>
      <c r="F24" s="408">
        <v>125</v>
      </c>
      <c r="G24" s="408">
        <v>125</v>
      </c>
      <c r="H24" s="408">
        <v>147</v>
      </c>
      <c r="I24" s="411">
        <v>147</v>
      </c>
    </row>
    <row r="25" spans="1:13" ht="15.75" customHeight="1" x14ac:dyDescent="0.25">
      <c r="A25" s="409" t="s">
        <v>572</v>
      </c>
      <c r="B25" s="410"/>
      <c r="C25" s="411" t="s">
        <v>376</v>
      </c>
      <c r="D25" s="412" t="s">
        <v>354</v>
      </c>
      <c r="E25" s="408">
        <v>54</v>
      </c>
      <c r="F25" s="408">
        <v>54</v>
      </c>
      <c r="G25" s="408">
        <v>54</v>
      </c>
      <c r="H25" s="408">
        <v>54</v>
      </c>
      <c r="I25" s="411">
        <v>54</v>
      </c>
    </row>
    <row r="26" spans="1:13" ht="13.5" customHeight="1" x14ac:dyDescent="0.25">
      <c r="A26" s="409" t="s">
        <v>574</v>
      </c>
      <c r="B26" s="410" t="s">
        <v>377</v>
      </c>
      <c r="C26" s="411" t="s">
        <v>378</v>
      </c>
      <c r="D26" s="412" t="s">
        <v>354</v>
      </c>
      <c r="E26" s="408">
        <v>100</v>
      </c>
      <c r="F26" s="408">
        <v>100</v>
      </c>
      <c r="G26" s="408">
        <v>100</v>
      </c>
      <c r="H26" s="408">
        <v>100</v>
      </c>
      <c r="I26" s="411">
        <v>100</v>
      </c>
    </row>
    <row r="27" spans="1:13" ht="13.5" customHeight="1" x14ac:dyDescent="0.25">
      <c r="A27" s="409" t="s">
        <v>575</v>
      </c>
      <c r="B27" s="410" t="s">
        <v>379</v>
      </c>
      <c r="C27" s="411" t="s">
        <v>380</v>
      </c>
      <c r="D27" s="412" t="s">
        <v>354</v>
      </c>
      <c r="E27" s="408">
        <v>1575</v>
      </c>
      <c r="F27" s="408">
        <v>1575</v>
      </c>
      <c r="G27" s="408">
        <v>1575</v>
      </c>
      <c r="H27" s="408">
        <v>1575</v>
      </c>
      <c r="I27" s="411">
        <v>1575</v>
      </c>
    </row>
    <row r="28" spans="1:13" ht="13.5" customHeight="1" x14ac:dyDescent="0.25">
      <c r="A28" s="409" t="s">
        <v>576</v>
      </c>
      <c r="B28" s="410" t="s">
        <v>381</v>
      </c>
      <c r="C28" s="411" t="s">
        <v>382</v>
      </c>
      <c r="D28" s="412" t="s">
        <v>354</v>
      </c>
      <c r="E28" s="408">
        <v>60</v>
      </c>
      <c r="F28" s="408">
        <v>60</v>
      </c>
      <c r="G28" s="408">
        <v>60</v>
      </c>
      <c r="H28" s="408">
        <v>60</v>
      </c>
      <c r="I28" s="411">
        <v>60</v>
      </c>
    </row>
    <row r="29" spans="1:13" ht="13.5" customHeight="1" x14ac:dyDescent="0.25">
      <c r="A29" s="409" t="s">
        <v>577</v>
      </c>
      <c r="B29" s="410" t="s">
        <v>383</v>
      </c>
      <c r="C29" s="411" t="s">
        <v>384</v>
      </c>
      <c r="D29" s="400" t="s">
        <v>354</v>
      </c>
      <c r="E29" s="408">
        <v>2900</v>
      </c>
      <c r="F29" s="408">
        <v>2900</v>
      </c>
      <c r="G29" s="408">
        <v>2900</v>
      </c>
      <c r="H29" s="408">
        <v>2000</v>
      </c>
      <c r="I29" s="411">
        <v>2000</v>
      </c>
    </row>
    <row r="30" spans="1:13" ht="18" customHeight="1" x14ac:dyDescent="0.25">
      <c r="A30" s="409" t="s">
        <v>578</v>
      </c>
      <c r="B30" s="413" t="s">
        <v>385</v>
      </c>
      <c r="C30" s="414" t="s">
        <v>386</v>
      </c>
      <c r="D30" s="415" t="s">
        <v>354</v>
      </c>
      <c r="E30" s="416">
        <v>383</v>
      </c>
      <c r="F30" s="416">
        <v>383</v>
      </c>
      <c r="G30" s="416">
        <v>383</v>
      </c>
      <c r="H30" s="416">
        <v>250</v>
      </c>
      <c r="I30" s="411">
        <v>250</v>
      </c>
    </row>
    <row r="31" spans="1:13" ht="18" customHeight="1" x14ac:dyDescent="0.25">
      <c r="A31" s="409" t="s">
        <v>579</v>
      </c>
      <c r="B31" s="413"/>
      <c r="C31" s="414" t="s">
        <v>118</v>
      </c>
      <c r="D31" s="415"/>
      <c r="E31" s="416"/>
      <c r="F31" s="416"/>
      <c r="G31" s="416"/>
      <c r="H31" s="416">
        <v>2980</v>
      </c>
      <c r="I31" s="411">
        <v>2980</v>
      </c>
    </row>
    <row r="32" spans="1:13" ht="18" customHeight="1" x14ac:dyDescent="0.25">
      <c r="A32" s="409" t="s">
        <v>580</v>
      </c>
      <c r="B32" s="413" t="s">
        <v>119</v>
      </c>
      <c r="C32" s="414" t="s">
        <v>120</v>
      </c>
      <c r="D32" s="415" t="s">
        <v>354</v>
      </c>
      <c r="E32" s="416"/>
      <c r="F32" s="416"/>
      <c r="G32" s="416">
        <v>248</v>
      </c>
      <c r="H32" s="416">
        <v>248</v>
      </c>
      <c r="I32" s="411">
        <v>248</v>
      </c>
    </row>
    <row r="33" spans="1:13" ht="15.75" x14ac:dyDescent="0.25">
      <c r="A33" s="409" t="s">
        <v>581</v>
      </c>
      <c r="B33" s="411" t="s">
        <v>387</v>
      </c>
      <c r="C33" s="411" t="s">
        <v>388</v>
      </c>
      <c r="D33" s="400" t="s">
        <v>389</v>
      </c>
      <c r="E33" s="411">
        <v>1936</v>
      </c>
      <c r="F33" s="411">
        <v>1718</v>
      </c>
      <c r="G33" s="411">
        <v>1718</v>
      </c>
      <c r="H33" s="411">
        <v>1650</v>
      </c>
      <c r="I33" s="411">
        <v>1650</v>
      </c>
    </row>
    <row r="34" spans="1:13" ht="17.25" customHeight="1" x14ac:dyDescent="0.25">
      <c r="A34" s="409" t="s">
        <v>601</v>
      </c>
      <c r="B34" s="410" t="s">
        <v>390</v>
      </c>
      <c r="C34" s="411" t="s">
        <v>391</v>
      </c>
      <c r="D34" s="400" t="s">
        <v>354</v>
      </c>
      <c r="E34" s="408">
        <v>2500</v>
      </c>
      <c r="F34" s="408">
        <v>2500</v>
      </c>
      <c r="G34" s="408">
        <v>2500</v>
      </c>
      <c r="H34" s="408">
        <v>2500</v>
      </c>
      <c r="I34" s="411">
        <v>2500</v>
      </c>
    </row>
    <row r="35" spans="1:13" ht="20.25" customHeight="1" x14ac:dyDescent="0.25">
      <c r="A35" s="409" t="s">
        <v>602</v>
      </c>
      <c r="B35" s="410" t="s">
        <v>392</v>
      </c>
      <c r="C35" s="411" t="s">
        <v>393</v>
      </c>
      <c r="D35" s="412">
        <v>42124</v>
      </c>
      <c r="E35" s="408">
        <v>1250</v>
      </c>
      <c r="F35" s="408">
        <v>1250</v>
      </c>
      <c r="G35" s="424">
        <v>1250</v>
      </c>
      <c r="H35" s="424">
        <v>312</v>
      </c>
    </row>
    <row r="36" spans="1:13" ht="13.5" customHeight="1" x14ac:dyDescent="0.25">
      <c r="A36" s="409" t="s">
        <v>603</v>
      </c>
      <c r="B36" s="410"/>
      <c r="C36" s="411" t="s">
        <v>394</v>
      </c>
      <c r="D36" s="400" t="s">
        <v>354</v>
      </c>
      <c r="E36" s="408">
        <v>200</v>
      </c>
      <c r="F36" s="408">
        <v>200</v>
      </c>
      <c r="G36" s="408">
        <v>258</v>
      </c>
      <c r="H36" s="408">
        <v>258</v>
      </c>
      <c r="I36" s="411">
        <v>258</v>
      </c>
    </row>
    <row r="37" spans="1:13" ht="13.5" customHeight="1" x14ac:dyDescent="0.25">
      <c r="A37" s="409" t="s">
        <v>604</v>
      </c>
      <c r="B37" s="410" t="s">
        <v>395</v>
      </c>
      <c r="C37" s="411" t="s">
        <v>396</v>
      </c>
      <c r="D37" s="400" t="s">
        <v>354</v>
      </c>
      <c r="E37" s="408">
        <v>994</v>
      </c>
      <c r="F37" s="408">
        <v>994</v>
      </c>
      <c r="G37" s="408">
        <v>994</v>
      </c>
      <c r="H37" s="408">
        <v>994</v>
      </c>
      <c r="I37" s="411">
        <v>971</v>
      </c>
    </row>
    <row r="38" spans="1:13" ht="13.5" customHeight="1" x14ac:dyDescent="0.25">
      <c r="A38" s="409" t="s">
        <v>605</v>
      </c>
      <c r="B38" s="410" t="s">
        <v>121</v>
      </c>
      <c r="C38" s="411" t="s">
        <v>122</v>
      </c>
      <c r="D38" s="400" t="s">
        <v>354</v>
      </c>
      <c r="E38" s="408">
        <v>750</v>
      </c>
      <c r="F38" s="408">
        <v>750</v>
      </c>
      <c r="G38" s="408">
        <v>762</v>
      </c>
      <c r="H38" s="408">
        <v>762</v>
      </c>
      <c r="I38" s="411">
        <v>762</v>
      </c>
    </row>
    <row r="39" spans="1:13" ht="15.75" x14ac:dyDescent="0.25">
      <c r="A39" s="409" t="s">
        <v>606</v>
      </c>
      <c r="B39" s="410" t="s">
        <v>397</v>
      </c>
      <c r="C39" s="411" t="s">
        <v>398</v>
      </c>
      <c r="D39" s="412" t="s">
        <v>354</v>
      </c>
      <c r="E39" s="400">
        <v>330</v>
      </c>
      <c r="F39" s="411">
        <v>330</v>
      </c>
      <c r="G39" s="411">
        <v>330</v>
      </c>
      <c r="H39" s="411">
        <v>330</v>
      </c>
      <c r="I39" s="411">
        <v>330</v>
      </c>
      <c r="K39" s="425"/>
      <c r="M39" s="403"/>
    </row>
    <row r="40" spans="1:13" ht="15.75" x14ac:dyDescent="0.25">
      <c r="A40" s="409" t="s">
        <v>607</v>
      </c>
      <c r="B40" s="410" t="s">
        <v>399</v>
      </c>
      <c r="C40" s="411" t="s">
        <v>400</v>
      </c>
      <c r="D40" s="412" t="s">
        <v>354</v>
      </c>
      <c r="E40" s="400">
        <v>930</v>
      </c>
      <c r="F40" s="411">
        <v>930</v>
      </c>
      <c r="G40" s="411">
        <v>930</v>
      </c>
      <c r="H40" s="411">
        <v>930</v>
      </c>
      <c r="I40" s="411">
        <v>930</v>
      </c>
      <c r="K40" s="425"/>
      <c r="M40" s="403"/>
    </row>
    <row r="41" spans="1:13" ht="15.75" x14ac:dyDescent="0.25">
      <c r="A41" s="409" t="s">
        <v>608</v>
      </c>
      <c r="B41" s="410" t="s">
        <v>123</v>
      </c>
      <c r="C41" s="411" t="s">
        <v>124</v>
      </c>
      <c r="D41" s="412" t="s">
        <v>354</v>
      </c>
      <c r="E41" s="400"/>
      <c r="G41" s="411">
        <v>823</v>
      </c>
      <c r="H41" s="411">
        <v>823</v>
      </c>
      <c r="I41" s="411">
        <v>823</v>
      </c>
      <c r="K41" s="425"/>
      <c r="M41" s="403"/>
    </row>
    <row r="42" spans="1:13" ht="14.1" customHeight="1" x14ac:dyDescent="0.25">
      <c r="A42" s="409" t="s">
        <v>609</v>
      </c>
      <c r="B42" s="411" t="s">
        <v>401</v>
      </c>
      <c r="C42" s="411" t="s">
        <v>402</v>
      </c>
      <c r="D42" s="400" t="s">
        <v>354</v>
      </c>
      <c r="E42" s="411">
        <v>16</v>
      </c>
      <c r="F42" s="411">
        <v>16</v>
      </c>
      <c r="G42" s="411">
        <v>16</v>
      </c>
      <c r="H42" s="411">
        <v>16</v>
      </c>
      <c r="I42" s="411">
        <v>16</v>
      </c>
    </row>
    <row r="43" spans="1:13" s="404" customFormat="1" ht="30" x14ac:dyDescent="0.25">
      <c r="A43" s="409" t="s">
        <v>664</v>
      </c>
      <c r="B43" s="417" t="s">
        <v>403</v>
      </c>
      <c r="C43" s="426" t="s">
        <v>404</v>
      </c>
      <c r="D43" s="419" t="s">
        <v>354</v>
      </c>
      <c r="E43" s="427">
        <v>40</v>
      </c>
      <c r="F43" s="427">
        <v>40</v>
      </c>
      <c r="G43" s="427">
        <v>40</v>
      </c>
      <c r="H43" s="427">
        <v>40</v>
      </c>
      <c r="I43" s="421">
        <v>40</v>
      </c>
      <c r="J43" s="428"/>
      <c r="K43" s="429"/>
      <c r="M43" s="405"/>
    </row>
    <row r="44" spans="1:13" s="404" customFormat="1" ht="18" customHeight="1" x14ac:dyDescent="0.25">
      <c r="A44" s="409" t="s">
        <v>665</v>
      </c>
      <c r="B44" s="417" t="s">
        <v>405</v>
      </c>
      <c r="C44" s="426" t="s">
        <v>406</v>
      </c>
      <c r="D44" s="419" t="s">
        <v>354</v>
      </c>
      <c r="E44" s="427">
        <v>994</v>
      </c>
      <c r="F44" s="427">
        <v>994</v>
      </c>
      <c r="G44" s="427">
        <v>994</v>
      </c>
      <c r="H44" s="421">
        <v>994</v>
      </c>
      <c r="I44" s="421">
        <v>994</v>
      </c>
      <c r="J44" s="428"/>
      <c r="K44" s="429"/>
      <c r="M44" s="405"/>
    </row>
    <row r="45" spans="1:13" s="404" customFormat="1" ht="15.75" x14ac:dyDescent="0.25">
      <c r="A45" s="409" t="s">
        <v>666</v>
      </c>
      <c r="B45" s="417" t="s">
        <v>407</v>
      </c>
      <c r="C45" s="426" t="s">
        <v>408</v>
      </c>
      <c r="D45" s="419" t="s">
        <v>354</v>
      </c>
      <c r="E45" s="427">
        <v>176</v>
      </c>
      <c r="F45" s="427">
        <v>176</v>
      </c>
      <c r="G45" s="427">
        <v>176</v>
      </c>
      <c r="H45" s="421">
        <v>176</v>
      </c>
      <c r="I45" s="421">
        <v>176</v>
      </c>
      <c r="J45" s="428"/>
      <c r="K45" s="429"/>
      <c r="M45" s="405"/>
    </row>
    <row r="46" spans="1:13" ht="13.5" customHeight="1" x14ac:dyDescent="0.25">
      <c r="A46" s="409" t="s">
        <v>667</v>
      </c>
      <c r="B46" s="413" t="s">
        <v>409</v>
      </c>
      <c r="C46" s="414" t="s">
        <v>410</v>
      </c>
      <c r="D46" s="415" t="s">
        <v>354</v>
      </c>
      <c r="E46" s="416">
        <v>199</v>
      </c>
      <c r="F46" s="416">
        <v>199</v>
      </c>
      <c r="G46" s="409">
        <v>199</v>
      </c>
      <c r="H46" s="416">
        <v>199</v>
      </c>
      <c r="I46" s="411">
        <v>199</v>
      </c>
    </row>
    <row r="47" spans="1:13" ht="13.5" customHeight="1" x14ac:dyDescent="0.25">
      <c r="A47" s="409" t="s">
        <v>125</v>
      </c>
      <c r="B47" s="413" t="s">
        <v>411</v>
      </c>
      <c r="C47" s="414" t="s">
        <v>412</v>
      </c>
      <c r="D47" s="415" t="s">
        <v>354</v>
      </c>
      <c r="E47" s="416">
        <v>1863</v>
      </c>
      <c r="F47" s="416">
        <v>1863</v>
      </c>
      <c r="G47" s="416">
        <v>1863</v>
      </c>
      <c r="H47" s="416">
        <v>1863</v>
      </c>
      <c r="I47" s="411">
        <v>1900</v>
      </c>
    </row>
    <row r="48" spans="1:13" ht="13.5" customHeight="1" x14ac:dyDescent="0.25">
      <c r="A48" s="409" t="s">
        <v>693</v>
      </c>
      <c r="B48" s="413" t="s">
        <v>126</v>
      </c>
      <c r="C48" s="414" t="s">
        <v>127</v>
      </c>
      <c r="D48" s="415" t="s">
        <v>354</v>
      </c>
      <c r="E48" s="416"/>
      <c r="F48" s="416"/>
      <c r="G48" s="416">
        <v>29600</v>
      </c>
      <c r="H48" s="416">
        <v>29600</v>
      </c>
      <c r="I48" s="411">
        <v>29600</v>
      </c>
    </row>
    <row r="49" spans="1:13" s="404" customFormat="1" ht="15.75" x14ac:dyDescent="0.25">
      <c r="A49" s="409" t="s">
        <v>694</v>
      </c>
      <c r="B49" s="417" t="s">
        <v>413</v>
      </c>
      <c r="C49" s="418" t="s">
        <v>414</v>
      </c>
      <c r="D49" s="419" t="s">
        <v>354</v>
      </c>
      <c r="E49" s="420">
        <v>3600</v>
      </c>
      <c r="F49" s="420">
        <v>3600</v>
      </c>
      <c r="G49" s="420">
        <v>3600</v>
      </c>
      <c r="H49" s="420">
        <v>6553</v>
      </c>
      <c r="I49" s="421">
        <v>6553</v>
      </c>
      <c r="J49" s="428"/>
      <c r="K49" s="429"/>
      <c r="M49" s="405"/>
    </row>
    <row r="50" spans="1:13" s="404" customFormat="1" ht="15.75" x14ac:dyDescent="0.25">
      <c r="A50" s="409" t="s">
        <v>128</v>
      </c>
      <c r="B50" s="417" t="s">
        <v>415</v>
      </c>
      <c r="C50" s="418" t="s">
        <v>416</v>
      </c>
      <c r="D50" s="419" t="s">
        <v>354</v>
      </c>
      <c r="E50" s="420">
        <v>123</v>
      </c>
      <c r="F50" s="420">
        <v>123</v>
      </c>
      <c r="G50" s="420">
        <v>123</v>
      </c>
      <c r="H50" s="420">
        <v>123</v>
      </c>
      <c r="I50" s="421">
        <v>123</v>
      </c>
      <c r="J50" s="428"/>
      <c r="K50" s="429"/>
      <c r="M50" s="405"/>
    </row>
    <row r="51" spans="1:13" ht="14.1" customHeight="1" x14ac:dyDescent="0.25">
      <c r="A51" s="409" t="s">
        <v>129</v>
      </c>
      <c r="B51" s="411" t="s">
        <v>417</v>
      </c>
      <c r="C51" s="411" t="s">
        <v>418</v>
      </c>
      <c r="D51" s="400" t="s">
        <v>354</v>
      </c>
      <c r="E51" s="411">
        <v>225</v>
      </c>
      <c r="F51" s="411">
        <v>225</v>
      </c>
      <c r="G51" s="411">
        <v>225</v>
      </c>
      <c r="H51" s="411">
        <v>241</v>
      </c>
      <c r="I51" s="411">
        <v>241</v>
      </c>
    </row>
    <row r="52" spans="1:13" ht="14.1" customHeight="1" x14ac:dyDescent="0.25">
      <c r="A52" s="409" t="s">
        <v>130</v>
      </c>
      <c r="B52" s="411" t="s">
        <v>131</v>
      </c>
      <c r="C52" s="411" t="s">
        <v>132</v>
      </c>
      <c r="D52" s="400" t="s">
        <v>455</v>
      </c>
      <c r="G52" s="411">
        <v>600</v>
      </c>
      <c r="H52" s="411">
        <v>1200</v>
      </c>
      <c r="I52" s="411">
        <v>1200</v>
      </c>
    </row>
    <row r="53" spans="1:13" ht="14.1" customHeight="1" x14ac:dyDescent="0.25">
      <c r="A53" s="409" t="s">
        <v>133</v>
      </c>
      <c r="B53" s="411" t="s">
        <v>134</v>
      </c>
      <c r="C53" s="411" t="s">
        <v>135</v>
      </c>
      <c r="D53" s="400" t="s">
        <v>354</v>
      </c>
      <c r="H53" s="411">
        <v>243</v>
      </c>
      <c r="I53" s="411">
        <v>243</v>
      </c>
    </row>
    <row r="54" spans="1:13" ht="14.1" customHeight="1" x14ac:dyDescent="0.25">
      <c r="A54" s="409" t="s">
        <v>136</v>
      </c>
      <c r="B54" s="411" t="s">
        <v>419</v>
      </c>
      <c r="C54" s="411" t="s">
        <v>420</v>
      </c>
      <c r="D54" s="400" t="s">
        <v>354</v>
      </c>
      <c r="E54" s="411">
        <v>26</v>
      </c>
      <c r="F54" s="411">
        <v>26</v>
      </c>
      <c r="G54" s="411">
        <v>26</v>
      </c>
      <c r="H54" s="411">
        <v>26</v>
      </c>
      <c r="I54" s="411">
        <v>26</v>
      </c>
    </row>
    <row r="55" spans="1:13" s="404" customFormat="1" ht="15.75" x14ac:dyDescent="0.25">
      <c r="A55" s="409" t="s">
        <v>137</v>
      </c>
      <c r="B55" s="417" t="s">
        <v>421</v>
      </c>
      <c r="C55" s="418" t="s">
        <v>422</v>
      </c>
      <c r="D55" s="419" t="s">
        <v>354</v>
      </c>
      <c r="E55" s="420">
        <v>5</v>
      </c>
      <c r="F55" s="420">
        <v>5</v>
      </c>
      <c r="G55" s="420">
        <v>5</v>
      </c>
      <c r="H55" s="421">
        <v>5</v>
      </c>
      <c r="I55" s="421">
        <v>5</v>
      </c>
      <c r="J55" s="428"/>
      <c r="K55" s="429"/>
      <c r="M55" s="405"/>
    </row>
    <row r="56" spans="1:13" s="406" customFormat="1" ht="13.5" customHeight="1" x14ac:dyDescent="0.25">
      <c r="A56" s="409" t="s">
        <v>138</v>
      </c>
      <c r="B56" s="417" t="s">
        <v>423</v>
      </c>
      <c r="C56" s="418" t="s">
        <v>424</v>
      </c>
      <c r="D56" s="419" t="s">
        <v>354</v>
      </c>
      <c r="E56" s="420">
        <v>250</v>
      </c>
      <c r="F56" s="420">
        <v>250</v>
      </c>
      <c r="G56" s="420">
        <v>250</v>
      </c>
      <c r="H56" s="420">
        <v>250</v>
      </c>
      <c r="I56" s="421">
        <v>250</v>
      </c>
      <c r="J56" s="422"/>
      <c r="K56" s="423"/>
      <c r="M56" s="407"/>
    </row>
    <row r="57" spans="1:13" s="406" customFormat="1" ht="13.5" customHeight="1" x14ac:dyDescent="0.25">
      <c r="A57" s="409" t="s">
        <v>139</v>
      </c>
      <c r="B57" s="417" t="s">
        <v>140</v>
      </c>
      <c r="C57" s="418" t="s">
        <v>141</v>
      </c>
      <c r="D57" s="419" t="s">
        <v>455</v>
      </c>
      <c r="E57" s="420"/>
      <c r="F57" s="420"/>
      <c r="G57" s="420">
        <v>2439</v>
      </c>
      <c r="H57" s="420">
        <v>3658</v>
      </c>
      <c r="I57" s="421">
        <v>3658</v>
      </c>
      <c r="J57" s="422"/>
      <c r="K57" s="423"/>
      <c r="M57" s="407"/>
    </row>
    <row r="58" spans="1:13" s="406" customFormat="1" ht="13.5" customHeight="1" x14ac:dyDescent="0.25">
      <c r="A58" s="409" t="s">
        <v>142</v>
      </c>
      <c r="B58" s="417" t="s">
        <v>143</v>
      </c>
      <c r="C58" s="418" t="s">
        <v>144</v>
      </c>
      <c r="D58" s="419" t="s">
        <v>455</v>
      </c>
      <c r="E58" s="420"/>
      <c r="F58" s="420"/>
      <c r="G58" s="420">
        <v>2438</v>
      </c>
      <c r="H58" s="420">
        <v>2438</v>
      </c>
      <c r="I58" s="421">
        <v>2438</v>
      </c>
      <c r="J58" s="422"/>
      <c r="K58" s="423"/>
      <c r="M58" s="407"/>
    </row>
    <row r="59" spans="1:13" s="406" customFormat="1" ht="13.5" customHeight="1" x14ac:dyDescent="0.25">
      <c r="A59" s="409" t="s">
        <v>145</v>
      </c>
      <c r="B59" s="417" t="s">
        <v>146</v>
      </c>
      <c r="C59" s="418" t="s">
        <v>147</v>
      </c>
      <c r="D59" s="419" t="s">
        <v>354</v>
      </c>
      <c r="E59" s="420"/>
      <c r="F59" s="420"/>
      <c r="G59" s="420">
        <v>610</v>
      </c>
      <c r="H59" s="420">
        <v>610</v>
      </c>
      <c r="I59" s="421">
        <v>610</v>
      </c>
      <c r="J59" s="422"/>
      <c r="K59" s="423"/>
      <c r="M59" s="407"/>
    </row>
    <row r="60" spans="1:13" s="406" customFormat="1" ht="13.5" customHeight="1" x14ac:dyDescent="0.25">
      <c r="A60" s="409" t="s">
        <v>148</v>
      </c>
      <c r="B60" s="417" t="s">
        <v>425</v>
      </c>
      <c r="C60" s="418" t="s">
        <v>426</v>
      </c>
      <c r="D60" s="419">
        <v>43496</v>
      </c>
      <c r="E60" s="420">
        <v>2865</v>
      </c>
      <c r="F60" s="420">
        <v>2865</v>
      </c>
      <c r="G60" s="420">
        <v>2865</v>
      </c>
      <c r="H60" s="420">
        <v>2865</v>
      </c>
      <c r="I60" s="421">
        <v>2865</v>
      </c>
      <c r="J60" s="422"/>
      <c r="K60" s="423"/>
      <c r="M60" s="407"/>
    </row>
    <row r="61" spans="1:13" s="406" customFormat="1" ht="13.5" customHeight="1" x14ac:dyDescent="0.25">
      <c r="A61" s="409" t="s">
        <v>149</v>
      </c>
      <c r="B61" s="417" t="s">
        <v>150</v>
      </c>
      <c r="C61" s="418" t="s">
        <v>151</v>
      </c>
      <c r="D61" s="419"/>
      <c r="E61" s="420">
        <v>175</v>
      </c>
      <c r="F61" s="420">
        <v>175</v>
      </c>
      <c r="G61" s="420">
        <v>175</v>
      </c>
      <c r="H61" s="420">
        <v>175</v>
      </c>
      <c r="I61" s="421">
        <v>175</v>
      </c>
      <c r="J61" s="422"/>
      <c r="K61" s="423"/>
      <c r="M61" s="407"/>
    </row>
    <row r="62" spans="1:13" s="406" customFormat="1" ht="13.5" customHeight="1" x14ac:dyDescent="0.25">
      <c r="A62" s="409" t="s">
        <v>152</v>
      </c>
      <c r="B62" s="417" t="s">
        <v>427</v>
      </c>
      <c r="C62" s="418" t="s">
        <v>428</v>
      </c>
      <c r="D62" s="419" t="s">
        <v>354</v>
      </c>
      <c r="E62" s="420">
        <v>217</v>
      </c>
      <c r="F62" s="420">
        <v>217</v>
      </c>
      <c r="G62" s="420">
        <v>217</v>
      </c>
      <c r="H62" s="420">
        <v>217</v>
      </c>
      <c r="I62" s="421">
        <v>217</v>
      </c>
      <c r="J62" s="422"/>
      <c r="K62" s="423"/>
      <c r="M62" s="407"/>
    </row>
    <row r="63" spans="1:13" s="406" customFormat="1" ht="13.5" customHeight="1" x14ac:dyDescent="0.25">
      <c r="A63" s="409" t="s">
        <v>153</v>
      </c>
      <c r="B63" s="410" t="s">
        <v>429</v>
      </c>
      <c r="C63" s="430" t="s">
        <v>430</v>
      </c>
      <c r="D63" s="419" t="s">
        <v>354</v>
      </c>
      <c r="E63" s="439">
        <v>15</v>
      </c>
      <c r="F63" s="439">
        <v>15</v>
      </c>
      <c r="G63" s="420">
        <v>15</v>
      </c>
      <c r="H63" s="420">
        <v>15</v>
      </c>
      <c r="I63" s="421">
        <v>15</v>
      </c>
      <c r="J63" s="422"/>
      <c r="K63" s="423"/>
      <c r="M63" s="407"/>
    </row>
    <row r="64" spans="1:13" s="406" customFormat="1" ht="13.5" customHeight="1" x14ac:dyDescent="0.25">
      <c r="A64" s="409" t="s">
        <v>154</v>
      </c>
      <c r="B64" s="410" t="s">
        <v>429</v>
      </c>
      <c r="C64" s="430" t="s">
        <v>431</v>
      </c>
      <c r="D64" s="419" t="s">
        <v>354</v>
      </c>
      <c r="E64" s="439">
        <v>150</v>
      </c>
      <c r="F64" s="439">
        <v>150</v>
      </c>
      <c r="G64" s="420">
        <v>150</v>
      </c>
      <c r="H64" s="420">
        <v>226</v>
      </c>
      <c r="I64" s="421">
        <v>226</v>
      </c>
      <c r="J64" s="422"/>
      <c r="K64" s="423"/>
      <c r="M64" s="407"/>
    </row>
    <row r="65" spans="1:13" s="406" customFormat="1" ht="13.5" customHeight="1" x14ac:dyDescent="0.25">
      <c r="A65" s="409" t="s">
        <v>155</v>
      </c>
      <c r="B65" s="410" t="s">
        <v>432</v>
      </c>
      <c r="C65" s="430" t="s">
        <v>433</v>
      </c>
      <c r="D65" s="419" t="s">
        <v>354</v>
      </c>
      <c r="E65" s="439">
        <v>75</v>
      </c>
      <c r="F65" s="439">
        <v>75</v>
      </c>
      <c r="G65" s="420">
        <v>75</v>
      </c>
      <c r="H65" s="420">
        <v>45</v>
      </c>
      <c r="I65" s="421">
        <v>45</v>
      </c>
      <c r="J65" s="422"/>
      <c r="K65" s="423"/>
      <c r="M65" s="407"/>
    </row>
    <row r="66" spans="1:13" s="406" customFormat="1" ht="13.5" customHeight="1" x14ac:dyDescent="0.25">
      <c r="A66" s="409" t="s">
        <v>156</v>
      </c>
      <c r="B66" s="417"/>
      <c r="C66" s="418" t="s">
        <v>157</v>
      </c>
      <c r="D66" s="419" t="s">
        <v>455</v>
      </c>
      <c r="E66" s="420"/>
      <c r="F66" s="420"/>
      <c r="G66" s="420">
        <v>347</v>
      </c>
      <c r="H66" s="420">
        <v>347</v>
      </c>
      <c r="I66" s="421">
        <v>347</v>
      </c>
      <c r="J66" s="422"/>
      <c r="K66" s="423"/>
      <c r="M66" s="407"/>
    </row>
    <row r="67" spans="1:13" s="406" customFormat="1" ht="13.5" customHeight="1" x14ac:dyDescent="0.25">
      <c r="A67" s="409" t="s">
        <v>158</v>
      </c>
      <c r="B67" s="417" t="s">
        <v>159</v>
      </c>
      <c r="C67" s="418" t="s">
        <v>160</v>
      </c>
      <c r="D67" s="419" t="s">
        <v>455</v>
      </c>
      <c r="E67" s="420"/>
      <c r="F67" s="420"/>
      <c r="G67" s="420">
        <v>54</v>
      </c>
      <c r="H67" s="420">
        <v>216</v>
      </c>
      <c r="I67" s="421">
        <v>216</v>
      </c>
      <c r="J67" s="422"/>
      <c r="K67" s="423"/>
      <c r="M67" s="407"/>
    </row>
    <row r="68" spans="1:13" s="406" customFormat="1" ht="13.5" customHeight="1" x14ac:dyDescent="0.25">
      <c r="A68" s="409" t="s">
        <v>161</v>
      </c>
      <c r="B68" s="417"/>
      <c r="C68" s="418" t="s">
        <v>162</v>
      </c>
      <c r="D68" s="419" t="s">
        <v>455</v>
      </c>
      <c r="E68" s="420"/>
      <c r="F68" s="420"/>
      <c r="G68" s="420">
        <v>380</v>
      </c>
      <c r="H68" s="420">
        <v>380</v>
      </c>
      <c r="I68" s="421">
        <v>380</v>
      </c>
      <c r="J68" s="422"/>
      <c r="K68" s="423"/>
      <c r="M68" s="407"/>
    </row>
    <row r="69" spans="1:13" s="406" customFormat="1" ht="13.5" customHeight="1" x14ac:dyDescent="0.25">
      <c r="A69" s="409" t="s">
        <v>163</v>
      </c>
      <c r="B69" s="417" t="s">
        <v>434</v>
      </c>
      <c r="C69" s="418" t="s">
        <v>435</v>
      </c>
      <c r="D69" s="419" t="s">
        <v>354</v>
      </c>
      <c r="E69" s="420">
        <v>1800</v>
      </c>
      <c r="F69" s="420">
        <v>1800</v>
      </c>
      <c r="G69" s="420">
        <v>1800</v>
      </c>
      <c r="H69" s="420">
        <v>1500</v>
      </c>
      <c r="I69" s="421">
        <v>1500</v>
      </c>
      <c r="J69" s="422"/>
      <c r="K69" s="423"/>
      <c r="M69" s="407"/>
    </row>
    <row r="70" spans="1:13" s="406" customFormat="1" ht="13.5" customHeight="1" x14ac:dyDescent="0.25">
      <c r="A70" s="409" t="s">
        <v>164</v>
      </c>
      <c r="B70" s="417" t="s">
        <v>436</v>
      </c>
      <c r="C70" s="418" t="s">
        <v>437</v>
      </c>
      <c r="D70" s="419" t="s">
        <v>354</v>
      </c>
      <c r="E70" s="420">
        <v>1875</v>
      </c>
      <c r="F70" s="420">
        <v>2000</v>
      </c>
      <c r="G70" s="420">
        <v>2000</v>
      </c>
      <c r="H70" s="420">
        <v>1700</v>
      </c>
      <c r="I70" s="421">
        <v>1700</v>
      </c>
      <c r="J70" s="422"/>
      <c r="K70" s="423"/>
      <c r="M70" s="407"/>
    </row>
    <row r="71" spans="1:13" ht="13.5" customHeight="1" x14ac:dyDescent="0.25">
      <c r="A71" s="409" t="s">
        <v>165</v>
      </c>
      <c r="B71" s="1372" t="s">
        <v>438</v>
      </c>
      <c r="C71" s="1372"/>
      <c r="E71" s="449">
        <f>SUM(E12:E70)</f>
        <v>127862</v>
      </c>
      <c r="F71" s="449">
        <f>SUM(F12:F70)</f>
        <v>115727</v>
      </c>
      <c r="G71" s="449">
        <f>SUM(G12:G70)</f>
        <v>108085</v>
      </c>
      <c r="H71" s="449">
        <f>SUM(H12:H70)</f>
        <v>165363</v>
      </c>
      <c r="I71" s="449">
        <f>SUM(I12:I70)</f>
        <v>164803</v>
      </c>
    </row>
    <row r="72" spans="1:13" ht="9.75" customHeight="1" x14ac:dyDescent="0.25">
      <c r="A72" s="409"/>
      <c r="B72" s="397"/>
      <c r="C72" s="410"/>
      <c r="E72" s="408"/>
      <c r="F72" s="408"/>
      <c r="G72" s="408"/>
      <c r="H72" s="408"/>
    </row>
    <row r="73" spans="1:13" ht="6.75" customHeight="1" x14ac:dyDescent="0.25">
      <c r="E73" s="408"/>
      <c r="F73" s="408"/>
      <c r="G73" s="408"/>
      <c r="H73" s="408"/>
    </row>
    <row r="74" spans="1:13" ht="13.5" customHeight="1" x14ac:dyDescent="0.25">
      <c r="E74" s="408"/>
      <c r="F74" s="408"/>
      <c r="G74" s="408"/>
      <c r="H74" s="408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4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7"/>
  <sheetViews>
    <sheetView zoomScale="120" workbookViewId="0">
      <selection activeCell="B3" sqref="B3:I3"/>
    </sheetView>
  </sheetViews>
  <sheetFormatPr defaultColWidth="9.140625" defaultRowHeight="11.25" x14ac:dyDescent="0.2"/>
  <cols>
    <col min="1" max="1" width="4.85546875" style="157" customWidth="1"/>
    <col min="2" max="2" width="42.85546875" style="157" customWidth="1"/>
    <col min="3" max="3" width="11" style="158" customWidth="1"/>
    <col min="4" max="4" width="11.42578125" style="158" customWidth="1"/>
    <col min="5" max="5" width="12" style="158" customWidth="1"/>
    <col min="6" max="6" width="37" style="158" customWidth="1"/>
    <col min="7" max="7" width="11.140625" style="158" customWidth="1"/>
    <col min="8" max="8" width="12.85546875" style="158" customWidth="1"/>
    <col min="9" max="9" width="16" style="158" customWidth="1"/>
    <col min="10" max="22" width="9.140625" style="157"/>
    <col min="23" max="16384" width="9.140625" style="10"/>
  </cols>
  <sheetData>
    <row r="1" spans="1:22" ht="12.75" customHeight="1" x14ac:dyDescent="0.2">
      <c r="A1" s="1141" t="s">
        <v>1281</v>
      </c>
      <c r="B1" s="1141"/>
      <c r="C1" s="1141"/>
      <c r="D1" s="1141"/>
      <c r="E1" s="1141"/>
      <c r="F1" s="1141"/>
      <c r="G1" s="1141"/>
      <c r="H1" s="1141"/>
      <c r="I1" s="1141"/>
    </row>
    <row r="2" spans="1:22" x14ac:dyDescent="0.2">
      <c r="B2" s="588"/>
      <c r="I2" s="159"/>
    </row>
    <row r="3" spans="1:22" s="122" customFormat="1" x14ac:dyDescent="0.2">
      <c r="A3" s="160"/>
      <c r="B3" s="1144" t="s">
        <v>54</v>
      </c>
      <c r="C3" s="1144"/>
      <c r="D3" s="1144"/>
      <c r="E3" s="1144"/>
      <c r="F3" s="1144"/>
      <c r="G3" s="1144"/>
      <c r="H3" s="1144"/>
      <c r="I3" s="1144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144" t="s">
        <v>1121</v>
      </c>
      <c r="C4" s="1144"/>
      <c r="D4" s="1144"/>
      <c r="E4" s="1144"/>
      <c r="F4" s="1144"/>
      <c r="G4" s="1144"/>
      <c r="H4" s="1144"/>
      <c r="I4" s="1144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ht="12.75" customHeight="1" x14ac:dyDescent="0.2">
      <c r="A5" s="1145" t="s">
        <v>325</v>
      </c>
      <c r="B5" s="1145"/>
      <c r="C5" s="1145"/>
      <c r="D5" s="1145"/>
      <c r="E5" s="1145"/>
      <c r="F5" s="1145"/>
      <c r="G5" s="1145"/>
      <c r="H5" s="1145"/>
      <c r="I5" s="1145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168" t="s">
        <v>56</v>
      </c>
      <c r="B6" s="1150" t="s">
        <v>57</v>
      </c>
      <c r="C6" s="1165" t="s">
        <v>58</v>
      </c>
      <c r="D6" s="1165"/>
      <c r="E6" s="1166"/>
      <c r="F6" s="1" t="s">
        <v>59</v>
      </c>
      <c r="G6" s="1167" t="s">
        <v>60</v>
      </c>
      <c r="H6" s="1167"/>
      <c r="I6" s="1167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169"/>
      <c r="B7" s="1150"/>
      <c r="C7" s="1142" t="s">
        <v>1120</v>
      </c>
      <c r="D7" s="1142"/>
      <c r="E7" s="1143"/>
      <c r="F7" s="2"/>
      <c r="G7" s="1142" t="s">
        <v>1120</v>
      </c>
      <c r="H7" s="1142"/>
      <c r="I7" s="1142"/>
      <c r="J7" s="160"/>
      <c r="K7" s="160"/>
      <c r="L7" s="160"/>
      <c r="M7" s="160"/>
    </row>
    <row r="8" spans="1:22" s="123" customFormat="1" ht="36.6" customHeight="1" x14ac:dyDescent="0.2">
      <c r="A8" s="1170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605"/>
      <c r="K8" s="188"/>
      <c r="L8" s="188"/>
      <c r="M8" s="188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58"/>
      <c r="J9" s="184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64">
        <f t="shared" ref="A10:A42" si="0">A9+1</f>
        <v>2</v>
      </c>
      <c r="B10" s="167"/>
      <c r="C10" s="118"/>
      <c r="D10" s="118"/>
      <c r="E10" s="119"/>
      <c r="F10" s="139"/>
      <c r="G10" s="119"/>
      <c r="H10" s="119"/>
      <c r="I10" s="451"/>
      <c r="J10" s="184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38</v>
      </c>
      <c r="C11" s="118">
        <f>Össz.önkor.mérleg.!C14</f>
        <v>0</v>
      </c>
      <c r="D11" s="118">
        <f>Össz.önkor.mérleg.!D14</f>
        <v>93253</v>
      </c>
      <c r="E11" s="118">
        <f>Össz.önkor.mérleg.!E14</f>
        <v>93253</v>
      </c>
      <c r="F11" s="140" t="s">
        <v>34</v>
      </c>
      <c r="G11" s="173"/>
      <c r="H11" s="173"/>
      <c r="I11" s="453"/>
      <c r="J11" s="184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57" t="s">
        <v>674</v>
      </c>
      <c r="C12" s="118"/>
      <c r="D12" s="168"/>
      <c r="E12" s="168"/>
      <c r="F12" s="139" t="s">
        <v>668</v>
      </c>
      <c r="G12" s="169">
        <f>Össz.önkor.mérleg.!G26</f>
        <v>2015914</v>
      </c>
      <c r="H12" s="169">
        <f>Össz.önkor.mérleg.!H26</f>
        <v>156473</v>
      </c>
      <c r="I12" s="453">
        <f>Össz.önkor.mérleg.!I26</f>
        <v>2172387</v>
      </c>
      <c r="J12" s="184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12" customHeight="1" x14ac:dyDescent="0.2">
      <c r="A13" s="164">
        <f t="shared" si="0"/>
        <v>5</v>
      </c>
      <c r="B13" s="157" t="s">
        <v>43</v>
      </c>
      <c r="C13" s="118"/>
      <c r="D13" s="168"/>
      <c r="E13" s="168"/>
      <c r="F13" s="139" t="s">
        <v>31</v>
      </c>
      <c r="G13" s="169">
        <f>Össz.önkor.mérleg.!G27</f>
        <v>10000</v>
      </c>
      <c r="H13" s="169">
        <f>Össz.önkor.mérleg.!H27</f>
        <v>0</v>
      </c>
      <c r="I13" s="453">
        <f>SUM(G13:H13)</f>
        <v>10000</v>
      </c>
      <c r="J13" s="184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167" t="s">
        <v>44</v>
      </c>
      <c r="C14" s="118">
        <f>Össz.önkor.mérleg.!C17</f>
        <v>0</v>
      </c>
      <c r="D14" s="129">
        <f>Össz.önkor.mérleg.!D23</f>
        <v>6740</v>
      </c>
      <c r="E14" s="118">
        <f>Össz.önkor.mérleg.!E23</f>
        <v>6740</v>
      </c>
      <c r="F14" s="139" t="s">
        <v>32</v>
      </c>
      <c r="G14" s="169">
        <f>Össz.önkor.mérleg.!G28</f>
        <v>0</v>
      </c>
      <c r="H14" s="169">
        <f>Össz.önkor.mérleg.!H28</f>
        <v>0</v>
      </c>
      <c r="I14" s="453">
        <f>SUM(G14:H14)</f>
        <v>0</v>
      </c>
      <c r="J14" s="184"/>
      <c r="N14" s="10"/>
      <c r="O14" s="10"/>
      <c r="P14" s="10"/>
      <c r="Q14" s="10"/>
      <c r="R14" s="10"/>
      <c r="S14" s="10"/>
      <c r="T14" s="10"/>
      <c r="U14" s="10"/>
      <c r="V14" s="10"/>
    </row>
    <row r="15" spans="1:22" x14ac:dyDescent="0.2">
      <c r="A15" s="164">
        <f t="shared" si="0"/>
        <v>7</v>
      </c>
      <c r="B15" s="167" t="s">
        <v>45</v>
      </c>
      <c r="C15" s="118">
        <f>Össz.önkor.mérleg.!C24</f>
        <v>0</v>
      </c>
      <c r="D15" s="118">
        <f>Össz.önkor.mérleg.!D24</f>
        <v>0</v>
      </c>
      <c r="E15" s="118">
        <f>Össz.önkor.mérleg.!E24</f>
        <v>0</v>
      </c>
      <c r="F15" s="139" t="s">
        <v>473</v>
      </c>
      <c r="G15" s="169">
        <f>Össz.önkor.mérleg.!G29</f>
        <v>0</v>
      </c>
      <c r="H15" s="169">
        <f>Össz.önkor.mérleg.!H29</f>
        <v>0</v>
      </c>
      <c r="I15" s="453">
        <f>SUM(G15:H15)</f>
        <v>0</v>
      </c>
      <c r="J15" s="184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16" t="s">
        <v>46</v>
      </c>
      <c r="C16" s="118">
        <f>Össz.önkor.mérleg.!C20</f>
        <v>0</v>
      </c>
      <c r="D16" s="119">
        <f>Össz.önkor.mérleg.!D25</f>
        <v>0</v>
      </c>
      <c r="E16" s="118">
        <f>Össz.önkor.mérleg.!E25</f>
        <v>0</v>
      </c>
      <c r="F16" s="139" t="s">
        <v>470</v>
      </c>
      <c r="G16" s="169">
        <f>Össz.önkor.mérleg.!G30</f>
        <v>33252</v>
      </c>
      <c r="H16" s="169">
        <f>Össz.önkor.mérleg.!H30</f>
        <v>35820</v>
      </c>
      <c r="I16" s="453">
        <f>Össz.önkor.mérleg.!I30</f>
        <v>69072</v>
      </c>
      <c r="J16" s="184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67" t="s">
        <v>47</v>
      </c>
      <c r="C17" s="118">
        <f>Össz.önkor.mérleg.!C21</f>
        <v>0</v>
      </c>
      <c r="D17" s="119"/>
      <c r="E17" s="119"/>
      <c r="F17" s="139" t="s">
        <v>466</v>
      </c>
      <c r="G17" s="169">
        <f>Össz.önkor.mérleg.!G31</f>
        <v>343892</v>
      </c>
      <c r="H17" s="169">
        <f>Össz.önkor.mérleg.!H31</f>
        <v>0</v>
      </c>
      <c r="I17" s="453">
        <f>Össz.önkor.mérleg.!I31</f>
        <v>343892</v>
      </c>
      <c r="J17" s="184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67"/>
      <c r="C18" s="118">
        <f>Össz.önkor.mérleg.!C22</f>
        <v>0</v>
      </c>
      <c r="D18" s="119"/>
      <c r="E18" s="119"/>
      <c r="F18" s="176" t="s">
        <v>68</v>
      </c>
      <c r="G18" s="177">
        <f>SUM(G12:G17)</f>
        <v>2403058</v>
      </c>
      <c r="H18" s="177">
        <f>SUM(H12:H17)</f>
        <v>192293</v>
      </c>
      <c r="I18" s="455">
        <f>SUM(I12:I17)</f>
        <v>2595351</v>
      </c>
      <c r="J18" s="184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57" t="s">
        <v>675</v>
      </c>
      <c r="C19" s="118">
        <f>Össz.önkor.mérleg.!C23</f>
        <v>0</v>
      </c>
      <c r="D19" s="119">
        <f>Össz.önkor.mérleg.!D29</f>
        <v>2870</v>
      </c>
      <c r="E19" s="119">
        <f>Össz.önkor.mérleg.!E29</f>
        <v>2870</v>
      </c>
      <c r="F19" s="139"/>
      <c r="G19" s="169"/>
      <c r="H19" s="169"/>
      <c r="I19" s="451"/>
      <c r="J19" s="184"/>
      <c r="N19" s="10"/>
      <c r="O19" s="10"/>
      <c r="P19" s="10"/>
      <c r="Q19" s="10"/>
      <c r="R19" s="10"/>
      <c r="S19" s="10"/>
      <c r="T19" s="10"/>
      <c r="U19" s="10"/>
      <c r="V19" s="10"/>
    </row>
    <row r="20" spans="1:22" s="124" customFormat="1" x14ac:dyDescent="0.2">
      <c r="A20" s="164">
        <f t="shared" si="0"/>
        <v>12</v>
      </c>
      <c r="B20" s="157"/>
      <c r="C20" s="119"/>
      <c r="D20" s="119"/>
      <c r="E20" s="119"/>
      <c r="F20" s="171"/>
      <c r="G20" s="169"/>
      <c r="H20" s="169"/>
      <c r="I20" s="453"/>
      <c r="J20" s="549"/>
      <c r="K20" s="189"/>
      <c r="L20" s="189"/>
      <c r="M20" s="189"/>
    </row>
    <row r="21" spans="1:22" s="124" customFormat="1" x14ac:dyDescent="0.2">
      <c r="A21" s="164">
        <f t="shared" si="0"/>
        <v>13</v>
      </c>
      <c r="B21" s="174"/>
      <c r="C21" s="168"/>
      <c r="D21" s="168"/>
      <c r="E21" s="168"/>
      <c r="F21" s="171"/>
      <c r="G21" s="169"/>
      <c r="H21" s="169"/>
      <c r="I21" s="453"/>
      <c r="J21" s="549"/>
      <c r="K21" s="189"/>
      <c r="L21" s="189"/>
      <c r="M21" s="189"/>
    </row>
    <row r="22" spans="1:22" x14ac:dyDescent="0.2">
      <c r="A22" s="164">
        <f t="shared" si="0"/>
        <v>14</v>
      </c>
      <c r="B22" s="175" t="s">
        <v>67</v>
      </c>
      <c r="C22" s="125">
        <f>C11+C13+C14+C15+C16+C17+C19</f>
        <v>0</v>
      </c>
      <c r="D22" s="125">
        <f>D11+D13+D14+D15+D16+D17+D19</f>
        <v>102863</v>
      </c>
      <c r="E22" s="125">
        <f>E11+E13+E14+E15+E16+E17+E19</f>
        <v>102863</v>
      </c>
      <c r="F22" s="172"/>
      <c r="G22" s="125"/>
      <c r="H22" s="125"/>
      <c r="I22" s="452"/>
      <c r="J22" s="184"/>
      <c r="N22" s="10"/>
      <c r="O22" s="10"/>
      <c r="P22" s="10"/>
      <c r="Q22" s="10"/>
      <c r="R22" s="10"/>
      <c r="S22" s="10"/>
      <c r="T22" s="10"/>
      <c r="U22" s="10"/>
      <c r="V22" s="10"/>
    </row>
    <row r="23" spans="1:22" x14ac:dyDescent="0.2">
      <c r="A23" s="164">
        <f t="shared" si="0"/>
        <v>15</v>
      </c>
      <c r="B23" s="178" t="s">
        <v>51</v>
      </c>
      <c r="C23" s="173">
        <f>SUM(C21:C22)</f>
        <v>0</v>
      </c>
      <c r="D23" s="173">
        <f>SUM(D21:D22)</f>
        <v>102863</v>
      </c>
      <c r="E23" s="173">
        <f>SUM(E21:E22)</f>
        <v>102863</v>
      </c>
      <c r="F23" s="179" t="s">
        <v>69</v>
      </c>
      <c r="G23" s="173">
        <f>G22+G18</f>
        <v>2403058</v>
      </c>
      <c r="H23" s="173">
        <f>H22+H18</f>
        <v>192293</v>
      </c>
      <c r="I23" s="456">
        <f>I22+I18</f>
        <v>2595351</v>
      </c>
      <c r="J23" s="184"/>
      <c r="N23" s="10"/>
      <c r="O23" s="10"/>
      <c r="P23" s="10"/>
      <c r="Q23" s="10"/>
      <c r="R23" s="10"/>
      <c r="S23" s="10"/>
      <c r="T23" s="10"/>
      <c r="U23" s="10"/>
      <c r="V23" s="10"/>
    </row>
    <row r="24" spans="1:22" x14ac:dyDescent="0.2">
      <c r="A24" s="164">
        <f t="shared" si="0"/>
        <v>16</v>
      </c>
      <c r="B24" s="180"/>
      <c r="C24" s="169"/>
      <c r="D24" s="169"/>
      <c r="E24" s="169"/>
      <c r="F24" s="171"/>
      <c r="I24" s="453"/>
      <c r="J24" s="184"/>
      <c r="N24" s="10"/>
      <c r="O24" s="10"/>
      <c r="P24" s="10"/>
      <c r="Q24" s="10"/>
      <c r="R24" s="10"/>
      <c r="S24" s="10"/>
      <c r="T24" s="10"/>
      <c r="U24" s="10"/>
      <c r="V24" s="10"/>
    </row>
    <row r="25" spans="1:22" x14ac:dyDescent="0.2">
      <c r="A25" s="164">
        <f t="shared" si="0"/>
        <v>17</v>
      </c>
      <c r="B25" s="178" t="s">
        <v>676</v>
      </c>
      <c r="C25" s="173">
        <f>C23-G23</f>
        <v>-2403058</v>
      </c>
      <c r="D25" s="173">
        <f>D23-H23</f>
        <v>-89430</v>
      </c>
      <c r="E25" s="604">
        <f>E23-I23</f>
        <v>-2492488</v>
      </c>
      <c r="F25" s="171"/>
      <c r="I25" s="453"/>
      <c r="J25" s="184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16.5" customHeight="1" x14ac:dyDescent="0.2">
      <c r="A26" s="335">
        <f t="shared" si="0"/>
        <v>18</v>
      </c>
      <c r="B26" s="80"/>
      <c r="C26" s="659"/>
      <c r="D26" s="659"/>
      <c r="E26" s="659"/>
      <c r="F26" s="171"/>
      <c r="I26" s="453"/>
      <c r="J26" s="184"/>
      <c r="N26" s="10"/>
      <c r="O26" s="10"/>
      <c r="P26" s="10"/>
      <c r="Q26" s="10"/>
      <c r="R26" s="10"/>
      <c r="S26" s="10"/>
      <c r="T26" s="10"/>
      <c r="U26" s="10"/>
      <c r="V26" s="10"/>
    </row>
    <row r="27" spans="1:22" s="11" customFormat="1" x14ac:dyDescent="0.2">
      <c r="A27" s="164">
        <f>A26+1</f>
        <v>19</v>
      </c>
      <c r="B27" s="180"/>
      <c r="C27" s="169"/>
      <c r="D27" s="169"/>
      <c r="E27" s="169"/>
      <c r="F27" s="171"/>
      <c r="G27" s="169"/>
      <c r="H27" s="169"/>
      <c r="I27" s="453"/>
      <c r="J27" s="527"/>
      <c r="K27" s="183"/>
      <c r="L27" s="183"/>
      <c r="M27" s="183"/>
    </row>
    <row r="28" spans="1:22" s="11" customFormat="1" x14ac:dyDescent="0.2">
      <c r="A28" s="798">
        <f t="shared" si="0"/>
        <v>20</v>
      </c>
      <c r="B28" s="126" t="s">
        <v>53</v>
      </c>
      <c r="C28" s="126"/>
      <c r="D28" s="126"/>
      <c r="E28" s="126"/>
      <c r="F28" s="140" t="s">
        <v>33</v>
      </c>
      <c r="G28" s="173"/>
      <c r="H28" s="173"/>
      <c r="I28" s="456"/>
      <c r="J28" s="527"/>
      <c r="K28" s="183"/>
      <c r="L28" s="183"/>
      <c r="M28" s="183"/>
    </row>
    <row r="29" spans="1:22" s="11" customFormat="1" x14ac:dyDescent="0.2">
      <c r="A29" s="164">
        <f t="shared" si="0"/>
        <v>21</v>
      </c>
      <c r="B29" s="136" t="s">
        <v>726</v>
      </c>
      <c r="C29" s="126"/>
      <c r="D29" s="126"/>
      <c r="E29" s="126"/>
      <c r="F29" s="181" t="s">
        <v>4</v>
      </c>
      <c r="G29" s="182"/>
      <c r="H29" s="183"/>
      <c r="I29" s="457"/>
      <c r="J29" s="527"/>
      <c r="K29" s="183"/>
      <c r="L29" s="183"/>
      <c r="M29" s="183"/>
    </row>
    <row r="30" spans="1:22" s="11" customFormat="1" x14ac:dyDescent="0.2">
      <c r="A30" s="164">
        <f t="shared" si="0"/>
        <v>22</v>
      </c>
      <c r="B30" s="157" t="s">
        <v>1078</v>
      </c>
      <c r="C30" s="119">
        <f>Össz.önkor.mérleg.!C39</f>
        <v>1243160</v>
      </c>
      <c r="D30" s="119">
        <f>Össz.önkor.mérleg.!D39</f>
        <v>0</v>
      </c>
      <c r="E30" s="119">
        <f>Össz.önkor.mérleg.!E39</f>
        <v>1243160</v>
      </c>
      <c r="F30" s="184" t="s">
        <v>3</v>
      </c>
      <c r="G30" s="173"/>
      <c r="H30" s="173"/>
      <c r="I30" s="456"/>
      <c r="J30" s="527"/>
      <c r="K30" s="183"/>
      <c r="L30" s="183"/>
      <c r="M30" s="183"/>
    </row>
    <row r="31" spans="1:22" x14ac:dyDescent="0.2">
      <c r="A31" s="164">
        <f t="shared" si="0"/>
        <v>23</v>
      </c>
      <c r="B31" s="118" t="s">
        <v>728</v>
      </c>
      <c r="C31" s="185"/>
      <c r="D31" s="137"/>
      <c r="E31" s="137">
        <f>SUM(C31:D31)</f>
        <v>0</v>
      </c>
      <c r="F31" s="139" t="s">
        <v>5</v>
      </c>
      <c r="G31" s="173"/>
      <c r="H31" s="173"/>
      <c r="I31" s="456"/>
      <c r="J31" s="184"/>
      <c r="N31" s="10"/>
      <c r="O31" s="10"/>
      <c r="P31" s="10"/>
      <c r="Q31" s="10"/>
      <c r="R31" s="10"/>
      <c r="S31" s="10"/>
      <c r="T31" s="10"/>
      <c r="U31" s="10"/>
      <c r="V31" s="10"/>
    </row>
    <row r="32" spans="1:22" x14ac:dyDescent="0.2">
      <c r="A32" s="164">
        <f t="shared" si="0"/>
        <v>24</v>
      </c>
      <c r="B32" s="118" t="s">
        <v>727</v>
      </c>
      <c r="C32" s="119"/>
      <c r="D32" s="119"/>
      <c r="E32" s="119"/>
      <c r="F32" s="139" t="s">
        <v>6</v>
      </c>
      <c r="G32" s="182"/>
      <c r="H32" s="182"/>
      <c r="I32" s="456"/>
      <c r="J32" s="184"/>
      <c r="N32" s="10"/>
      <c r="O32" s="10"/>
      <c r="P32" s="10"/>
      <c r="Q32" s="10"/>
      <c r="R32" s="10"/>
      <c r="S32" s="10"/>
      <c r="T32" s="10"/>
      <c r="U32" s="10"/>
      <c r="V32" s="10"/>
    </row>
    <row r="33" spans="1:22" x14ac:dyDescent="0.2">
      <c r="A33" s="164">
        <f t="shared" si="0"/>
        <v>25</v>
      </c>
      <c r="B33" s="118" t="s">
        <v>1152</v>
      </c>
      <c r="C33" s="286">
        <f>-(C25+C30)</f>
        <v>1159898</v>
      </c>
      <c r="D33" s="286">
        <f t="shared" ref="D33:E33" si="1">-(D25+D30)</f>
        <v>89430</v>
      </c>
      <c r="E33" s="286">
        <f t="shared" si="1"/>
        <v>1249328</v>
      </c>
      <c r="F33" s="139" t="s">
        <v>7</v>
      </c>
      <c r="G33" s="182"/>
      <c r="H33" s="182"/>
      <c r="I33" s="456"/>
      <c r="J33" s="184"/>
      <c r="N33" s="10"/>
      <c r="O33" s="10"/>
      <c r="P33" s="10"/>
      <c r="Q33" s="10"/>
      <c r="R33" s="10"/>
      <c r="S33" s="10"/>
      <c r="T33" s="10"/>
      <c r="U33" s="10"/>
      <c r="V33" s="10"/>
    </row>
    <row r="34" spans="1:22" x14ac:dyDescent="0.2">
      <c r="A34" s="164">
        <f t="shared" si="0"/>
        <v>26</v>
      </c>
      <c r="B34" s="119" t="s">
        <v>729</v>
      </c>
      <c r="C34" s="126"/>
      <c r="D34" s="126"/>
      <c r="E34" s="536"/>
      <c r="F34" s="139" t="s">
        <v>9</v>
      </c>
      <c r="G34" s="173"/>
      <c r="H34" s="173"/>
      <c r="I34" s="453"/>
      <c r="J34" s="184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119" t="s">
        <v>730</v>
      </c>
      <c r="C35" s="119"/>
      <c r="D35" s="119"/>
      <c r="E35" s="119"/>
      <c r="F35" s="139" t="s">
        <v>10</v>
      </c>
      <c r="G35" s="169"/>
      <c r="H35" s="169"/>
      <c r="I35" s="453"/>
      <c r="J35" s="184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64">
        <f t="shared" si="0"/>
        <v>28</v>
      </c>
      <c r="B36" s="118" t="s">
        <v>731</v>
      </c>
      <c r="C36" s="119"/>
      <c r="D36" s="119"/>
      <c r="E36" s="119"/>
      <c r="F36" s="139" t="s">
        <v>11</v>
      </c>
      <c r="G36" s="169"/>
      <c r="H36" s="169"/>
      <c r="I36" s="453"/>
      <c r="J36" s="184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64">
        <f t="shared" si="0"/>
        <v>29</v>
      </c>
      <c r="B37" s="118" t="s">
        <v>732</v>
      </c>
      <c r="C37" s="119"/>
      <c r="D37" s="119"/>
      <c r="E37" s="119"/>
      <c r="F37" s="139" t="s">
        <v>12</v>
      </c>
      <c r="G37" s="169"/>
      <c r="H37" s="169"/>
      <c r="I37" s="453"/>
      <c r="J37" s="184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64">
        <f t="shared" si="0"/>
        <v>30</v>
      </c>
      <c r="B38" s="118" t="s">
        <v>0</v>
      </c>
      <c r="C38" s="119"/>
      <c r="D38" s="119"/>
      <c r="E38" s="119"/>
      <c r="F38" s="139" t="s">
        <v>13</v>
      </c>
      <c r="G38" s="169"/>
      <c r="H38" s="169"/>
      <c r="I38" s="453"/>
      <c r="J38" s="184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64">
        <f t="shared" si="0"/>
        <v>31</v>
      </c>
      <c r="B39" s="118" t="s">
        <v>1</v>
      </c>
      <c r="C39" s="119"/>
      <c r="D39" s="119"/>
      <c r="E39" s="119"/>
      <c r="F39" s="139" t="s">
        <v>14</v>
      </c>
      <c r="G39" s="169"/>
      <c r="H39" s="169"/>
      <c r="I39" s="453"/>
      <c r="J39" s="184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64">
        <f t="shared" si="0"/>
        <v>32</v>
      </c>
      <c r="B40" s="118" t="s">
        <v>2</v>
      </c>
      <c r="C40" s="119"/>
      <c r="D40" s="119"/>
      <c r="E40" s="119"/>
      <c r="F40" s="139" t="s">
        <v>15</v>
      </c>
      <c r="G40" s="169"/>
      <c r="H40" s="169"/>
      <c r="I40" s="453"/>
      <c r="J40" s="184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12" thickBot="1" x14ac:dyDescent="0.25">
      <c r="A41" s="164">
        <f t="shared" si="0"/>
        <v>33</v>
      </c>
      <c r="B41" s="178" t="s">
        <v>474</v>
      </c>
      <c r="C41" s="521">
        <f>SUM(C29:C39)</f>
        <v>2403058</v>
      </c>
      <c r="D41" s="521">
        <f>SUM(D29:D39)</f>
        <v>89430</v>
      </c>
      <c r="E41" s="126">
        <f>SUM(E29:E39)</f>
        <v>2492488</v>
      </c>
      <c r="F41" s="140" t="s">
        <v>467</v>
      </c>
      <c r="G41" s="173">
        <f>SUM(G29:G40)</f>
        <v>0</v>
      </c>
      <c r="H41" s="173">
        <f>SUM(H29:H40)</f>
        <v>0</v>
      </c>
      <c r="I41" s="460">
        <f>SUM(I29:I40)</f>
        <v>0</v>
      </c>
      <c r="J41" s="184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2" thickBot="1" x14ac:dyDescent="0.25">
      <c r="A42" s="164">
        <f t="shared" si="0"/>
        <v>34</v>
      </c>
      <c r="B42" s="186" t="s">
        <v>469</v>
      </c>
      <c r="C42" s="1133">
        <f>C23+C26+C41</f>
        <v>2403058</v>
      </c>
      <c r="D42" s="187">
        <f>D23+D26+D41</f>
        <v>192293</v>
      </c>
      <c r="E42" s="187">
        <f>E23+E26+E41</f>
        <v>2595351</v>
      </c>
      <c r="F42" s="518" t="s">
        <v>468</v>
      </c>
      <c r="G42" s="1131">
        <f>G23+G41</f>
        <v>2403058</v>
      </c>
      <c r="H42" s="1131">
        <f>H23+H41</f>
        <v>192293</v>
      </c>
      <c r="I42" s="1132">
        <f>I23+I41</f>
        <v>2595351</v>
      </c>
      <c r="J42" s="184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B43" s="183"/>
      <c r="C43" s="182"/>
      <c r="D43" s="182"/>
      <c r="E43" s="182"/>
      <c r="F43" s="182"/>
      <c r="G43" s="182"/>
      <c r="H43" s="182"/>
      <c r="I43" s="182"/>
      <c r="N43" s="10"/>
      <c r="O43" s="10"/>
      <c r="P43" s="10"/>
      <c r="Q43" s="10"/>
      <c r="R43" s="10"/>
      <c r="S43" s="10"/>
      <c r="T43" s="10"/>
      <c r="U43" s="10"/>
      <c r="V43" s="10"/>
    </row>
    <row r="44" spans="1:22" x14ac:dyDescent="0.2">
      <c r="T44" s="10"/>
      <c r="U44" s="10"/>
      <c r="V44" s="10"/>
    </row>
    <row r="47" spans="1:22" x14ac:dyDescent="0.2">
      <c r="D47" s="169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D23"/>
  <sheetViews>
    <sheetView workbookViewId="0">
      <selection activeCell="B2" sqref="B2:C2"/>
    </sheetView>
  </sheetViews>
  <sheetFormatPr defaultColWidth="9.140625" defaultRowHeight="20.100000000000001" customHeight="1" x14ac:dyDescent="0.25"/>
  <cols>
    <col min="1" max="1" width="5.5703125" style="383" customWidth="1"/>
    <col min="2" max="2" width="71.7109375" style="383" customWidth="1"/>
    <col min="3" max="3" width="13.5703125" style="383" customWidth="1"/>
    <col min="4" max="4" width="9.140625" style="371"/>
    <col min="5" max="16384" width="9.140625" style="372"/>
  </cols>
  <sheetData>
    <row r="2" spans="1:4" ht="20.100000000000001" customHeight="1" x14ac:dyDescent="0.25">
      <c r="A2" s="372"/>
      <c r="B2" s="1380" t="s">
        <v>1222</v>
      </c>
      <c r="C2" s="1380"/>
    </row>
    <row r="3" spans="1:4" ht="20.100000000000001" customHeight="1" x14ac:dyDescent="0.25">
      <c r="A3" s="372"/>
      <c r="B3" s="465"/>
      <c r="C3" s="465"/>
    </row>
    <row r="4" spans="1:4" ht="20.100000000000001" customHeight="1" x14ac:dyDescent="0.25">
      <c r="A4" s="372"/>
      <c r="B4" s="1382" t="s">
        <v>78</v>
      </c>
      <c r="C4" s="1382"/>
    </row>
    <row r="5" spans="1:4" ht="20.100000000000001" customHeight="1" x14ac:dyDescent="0.25">
      <c r="A5" s="372"/>
      <c r="B5" s="1382" t="s">
        <v>1124</v>
      </c>
      <c r="C5" s="1382"/>
    </row>
    <row r="6" spans="1:4" ht="20.100000000000001" customHeight="1" x14ac:dyDescent="0.25">
      <c r="A6" s="372"/>
      <c r="B6" s="1382" t="s">
        <v>439</v>
      </c>
      <c r="C6" s="1382"/>
    </row>
    <row r="7" spans="1:4" s="374" customFormat="1" ht="20.100000000000001" customHeight="1" x14ac:dyDescent="0.25">
      <c r="B7" s="1382"/>
      <c r="C7" s="1382"/>
      <c r="D7" s="373"/>
    </row>
    <row r="8" spans="1:4" s="374" customFormat="1" ht="20.100000000000001" customHeight="1" x14ac:dyDescent="0.25">
      <c r="B8" s="466"/>
      <c r="C8" s="466"/>
      <c r="D8" s="373"/>
    </row>
    <row r="9" spans="1:4" s="376" customFormat="1" ht="20.100000000000001" customHeight="1" x14ac:dyDescent="0.25">
      <c r="B9" s="467"/>
      <c r="C9" s="468" t="s">
        <v>336</v>
      </c>
      <c r="D9" s="375"/>
    </row>
    <row r="10" spans="1:4" ht="20.100000000000001" customHeight="1" x14ac:dyDescent="0.25">
      <c r="A10" s="1381"/>
      <c r="B10" s="469" t="s">
        <v>57</v>
      </c>
      <c r="C10" s="469" t="s">
        <v>58</v>
      </c>
    </row>
    <row r="11" spans="1:4" s="376" customFormat="1" ht="30.75" customHeight="1" x14ac:dyDescent="0.25">
      <c r="A11" s="1381"/>
      <c r="B11" s="470" t="s">
        <v>86</v>
      </c>
      <c r="C11" s="470" t="s">
        <v>440</v>
      </c>
      <c r="D11" s="375"/>
    </row>
    <row r="12" spans="1:4" ht="22.5" customHeight="1" x14ac:dyDescent="0.25">
      <c r="A12" s="471"/>
      <c r="B12" s="372"/>
      <c r="C12" s="372"/>
    </row>
    <row r="13" spans="1:4" ht="51" customHeight="1" x14ac:dyDescent="0.25">
      <c r="A13" s="472" t="s">
        <v>508</v>
      </c>
      <c r="B13" s="473" t="s">
        <v>1191</v>
      </c>
      <c r="C13" s="763">
        <v>169769</v>
      </c>
    </row>
    <row r="14" spans="1:4" ht="20.100000000000001" customHeight="1" x14ac:dyDescent="0.25">
      <c r="A14" s="471"/>
      <c r="B14" s="372"/>
      <c r="C14" s="764"/>
    </row>
    <row r="15" spans="1:4" ht="35.25" customHeight="1" x14ac:dyDescent="0.25">
      <c r="A15" s="472" t="s">
        <v>516</v>
      </c>
      <c r="B15" s="474" t="s">
        <v>1214</v>
      </c>
      <c r="C15" s="763">
        <v>1467</v>
      </c>
    </row>
    <row r="16" spans="1:4" ht="20.100000000000001" customHeight="1" x14ac:dyDescent="0.25">
      <c r="A16" s="471"/>
      <c r="B16" s="372"/>
      <c r="C16" s="764"/>
    </row>
    <row r="17" spans="1:4" ht="36" customHeight="1" x14ac:dyDescent="0.25">
      <c r="A17" s="472" t="s">
        <v>517</v>
      </c>
      <c r="B17" s="475" t="s">
        <v>441</v>
      </c>
      <c r="C17" s="765">
        <v>547</v>
      </c>
    </row>
    <row r="18" spans="1:4" ht="20.100000000000001" customHeight="1" x14ac:dyDescent="0.25">
      <c r="A18" s="471"/>
      <c r="B18" s="476"/>
      <c r="C18" s="764"/>
    </row>
    <row r="19" spans="1:4" s="374" customFormat="1" ht="20.100000000000001" customHeight="1" x14ac:dyDescent="0.25">
      <c r="A19" s="471" t="s">
        <v>518</v>
      </c>
      <c r="B19" s="374" t="s">
        <v>442</v>
      </c>
      <c r="C19" s="766">
        <f>SUM(C13:C18)</f>
        <v>171783</v>
      </c>
      <c r="D19" s="373"/>
    </row>
    <row r="20" spans="1:4" ht="20.100000000000001" customHeight="1" x14ac:dyDescent="0.25">
      <c r="A20" s="372"/>
      <c r="B20" s="372"/>
      <c r="C20" s="764"/>
    </row>
    <row r="21" spans="1:4" ht="20.100000000000001" customHeight="1" x14ac:dyDescent="0.25">
      <c r="C21" s="384"/>
    </row>
    <row r="22" spans="1:4" ht="20.100000000000001" customHeight="1" x14ac:dyDescent="0.25">
      <c r="C22" s="384"/>
    </row>
    <row r="23" spans="1:4" ht="20.100000000000001" customHeight="1" x14ac:dyDescent="0.25">
      <c r="C23" s="384"/>
    </row>
  </sheetData>
  <mergeCells count="6">
    <mergeCell ref="B2:C2"/>
    <mergeCell ref="A10:A11"/>
    <mergeCell ref="B4:C4"/>
    <mergeCell ref="B5:C5"/>
    <mergeCell ref="B6:C6"/>
    <mergeCell ref="B7:C7"/>
  </mergeCells>
  <phoneticPr fontId="94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5"/>
  <sheetViews>
    <sheetView zoomScaleNormal="100" workbookViewId="0">
      <selection activeCell="N28" sqref="N28"/>
    </sheetView>
  </sheetViews>
  <sheetFormatPr defaultColWidth="10.28515625" defaultRowHeight="12.75" x14ac:dyDescent="0.2"/>
  <cols>
    <col min="1" max="1" width="3.140625" style="377" customWidth="1"/>
    <col min="2" max="2" width="29.28515625" style="377" customWidth="1"/>
    <col min="3" max="3" width="16.85546875" style="377" bestFit="1" customWidth="1"/>
    <col min="4" max="4" width="15.5703125" style="377" customWidth="1"/>
    <col min="5" max="5" width="9.85546875" style="377" bestFit="1" customWidth="1"/>
    <col min="6" max="6" width="12.85546875" style="377" customWidth="1"/>
    <col min="7" max="8" width="14.5703125" style="377" customWidth="1"/>
    <col min="9" max="9" width="10.7109375" style="377" customWidth="1"/>
    <col min="10" max="10" width="10.5703125" style="377" customWidth="1"/>
    <col min="11" max="11" width="10.28515625" style="377" customWidth="1"/>
    <col min="12" max="12" width="10.28515625" style="377"/>
    <col min="13" max="16384" width="10.28515625" style="382"/>
  </cols>
  <sheetData>
    <row r="1" spans="1:12" s="377" customFormat="1" x14ac:dyDescent="0.2">
      <c r="A1" s="1383" t="s">
        <v>1223</v>
      </c>
      <c r="B1" s="1383"/>
      <c r="C1" s="1383"/>
      <c r="D1" s="1383"/>
      <c r="E1" s="1383"/>
      <c r="F1" s="1383"/>
      <c r="G1" s="1383"/>
      <c r="H1" s="1383"/>
      <c r="I1" s="1383"/>
      <c r="J1" s="1383"/>
    </row>
    <row r="2" spans="1:12" s="377" customFormat="1" ht="14.1" customHeight="1" x14ac:dyDescent="0.2"/>
    <row r="3" spans="1:12" s="377" customFormat="1" ht="15" customHeight="1" x14ac:dyDescent="0.25">
      <c r="B3" s="1385" t="s">
        <v>78</v>
      </c>
      <c r="C3" s="1385"/>
      <c r="D3" s="1385"/>
      <c r="E3" s="1385"/>
      <c r="F3" s="1385"/>
      <c r="G3" s="1385"/>
      <c r="H3" s="1385"/>
      <c r="I3" s="1385"/>
      <c r="J3" s="1385"/>
    </row>
    <row r="4" spans="1:12" s="377" customFormat="1" ht="15" customHeight="1" x14ac:dyDescent="0.25">
      <c r="B4" s="1385" t="s">
        <v>1124</v>
      </c>
      <c r="C4" s="1385"/>
      <c r="D4" s="1385"/>
      <c r="E4" s="1385"/>
      <c r="F4" s="1385"/>
      <c r="G4" s="1385"/>
      <c r="H4" s="1385"/>
      <c r="I4" s="1385"/>
      <c r="J4" s="1385"/>
    </row>
    <row r="5" spans="1:12" s="377" customFormat="1" ht="15" customHeight="1" x14ac:dyDescent="0.25">
      <c r="B5" s="1385" t="s">
        <v>443</v>
      </c>
      <c r="C5" s="1385"/>
      <c r="D5" s="1385"/>
      <c r="E5" s="1385"/>
      <c r="F5" s="1385"/>
      <c r="G5" s="1385"/>
      <c r="H5" s="1385"/>
      <c r="I5" s="1385"/>
      <c r="J5" s="1385"/>
    </row>
    <row r="6" spans="1:12" s="377" customFormat="1" ht="15" customHeight="1" x14ac:dyDescent="0.25">
      <c r="B6" s="1385"/>
      <c r="C6" s="1385"/>
      <c r="D6" s="1385"/>
      <c r="E6" s="1385"/>
      <c r="F6" s="1385"/>
      <c r="G6" s="1385"/>
      <c r="H6" s="1385"/>
      <c r="I6" s="1385"/>
      <c r="J6" s="1385"/>
    </row>
    <row r="7" spans="1:12" s="377" customFormat="1" ht="15" customHeight="1" x14ac:dyDescent="0.25">
      <c r="B7" s="1393" t="s">
        <v>336</v>
      </c>
      <c r="C7" s="1393"/>
      <c r="D7" s="1393"/>
      <c r="E7" s="1393"/>
      <c r="F7" s="1393"/>
      <c r="G7" s="1393"/>
      <c r="H7" s="1393"/>
      <c r="I7" s="1393"/>
      <c r="J7" s="1393"/>
    </row>
    <row r="8" spans="1:12" s="378" customFormat="1" ht="14.1" customHeight="1" x14ac:dyDescent="0.25">
      <c r="A8" s="1384"/>
      <c r="B8" s="1039" t="s">
        <v>57</v>
      </c>
      <c r="C8" s="1039" t="s">
        <v>58</v>
      </c>
      <c r="D8" s="1039" t="s">
        <v>59</v>
      </c>
      <c r="E8" s="1039" t="s">
        <v>60</v>
      </c>
      <c r="F8" s="1039" t="s">
        <v>499</v>
      </c>
      <c r="G8" s="1039" t="s">
        <v>500</v>
      </c>
      <c r="H8" s="1039" t="s">
        <v>501</v>
      </c>
      <c r="I8" s="1039" t="s">
        <v>629</v>
      </c>
      <c r="J8" s="1039" t="s">
        <v>640</v>
      </c>
    </row>
    <row r="9" spans="1:12" s="379" customFormat="1" ht="17.25" customHeight="1" x14ac:dyDescent="0.25">
      <c r="A9" s="1384"/>
      <c r="B9" s="1387" t="s">
        <v>86</v>
      </c>
      <c r="C9" s="1389" t="s">
        <v>444</v>
      </c>
      <c r="D9" s="1389" t="s">
        <v>1192</v>
      </c>
      <c r="E9" s="1387" t="s">
        <v>445</v>
      </c>
      <c r="F9" s="1391" t="s">
        <v>446</v>
      </c>
      <c r="G9" s="1387" t="s">
        <v>447</v>
      </c>
      <c r="H9" s="1389" t="s">
        <v>968</v>
      </c>
      <c r="I9" s="1386" t="s">
        <v>448</v>
      </c>
      <c r="J9" s="1386"/>
    </row>
    <row r="10" spans="1:12" s="379" customFormat="1" ht="30" customHeight="1" x14ac:dyDescent="0.25">
      <c r="A10" s="1384"/>
      <c r="B10" s="1388"/>
      <c r="C10" s="1390"/>
      <c r="D10" s="1390"/>
      <c r="E10" s="1388"/>
      <c r="F10" s="1392"/>
      <c r="G10" s="1388"/>
      <c r="H10" s="1390"/>
      <c r="I10" s="1039" t="s">
        <v>449</v>
      </c>
      <c r="J10" s="1039" t="s">
        <v>450</v>
      </c>
    </row>
    <row r="11" spans="1:12" s="378" customFormat="1" ht="16.5" customHeight="1" x14ac:dyDescent="0.25">
      <c r="A11" s="380" t="s">
        <v>508</v>
      </c>
      <c r="B11" s="386" t="s">
        <v>451</v>
      </c>
    </row>
    <row r="12" spans="1:12" s="378" customFormat="1" ht="15" customHeight="1" x14ac:dyDescent="0.25">
      <c r="A12" s="380" t="s">
        <v>516</v>
      </c>
      <c r="B12" s="378" t="s">
        <v>452</v>
      </c>
      <c r="C12" s="387"/>
      <c r="D12" s="387"/>
      <c r="E12" s="388"/>
      <c r="F12" s="388"/>
      <c r="G12" s="388"/>
      <c r="H12" s="387"/>
      <c r="I12" s="388"/>
      <c r="J12" s="388"/>
    </row>
    <row r="13" spans="1:12" s="378" customFormat="1" ht="15" customHeight="1" x14ac:dyDescent="0.25">
      <c r="A13" s="380" t="s">
        <v>517</v>
      </c>
      <c r="B13" s="389" t="s">
        <v>453</v>
      </c>
      <c r="C13" s="390">
        <v>500</v>
      </c>
      <c r="D13" s="391">
        <v>75</v>
      </c>
      <c r="E13" s="392" t="s">
        <v>454</v>
      </c>
      <c r="F13" s="392" t="s">
        <v>455</v>
      </c>
      <c r="G13" s="392" t="s">
        <v>455</v>
      </c>
      <c r="H13" s="391">
        <v>50</v>
      </c>
      <c r="I13" s="393">
        <v>0</v>
      </c>
      <c r="J13" s="392" t="s">
        <v>456</v>
      </c>
    </row>
    <row r="14" spans="1:12" s="379" customFormat="1" ht="15" customHeight="1" x14ac:dyDescent="0.25">
      <c r="A14" s="380" t="s">
        <v>518</v>
      </c>
      <c r="B14" s="389" t="s">
        <v>457</v>
      </c>
      <c r="C14" s="390">
        <v>25130</v>
      </c>
      <c r="D14" s="390">
        <v>15303</v>
      </c>
      <c r="E14" s="392" t="s">
        <v>454</v>
      </c>
      <c r="F14" s="392" t="s">
        <v>455</v>
      </c>
      <c r="G14" s="392" t="s">
        <v>455</v>
      </c>
      <c r="H14" s="390">
        <v>2508</v>
      </c>
      <c r="I14" s="393">
        <v>0</v>
      </c>
      <c r="J14" s="392" t="s">
        <v>456</v>
      </c>
    </row>
    <row r="15" spans="1:12" s="381" customFormat="1" ht="16.5" customHeight="1" x14ac:dyDescent="0.25">
      <c r="A15" s="380" t="s">
        <v>519</v>
      </c>
      <c r="B15" s="379" t="s">
        <v>458</v>
      </c>
      <c r="C15" s="394">
        <f>SUM(C13:C14)</f>
        <v>25630</v>
      </c>
      <c r="D15" s="394">
        <f>SUM(D13:D14)</f>
        <v>15378</v>
      </c>
      <c r="E15" s="395"/>
      <c r="F15" s="395"/>
      <c r="G15" s="395"/>
      <c r="H15" s="394">
        <f>SUM(H13:H14)</f>
        <v>2558</v>
      </c>
      <c r="I15" s="393"/>
      <c r="J15" s="392" t="s">
        <v>456</v>
      </c>
      <c r="K15" s="378"/>
      <c r="L15" s="378"/>
    </row>
  </sheetData>
  <mergeCells count="15">
    <mergeCell ref="A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4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V100"/>
  <sheetViews>
    <sheetView topLeftCell="A73" workbookViewId="0">
      <selection activeCell="M16" sqref="M16"/>
    </sheetView>
  </sheetViews>
  <sheetFormatPr defaultColWidth="61.7109375" defaultRowHeight="12" x14ac:dyDescent="0.2"/>
  <cols>
    <col min="1" max="1" width="61.7109375" style="192" customWidth="1"/>
    <col min="2" max="2" width="9.85546875" style="192" hidden="1" customWidth="1"/>
    <col min="3" max="3" width="11.7109375" style="192" hidden="1" customWidth="1"/>
    <col min="4" max="4" width="9.85546875" style="192" hidden="1" customWidth="1"/>
    <col min="5" max="5" width="15.85546875" style="196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171" t="s">
        <v>1215</v>
      </c>
      <c r="B1" s="1171"/>
      <c r="C1" s="1171"/>
      <c r="D1" s="1171"/>
      <c r="E1" s="1171"/>
      <c r="F1" s="1171"/>
      <c r="G1" s="1171"/>
      <c r="H1" s="1171"/>
      <c r="I1" s="1171"/>
    </row>
    <row r="2" spans="1:256" x14ac:dyDescent="0.2">
      <c r="F2" s="1181"/>
      <c r="G2" s="1181"/>
      <c r="H2" s="1181"/>
      <c r="I2" s="1181"/>
    </row>
    <row r="4" spans="1:256" ht="30" customHeight="1" x14ac:dyDescent="0.2">
      <c r="A4" s="1182" t="s">
        <v>78</v>
      </c>
      <c r="B4" s="1182"/>
      <c r="C4" s="1182"/>
      <c r="D4" s="1182"/>
      <c r="E4" s="1182"/>
      <c r="F4" s="1183"/>
      <c r="G4" s="1183"/>
      <c r="H4" s="1183"/>
      <c r="I4" s="1183"/>
    </row>
    <row r="5" spans="1:256" ht="33" customHeight="1" x14ac:dyDescent="0.2">
      <c r="A5" s="1182" t="s">
        <v>1132</v>
      </c>
      <c r="B5" s="1182"/>
      <c r="C5" s="1182"/>
      <c r="D5" s="1182"/>
      <c r="E5" s="1182"/>
      <c r="F5" s="1183"/>
      <c r="G5" s="1183"/>
      <c r="H5" s="1183"/>
      <c r="I5" s="1183"/>
    </row>
    <row r="7" spans="1:256" ht="13.5" thickBot="1" x14ac:dyDescent="0.25">
      <c r="E7" s="561" t="s">
        <v>20</v>
      </c>
      <c r="F7" s="1019"/>
    </row>
    <row r="8" spans="1:256" ht="30.75" customHeight="1" thickBot="1" x14ac:dyDescent="0.25">
      <c r="A8" s="1174" t="s">
        <v>79</v>
      </c>
      <c r="B8" s="1176" t="s">
        <v>116</v>
      </c>
      <c r="C8" s="1177"/>
      <c r="D8" s="1177"/>
      <c r="E8" s="1177"/>
      <c r="F8" s="1178" t="s">
        <v>1085</v>
      </c>
      <c r="G8" s="1179"/>
      <c r="H8" s="1179"/>
      <c r="I8" s="1180"/>
    </row>
    <row r="9" spans="1:256" ht="36.75" thickBot="1" x14ac:dyDescent="0.25">
      <c r="A9" s="1175"/>
      <c r="B9" s="287" t="s">
        <v>80</v>
      </c>
      <c r="C9" s="193" t="s">
        <v>81</v>
      </c>
      <c r="D9" s="193" t="s">
        <v>722</v>
      </c>
      <c r="E9" s="288" t="s">
        <v>82</v>
      </c>
      <c r="F9" s="287" t="s">
        <v>80</v>
      </c>
      <c r="G9" s="193" t="s">
        <v>81</v>
      </c>
      <c r="H9" s="193" t="s">
        <v>722</v>
      </c>
      <c r="I9" s="288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73" t="s">
        <v>83</v>
      </c>
      <c r="B10" s="574"/>
      <c r="C10" s="574"/>
      <c r="D10" s="574"/>
      <c r="E10" s="574"/>
      <c r="F10" s="575"/>
      <c r="G10" s="575"/>
      <c r="H10" s="575"/>
      <c r="I10" s="575"/>
      <c r="J10" s="606"/>
    </row>
    <row r="11" spans="1:256" ht="12.75" x14ac:dyDescent="0.2">
      <c r="A11" s="568" t="s">
        <v>862</v>
      </c>
      <c r="B11" s="703"/>
      <c r="C11" s="703"/>
      <c r="D11" s="703"/>
      <c r="E11" s="703"/>
      <c r="F11" s="767"/>
      <c r="G11" s="767"/>
      <c r="H11" s="767"/>
      <c r="I11" s="767"/>
      <c r="J11" s="606"/>
    </row>
    <row r="12" spans="1:256" ht="36" x14ac:dyDescent="0.2">
      <c r="A12" s="700" t="s">
        <v>863</v>
      </c>
      <c r="B12" s="703">
        <v>4865</v>
      </c>
      <c r="C12" s="768">
        <v>18.690000000000001</v>
      </c>
      <c r="D12" s="703">
        <v>4580000</v>
      </c>
      <c r="E12" s="703">
        <f>C12*D12</f>
        <v>85600200</v>
      </c>
      <c r="F12" s="815" t="s">
        <v>1086</v>
      </c>
      <c r="G12" s="563">
        <v>18.32</v>
      </c>
      <c r="H12" s="563">
        <v>4580000</v>
      </c>
      <c r="I12" s="564">
        <f>G12*H12</f>
        <v>83905600</v>
      </c>
      <c r="J12" s="606"/>
    </row>
    <row r="13" spans="1:256" ht="12.75" x14ac:dyDescent="0.2">
      <c r="A13" s="568" t="s">
        <v>864</v>
      </c>
      <c r="B13" s="703"/>
      <c r="C13" s="703"/>
      <c r="D13" s="703"/>
      <c r="E13" s="703"/>
      <c r="F13" s="657"/>
      <c r="G13" s="708"/>
      <c r="H13" s="708"/>
      <c r="I13" s="657"/>
      <c r="J13" s="606"/>
    </row>
    <row r="14" spans="1:256" ht="12.75" x14ac:dyDescent="0.2">
      <c r="A14" s="700" t="s">
        <v>865</v>
      </c>
      <c r="B14" s="703"/>
      <c r="C14" s="712"/>
      <c r="D14" s="703" t="s">
        <v>313</v>
      </c>
      <c r="E14" s="703">
        <v>8328800</v>
      </c>
      <c r="F14" s="657"/>
      <c r="G14" s="708"/>
      <c r="H14" s="563" t="s">
        <v>313</v>
      </c>
      <c r="I14" s="564">
        <v>8329050</v>
      </c>
      <c r="J14" s="606"/>
    </row>
    <row r="15" spans="1:256" ht="12.75" x14ac:dyDescent="0.2">
      <c r="A15" s="700" t="s">
        <v>866</v>
      </c>
      <c r="B15" s="565"/>
      <c r="C15" s="566"/>
      <c r="D15" s="565"/>
      <c r="E15" s="565"/>
      <c r="F15" s="564"/>
      <c r="G15" s="563"/>
      <c r="H15" s="563"/>
      <c r="I15" s="564">
        <v>-8329050</v>
      </c>
      <c r="J15" s="606"/>
    </row>
    <row r="16" spans="1:256" ht="24" x14ac:dyDescent="0.2">
      <c r="A16" s="700" t="s">
        <v>867</v>
      </c>
      <c r="B16" s="565"/>
      <c r="C16" s="566"/>
      <c r="D16" s="565"/>
      <c r="E16" s="565"/>
      <c r="F16" s="564"/>
      <c r="G16" s="563"/>
      <c r="H16" s="563"/>
      <c r="I16" s="564">
        <f>I14+I15</f>
        <v>0</v>
      </c>
      <c r="J16" s="606"/>
    </row>
    <row r="17" spans="1:10" ht="12.75" x14ac:dyDescent="0.2">
      <c r="A17" s="568" t="s">
        <v>868</v>
      </c>
      <c r="B17" s="703"/>
      <c r="C17" s="703"/>
      <c r="D17" s="771" t="s">
        <v>314</v>
      </c>
      <c r="E17" s="703">
        <v>18272000</v>
      </c>
      <c r="F17" s="657"/>
      <c r="G17" s="708"/>
      <c r="H17" s="563" t="s">
        <v>315</v>
      </c>
      <c r="I17" s="564">
        <v>18304000</v>
      </c>
      <c r="J17" s="606"/>
    </row>
    <row r="18" spans="1:10" ht="12.75" x14ac:dyDescent="0.2">
      <c r="A18" s="568" t="s">
        <v>866</v>
      </c>
      <c r="B18" s="565"/>
      <c r="C18" s="565"/>
      <c r="D18" s="702"/>
      <c r="E18" s="565"/>
      <c r="F18" s="564"/>
      <c r="G18" s="563"/>
      <c r="H18" s="563"/>
      <c r="I18" s="564">
        <v>-18304000</v>
      </c>
      <c r="J18" s="606"/>
    </row>
    <row r="19" spans="1:10" ht="12.75" x14ac:dyDescent="0.2">
      <c r="A19" s="568" t="s">
        <v>869</v>
      </c>
      <c r="B19" s="565"/>
      <c r="C19" s="565"/>
      <c r="D19" s="702"/>
      <c r="E19" s="565"/>
      <c r="F19" s="564"/>
      <c r="G19" s="563"/>
      <c r="H19" s="563"/>
      <c r="I19" s="564">
        <f>I17+I18</f>
        <v>0</v>
      </c>
      <c r="J19" s="606"/>
    </row>
    <row r="20" spans="1:10" ht="12.75" x14ac:dyDescent="0.2">
      <c r="A20" s="568" t="s">
        <v>870</v>
      </c>
      <c r="B20" s="703"/>
      <c r="C20" s="703" t="s">
        <v>871</v>
      </c>
      <c r="D20" s="704" t="s">
        <v>723</v>
      </c>
      <c r="E20" s="703">
        <v>1355022</v>
      </c>
      <c r="F20" s="657"/>
      <c r="G20" s="703"/>
      <c r="H20" s="705" t="s">
        <v>723</v>
      </c>
      <c r="I20" s="564">
        <v>1355022</v>
      </c>
      <c r="J20" s="606"/>
    </row>
    <row r="21" spans="1:10" ht="12.75" x14ac:dyDescent="0.2">
      <c r="A21" s="568" t="s">
        <v>872</v>
      </c>
      <c r="B21" s="565"/>
      <c r="C21" s="565"/>
      <c r="D21" s="705"/>
      <c r="E21" s="565"/>
      <c r="F21" s="564"/>
      <c r="G21" s="565"/>
      <c r="H21" s="705"/>
      <c r="I21" s="564">
        <v>-1355022</v>
      </c>
      <c r="J21" s="606"/>
    </row>
    <row r="22" spans="1:10" ht="12.75" x14ac:dyDescent="0.2">
      <c r="A22" s="568" t="s">
        <v>873</v>
      </c>
      <c r="B22" s="565"/>
      <c r="C22" s="565"/>
      <c r="D22" s="705"/>
      <c r="E22" s="565"/>
      <c r="F22" s="564"/>
      <c r="G22" s="565"/>
      <c r="H22" s="705"/>
      <c r="I22" s="564">
        <f>I20+I21</f>
        <v>0</v>
      </c>
      <c r="J22" s="606"/>
    </row>
    <row r="23" spans="1:10" ht="12.75" x14ac:dyDescent="0.2">
      <c r="A23" s="568" t="s">
        <v>874</v>
      </c>
      <c r="B23" s="703"/>
      <c r="C23" s="712"/>
      <c r="D23" s="771" t="s">
        <v>724</v>
      </c>
      <c r="E23" s="703">
        <v>6369620</v>
      </c>
      <c r="F23" s="657"/>
      <c r="G23" s="708"/>
      <c r="H23" s="702" t="s">
        <v>724</v>
      </c>
      <c r="I23" s="564">
        <v>6369620</v>
      </c>
      <c r="J23" s="606"/>
    </row>
    <row r="24" spans="1:10" ht="12.75" x14ac:dyDescent="0.2">
      <c r="A24" s="568" t="s">
        <v>872</v>
      </c>
      <c r="B24" s="565"/>
      <c r="C24" s="566"/>
      <c r="D24" s="702"/>
      <c r="E24" s="565"/>
      <c r="F24" s="564"/>
      <c r="G24" s="563"/>
      <c r="H24" s="702"/>
      <c r="I24" s="564">
        <v>-6369620</v>
      </c>
      <c r="J24" s="606"/>
    </row>
    <row r="25" spans="1:10" ht="12.75" x14ac:dyDescent="0.2">
      <c r="A25" s="568" t="s">
        <v>875</v>
      </c>
      <c r="B25" s="565"/>
      <c r="C25" s="566"/>
      <c r="D25" s="702"/>
      <c r="E25" s="565"/>
      <c r="F25" s="564"/>
      <c r="G25" s="563"/>
      <c r="H25" s="702"/>
      <c r="I25" s="564">
        <f>I23+I24</f>
        <v>0</v>
      </c>
      <c r="J25" s="606"/>
    </row>
    <row r="26" spans="1:10" ht="12.75" x14ac:dyDescent="0.2">
      <c r="A26" s="568" t="s">
        <v>876</v>
      </c>
      <c r="B26" s="703">
        <v>4865</v>
      </c>
      <c r="C26" s="703"/>
      <c r="D26" s="703">
        <v>2700</v>
      </c>
      <c r="E26" s="703">
        <f>B26*D26</f>
        <v>13135500</v>
      </c>
      <c r="F26" s="564">
        <v>4705</v>
      </c>
      <c r="G26" s="708"/>
      <c r="H26" s="565">
        <v>2700</v>
      </c>
      <c r="I26" s="564">
        <f>F26*H26</f>
        <v>12703500</v>
      </c>
      <c r="J26" s="606"/>
    </row>
    <row r="27" spans="1:10" ht="12.75" x14ac:dyDescent="0.2">
      <c r="A27" s="568" t="s">
        <v>877</v>
      </c>
      <c r="B27" s="565"/>
      <c r="C27" s="565"/>
      <c r="D27" s="565"/>
      <c r="E27" s="565">
        <v>-13135500</v>
      </c>
      <c r="F27" s="564"/>
      <c r="G27" s="563"/>
      <c r="H27" s="563"/>
      <c r="I27" s="564">
        <v>-12703500</v>
      </c>
      <c r="J27" s="606"/>
    </row>
    <row r="28" spans="1:10" ht="12.75" x14ac:dyDescent="0.2">
      <c r="A28" s="568" t="s">
        <v>878</v>
      </c>
      <c r="B28" s="565"/>
      <c r="C28" s="565"/>
      <c r="D28" s="565"/>
      <c r="E28" s="565">
        <f>E26+E27</f>
        <v>0</v>
      </c>
      <c r="F28" s="564"/>
      <c r="G28" s="563"/>
      <c r="H28" s="563"/>
      <c r="I28" s="564">
        <f>I26+I27</f>
        <v>0</v>
      </c>
      <c r="J28" s="606"/>
    </row>
    <row r="29" spans="1:10" ht="12.75" x14ac:dyDescent="0.2">
      <c r="A29" s="568" t="s">
        <v>879</v>
      </c>
      <c r="B29" s="703">
        <v>10</v>
      </c>
      <c r="C29" s="703"/>
      <c r="D29" s="703" t="s">
        <v>316</v>
      </c>
      <c r="E29" s="706">
        <v>25500</v>
      </c>
      <c r="F29" s="564">
        <v>21</v>
      </c>
      <c r="G29" s="708"/>
      <c r="H29" s="565" t="s">
        <v>316</v>
      </c>
      <c r="I29" s="564">
        <v>53550</v>
      </c>
      <c r="J29" s="606"/>
    </row>
    <row r="30" spans="1:10" ht="12.75" x14ac:dyDescent="0.2">
      <c r="A30" s="568" t="s">
        <v>880</v>
      </c>
      <c r="B30" s="565"/>
      <c r="C30" s="565"/>
      <c r="D30" s="565"/>
      <c r="E30" s="565">
        <v>-25500</v>
      </c>
      <c r="F30" s="564"/>
      <c r="G30" s="563"/>
      <c r="H30" s="563"/>
      <c r="I30" s="564">
        <v>-53550</v>
      </c>
      <c r="J30" s="606"/>
    </row>
    <row r="31" spans="1:10" ht="12.75" x14ac:dyDescent="0.2">
      <c r="A31" s="568" t="s">
        <v>881</v>
      </c>
      <c r="B31" s="703"/>
      <c r="C31" s="703"/>
      <c r="D31" s="703"/>
      <c r="E31" s="706">
        <v>0</v>
      </c>
      <c r="F31" s="657"/>
      <c r="G31" s="708"/>
      <c r="H31" s="708"/>
      <c r="I31" s="564">
        <f>I29+I30</f>
        <v>0</v>
      </c>
      <c r="J31" s="606"/>
    </row>
    <row r="32" spans="1:10" ht="12.75" x14ac:dyDescent="0.2">
      <c r="A32" s="770" t="s">
        <v>990</v>
      </c>
      <c r="B32" s="703"/>
      <c r="C32" s="703">
        <v>487729000</v>
      </c>
      <c r="D32" s="712">
        <v>1.55</v>
      </c>
      <c r="E32" s="703">
        <f>C32*D32</f>
        <v>755979950</v>
      </c>
      <c r="F32" s="657"/>
      <c r="G32" s="564">
        <v>540752027</v>
      </c>
      <c r="H32" s="566">
        <v>1</v>
      </c>
      <c r="I32" s="564">
        <f>G32*H32</f>
        <v>540752027</v>
      </c>
      <c r="J32" s="606"/>
    </row>
    <row r="33" spans="1:18" ht="12.75" x14ac:dyDescent="0.2">
      <c r="A33" s="568" t="s">
        <v>877</v>
      </c>
      <c r="B33" s="565"/>
      <c r="C33" s="565"/>
      <c r="D33" s="569"/>
      <c r="E33" s="565">
        <v>-98054262</v>
      </c>
      <c r="F33" s="564"/>
      <c r="G33" s="563"/>
      <c r="H33" s="563"/>
      <c r="I33" s="564">
        <v>-76318159</v>
      </c>
      <c r="J33" s="606"/>
    </row>
    <row r="34" spans="1:18" ht="12.75" x14ac:dyDescent="0.2">
      <c r="A34" s="568" t="s">
        <v>883</v>
      </c>
      <c r="B34" s="703"/>
      <c r="C34" s="703"/>
      <c r="D34" s="717"/>
      <c r="E34" s="703">
        <f>E32+E33</f>
        <v>657925688</v>
      </c>
      <c r="F34" s="657"/>
      <c r="G34" s="708"/>
      <c r="H34" s="708"/>
      <c r="I34" s="564">
        <f>I32+I33</f>
        <v>464433868</v>
      </c>
      <c r="J34" s="606"/>
    </row>
    <row r="35" spans="1:18" ht="12.75" x14ac:dyDescent="0.2">
      <c r="A35" s="707" t="s">
        <v>1087</v>
      </c>
      <c r="B35" s="703"/>
      <c r="C35" s="703"/>
      <c r="D35" s="703"/>
      <c r="E35" s="703">
        <v>0</v>
      </c>
      <c r="F35" s="657"/>
      <c r="G35" s="708"/>
      <c r="H35" s="708"/>
      <c r="I35" s="657">
        <v>0</v>
      </c>
      <c r="J35" s="606"/>
      <c r="K35" s="709">
        <f>I12+I16+I19+I25+I28+I31+I34+I35</f>
        <v>548339468</v>
      </c>
      <c r="L35" s="6" t="s">
        <v>958</v>
      </c>
    </row>
    <row r="36" spans="1:18" ht="24" x14ac:dyDescent="0.2">
      <c r="A36" s="700" t="s">
        <v>1088</v>
      </c>
      <c r="B36" s="703"/>
      <c r="C36" s="703"/>
      <c r="D36" s="703"/>
      <c r="E36" s="703"/>
      <c r="F36" s="657"/>
      <c r="G36" s="708"/>
      <c r="H36" s="708"/>
      <c r="I36" s="564">
        <v>0</v>
      </c>
      <c r="J36" s="606"/>
      <c r="K36" s="709"/>
    </row>
    <row r="37" spans="1:18" ht="12.75" x14ac:dyDescent="0.2">
      <c r="A37" s="707"/>
      <c r="B37" s="703"/>
      <c r="C37" s="703"/>
      <c r="D37" s="703"/>
      <c r="E37" s="703"/>
      <c r="F37" s="657"/>
      <c r="G37" s="708"/>
      <c r="H37" s="708"/>
      <c r="I37" s="657"/>
      <c r="J37" s="606"/>
      <c r="K37" s="709"/>
    </row>
    <row r="38" spans="1:18" ht="12.75" x14ac:dyDescent="0.2">
      <c r="A38" s="710" t="s">
        <v>84</v>
      </c>
      <c r="B38" s="703"/>
      <c r="C38" s="703"/>
      <c r="D38" s="703"/>
      <c r="E38" s="703"/>
      <c r="F38" s="657"/>
      <c r="G38" s="708"/>
      <c r="H38" s="708"/>
      <c r="I38" s="657"/>
      <c r="J38" s="606"/>
    </row>
    <row r="39" spans="1:18" ht="24" x14ac:dyDescent="0.2">
      <c r="A39" s="700" t="s">
        <v>885</v>
      </c>
      <c r="B39" s="703"/>
      <c r="C39" s="703"/>
      <c r="D39" s="703"/>
      <c r="E39" s="703"/>
      <c r="F39" s="657"/>
      <c r="G39" s="708"/>
      <c r="H39" s="708"/>
      <c r="I39" s="657"/>
      <c r="J39" s="606"/>
    </row>
    <row r="40" spans="1:18" ht="12.75" x14ac:dyDescent="0.2">
      <c r="A40" s="700" t="s">
        <v>886</v>
      </c>
      <c r="B40" s="703"/>
      <c r="C40" s="712">
        <v>13.1</v>
      </c>
      <c r="D40" s="703">
        <v>4152000</v>
      </c>
      <c r="E40" s="703">
        <f>C40*D40*8/12</f>
        <v>36260800</v>
      </c>
      <c r="F40" s="976" t="s">
        <v>1133</v>
      </c>
      <c r="G40" s="772">
        <v>12.5</v>
      </c>
      <c r="H40" s="969">
        <v>4419000</v>
      </c>
      <c r="I40" s="564">
        <f>G40*8/12*4419000</f>
        <v>36825000</v>
      </c>
      <c r="J40" s="606"/>
    </row>
    <row r="41" spans="1:18" ht="12.75" x14ac:dyDescent="0.2">
      <c r="A41" s="700" t="s">
        <v>887</v>
      </c>
      <c r="B41" s="703"/>
      <c r="C41" s="712">
        <v>13.1</v>
      </c>
      <c r="D41" s="713">
        <v>4152000</v>
      </c>
      <c r="E41" s="703">
        <f>C41*D41*4/12</f>
        <v>18130400</v>
      </c>
      <c r="F41" s="976" t="s">
        <v>1133</v>
      </c>
      <c r="G41" s="711">
        <v>12.5</v>
      </c>
      <c r="H41" s="969">
        <v>4419000</v>
      </c>
      <c r="I41" s="564">
        <f>G41*4/12*H41</f>
        <v>18412500</v>
      </c>
      <c r="J41" s="606"/>
    </row>
    <row r="42" spans="1:18" ht="24" x14ac:dyDescent="0.2">
      <c r="A42" s="700" t="s">
        <v>888</v>
      </c>
      <c r="B42" s="703"/>
      <c r="C42" s="703">
        <v>10</v>
      </c>
      <c r="D42" s="703">
        <v>1800000</v>
      </c>
      <c r="E42" s="706">
        <f>C42*D42*8/12</f>
        <v>12000000</v>
      </c>
      <c r="F42" s="769"/>
      <c r="G42" s="711">
        <v>9</v>
      </c>
      <c r="H42" s="969">
        <v>2205000</v>
      </c>
      <c r="I42" s="564">
        <f>G42*H42*8/12</f>
        <v>13230000</v>
      </c>
      <c r="J42" s="606"/>
    </row>
    <row r="43" spans="1:18" ht="24" x14ac:dyDescent="0.2">
      <c r="A43" s="700" t="s">
        <v>991</v>
      </c>
      <c r="B43" s="703"/>
      <c r="C43" s="703"/>
      <c r="D43" s="703"/>
      <c r="E43" s="706"/>
      <c r="F43" s="657"/>
      <c r="G43" s="711">
        <v>0</v>
      </c>
      <c r="H43" s="969">
        <v>4419000</v>
      </c>
      <c r="I43" s="564">
        <f>G43*H43*8/12</f>
        <v>0</v>
      </c>
      <c r="J43" s="606"/>
    </row>
    <row r="44" spans="1:18" ht="24" x14ac:dyDescent="0.2">
      <c r="A44" s="700" t="s">
        <v>890</v>
      </c>
      <c r="B44" s="703"/>
      <c r="C44" s="703">
        <v>10</v>
      </c>
      <c r="D44" s="703">
        <v>1800000</v>
      </c>
      <c r="E44" s="703">
        <f>C44*D44*4/12</f>
        <v>6000000</v>
      </c>
      <c r="F44" s="657"/>
      <c r="G44" s="711">
        <v>9</v>
      </c>
      <c r="H44" s="969">
        <v>2205000</v>
      </c>
      <c r="I44" s="564">
        <f>G44*H44*4/12</f>
        <v>6615000</v>
      </c>
      <c r="J44" s="607"/>
    </row>
    <row r="45" spans="1:18" ht="39" x14ac:dyDescent="0.2">
      <c r="A45" s="700" t="s">
        <v>992</v>
      </c>
      <c r="B45" s="703"/>
      <c r="C45" s="703"/>
      <c r="D45" s="703"/>
      <c r="E45" s="703"/>
      <c r="F45" s="657"/>
      <c r="G45" s="711">
        <v>0</v>
      </c>
      <c r="H45" s="969">
        <v>4419000</v>
      </c>
      <c r="I45" s="564">
        <f>G45*H45*4/12</f>
        <v>0</v>
      </c>
      <c r="J45" s="607"/>
      <c r="K45" s="879" t="s">
        <v>959</v>
      </c>
      <c r="L45" s="709">
        <f>I12+I14+I17+I20+I23+I26+I29+I32</f>
        <v>671772369</v>
      </c>
      <c r="N45" s="880" t="s">
        <v>1134</v>
      </c>
      <c r="O45" s="709">
        <v>123432901</v>
      </c>
      <c r="P45" s="709">
        <f>I15+I18+I21+I24+I27+I30</f>
        <v>-47114742</v>
      </c>
      <c r="Q45" s="709">
        <f>O45+P45</f>
        <v>76318159</v>
      </c>
      <c r="R45" s="880" t="s">
        <v>960</v>
      </c>
    </row>
    <row r="46" spans="1:18" ht="12.75" x14ac:dyDescent="0.2">
      <c r="A46" s="568" t="s">
        <v>893</v>
      </c>
      <c r="B46" s="703"/>
      <c r="C46" s="703"/>
      <c r="D46" s="703"/>
      <c r="E46" s="703"/>
      <c r="F46" s="657"/>
      <c r="G46" s="708"/>
      <c r="H46" s="708"/>
      <c r="I46" s="657"/>
      <c r="J46" s="606"/>
    </row>
    <row r="47" spans="1:18" ht="24" x14ac:dyDescent="0.2">
      <c r="A47" s="700" t="s">
        <v>993</v>
      </c>
      <c r="B47" s="703"/>
      <c r="C47" s="703">
        <v>142</v>
      </c>
      <c r="D47" s="703">
        <v>70000</v>
      </c>
      <c r="E47" s="703">
        <f>C47*D47*8/12</f>
        <v>6626666.666666667</v>
      </c>
      <c r="F47" s="815"/>
      <c r="G47" s="564">
        <v>138</v>
      </c>
      <c r="H47" s="565">
        <v>81700</v>
      </c>
      <c r="I47" s="564">
        <f>G47*H47*8/12</f>
        <v>7516400</v>
      </c>
      <c r="J47" s="606"/>
    </row>
    <row r="48" spans="1:18" ht="24" x14ac:dyDescent="0.2">
      <c r="A48" s="700" t="s">
        <v>994</v>
      </c>
      <c r="B48" s="703"/>
      <c r="C48" s="703"/>
      <c r="D48" s="703"/>
      <c r="E48" s="703"/>
      <c r="F48" s="815"/>
      <c r="G48" s="564">
        <v>0</v>
      </c>
      <c r="H48" s="565">
        <v>80000</v>
      </c>
      <c r="I48" s="564">
        <v>0</v>
      </c>
      <c r="J48" s="606"/>
    </row>
    <row r="49" spans="1:12" ht="24" x14ac:dyDescent="0.2">
      <c r="A49" s="700" t="s">
        <v>942</v>
      </c>
      <c r="B49" s="703"/>
      <c r="C49" s="703">
        <v>142</v>
      </c>
      <c r="D49" s="703">
        <v>70000</v>
      </c>
      <c r="E49" s="703">
        <f>C49*D49*4/12</f>
        <v>3313333.3333333335</v>
      </c>
      <c r="F49" s="769"/>
      <c r="G49" s="564">
        <v>138</v>
      </c>
      <c r="H49" s="565">
        <v>81700</v>
      </c>
      <c r="I49" s="564">
        <f>G49*H49*4/12</f>
        <v>3758200</v>
      </c>
      <c r="J49" s="606"/>
    </row>
    <row r="50" spans="1:12" ht="24" x14ac:dyDescent="0.2">
      <c r="A50" s="700" t="s">
        <v>995</v>
      </c>
      <c r="B50" s="703"/>
      <c r="C50" s="703"/>
      <c r="D50" s="703"/>
      <c r="E50" s="703"/>
      <c r="F50" s="769"/>
      <c r="G50" s="564">
        <v>0</v>
      </c>
      <c r="H50" s="565">
        <v>80000</v>
      </c>
      <c r="I50" s="564">
        <v>0</v>
      </c>
      <c r="J50" s="606"/>
    </row>
    <row r="51" spans="1:12" ht="12.75" x14ac:dyDescent="0.2">
      <c r="A51" s="568" t="s">
        <v>943</v>
      </c>
      <c r="B51" s="703"/>
      <c r="C51" s="703"/>
      <c r="D51" s="703"/>
      <c r="E51" s="703"/>
      <c r="F51" s="657"/>
      <c r="G51" s="708"/>
      <c r="H51" s="708"/>
      <c r="I51" s="657"/>
      <c r="J51" s="606"/>
    </row>
    <row r="52" spans="1:12" ht="48" x14ac:dyDescent="0.2">
      <c r="A52" s="700" t="s">
        <v>1089</v>
      </c>
      <c r="B52" s="703"/>
      <c r="C52" s="703">
        <v>5</v>
      </c>
      <c r="D52" s="773" t="s">
        <v>317</v>
      </c>
      <c r="E52" s="703">
        <v>1760000</v>
      </c>
      <c r="F52" s="657"/>
      <c r="G52" s="563">
        <v>4</v>
      </c>
      <c r="H52" s="564">
        <v>401000</v>
      </c>
      <c r="I52" s="564">
        <f>G52*H52</f>
        <v>1604000</v>
      </c>
      <c r="J52" s="606"/>
    </row>
    <row r="53" spans="1:12" ht="48" x14ac:dyDescent="0.2">
      <c r="A53" s="700" t="s">
        <v>1090</v>
      </c>
      <c r="B53" s="703"/>
      <c r="C53" s="703"/>
      <c r="D53" s="703"/>
      <c r="E53" s="703"/>
      <c r="F53" s="657"/>
      <c r="G53" s="563">
        <v>0</v>
      </c>
      <c r="H53" s="564">
        <v>367583</v>
      </c>
      <c r="I53" s="564">
        <f>G53*H53</f>
        <v>0</v>
      </c>
      <c r="J53" s="606"/>
      <c r="K53" s="709">
        <f>SUM(I40:I53)</f>
        <v>87961100</v>
      </c>
      <c r="L53" s="6" t="s">
        <v>961</v>
      </c>
    </row>
    <row r="54" spans="1:12" ht="12.75" x14ac:dyDescent="0.2">
      <c r="A54" s="700"/>
      <c r="B54" s="703"/>
      <c r="C54" s="703"/>
      <c r="D54" s="703"/>
      <c r="E54" s="703"/>
      <c r="F54" s="657"/>
      <c r="G54" s="708"/>
      <c r="H54" s="708"/>
      <c r="I54" s="657"/>
      <c r="J54" s="606"/>
      <c r="K54" s="709"/>
    </row>
    <row r="55" spans="1:12" ht="12.75" x14ac:dyDescent="0.2">
      <c r="A55" s="710" t="s">
        <v>85</v>
      </c>
      <c r="B55" s="703"/>
      <c r="C55" s="703"/>
      <c r="D55" s="703"/>
      <c r="E55" s="703"/>
      <c r="F55" s="657"/>
      <c r="G55" s="708"/>
      <c r="H55" s="708"/>
      <c r="I55" s="657"/>
      <c r="J55" s="606"/>
    </row>
    <row r="56" spans="1:12" ht="12.75" x14ac:dyDescent="0.2">
      <c r="A56" s="707" t="s">
        <v>1091</v>
      </c>
      <c r="B56" s="703"/>
      <c r="C56" s="703"/>
      <c r="D56" s="703"/>
      <c r="E56" s="703">
        <v>0</v>
      </c>
      <c r="F56" s="657"/>
      <c r="G56" s="708"/>
      <c r="H56" s="708"/>
      <c r="I56" s="564">
        <v>0</v>
      </c>
      <c r="J56" s="608"/>
    </row>
    <row r="57" spans="1:12" ht="24" x14ac:dyDescent="0.2">
      <c r="A57" s="700" t="s">
        <v>903</v>
      </c>
      <c r="B57" s="703"/>
      <c r="C57" s="703"/>
      <c r="D57" s="703"/>
      <c r="E57" s="706">
        <v>0</v>
      </c>
      <c r="F57" s="657"/>
      <c r="G57" s="708"/>
      <c r="H57" s="708"/>
      <c r="I57" s="564">
        <v>0</v>
      </c>
      <c r="J57" s="606"/>
    </row>
    <row r="58" spans="1:12" ht="12.75" x14ac:dyDescent="0.2">
      <c r="A58" s="568" t="s">
        <v>904</v>
      </c>
      <c r="B58" s="703"/>
      <c r="C58" s="703"/>
      <c r="D58" s="703"/>
      <c r="E58" s="703"/>
      <c r="F58" s="657"/>
      <c r="G58" s="708"/>
      <c r="H58" s="708"/>
      <c r="I58" s="657"/>
      <c r="J58" s="606"/>
    </row>
    <row r="59" spans="1:12" ht="12.75" x14ac:dyDescent="0.2">
      <c r="A59" s="568" t="s">
        <v>905</v>
      </c>
      <c r="B59" s="703"/>
      <c r="C59" s="703"/>
      <c r="D59" s="703"/>
      <c r="E59" s="703"/>
      <c r="F59" s="657"/>
      <c r="G59" s="708"/>
      <c r="H59" s="708"/>
      <c r="I59" s="657"/>
      <c r="J59" s="606"/>
    </row>
    <row r="60" spans="1:12" ht="12.75" x14ac:dyDescent="0.2">
      <c r="A60" s="568" t="s">
        <v>906</v>
      </c>
      <c r="B60" s="703"/>
      <c r="C60" s="703"/>
      <c r="D60" s="703"/>
      <c r="E60" s="703"/>
      <c r="F60" s="657"/>
      <c r="G60" s="708"/>
      <c r="H60" s="708"/>
      <c r="I60" s="657"/>
      <c r="J60" s="606"/>
    </row>
    <row r="61" spans="1:12" ht="36" x14ac:dyDescent="0.2">
      <c r="A61" s="714" t="s">
        <v>1092</v>
      </c>
      <c r="B61" s="707"/>
      <c r="C61" s="716"/>
      <c r="D61" s="703"/>
      <c r="E61" s="703">
        <f>C61*D61/2</f>
        <v>0</v>
      </c>
      <c r="F61" s="565">
        <v>7822</v>
      </c>
      <c r="G61" s="717"/>
      <c r="H61" s="708"/>
      <c r="I61" s="657"/>
      <c r="J61" s="608"/>
    </row>
    <row r="62" spans="1:12" ht="24" x14ac:dyDescent="0.2">
      <c r="A62" s="700" t="s">
        <v>944</v>
      </c>
      <c r="B62" s="703"/>
      <c r="C62" s="707"/>
      <c r="D62" s="703"/>
      <c r="E62" s="703"/>
      <c r="F62" s="657"/>
      <c r="G62" s="570">
        <v>0</v>
      </c>
      <c r="H62" s="708"/>
      <c r="I62" s="657"/>
      <c r="J62" s="608"/>
    </row>
    <row r="63" spans="1:12" ht="12.75" x14ac:dyDescent="0.2">
      <c r="A63" s="568" t="s">
        <v>945</v>
      </c>
      <c r="B63" s="703"/>
      <c r="C63" s="707"/>
      <c r="D63" s="703"/>
      <c r="E63" s="703"/>
      <c r="F63" s="657"/>
      <c r="G63" s="569">
        <v>1</v>
      </c>
      <c r="H63" s="708"/>
      <c r="I63" s="657"/>
      <c r="J63" s="606"/>
    </row>
    <row r="64" spans="1:12" ht="12.75" x14ac:dyDescent="0.2">
      <c r="A64" s="568" t="s">
        <v>910</v>
      </c>
      <c r="B64" s="703"/>
      <c r="C64" s="718">
        <v>0.97299999999999998</v>
      </c>
      <c r="D64" s="703">
        <v>3000000</v>
      </c>
      <c r="E64" s="703"/>
      <c r="F64" s="657"/>
      <c r="G64" s="569">
        <v>2</v>
      </c>
      <c r="H64" s="970">
        <v>3400000</v>
      </c>
      <c r="I64" s="974">
        <f>(2*1+0)*3400000</f>
        <v>6800000</v>
      </c>
      <c r="J64" s="606"/>
    </row>
    <row r="65" spans="1:12" ht="12.75" x14ac:dyDescent="0.2">
      <c r="A65" s="568" t="s">
        <v>911</v>
      </c>
      <c r="B65" s="719"/>
      <c r="C65" s="703">
        <v>80</v>
      </c>
      <c r="D65" s="703">
        <v>55360</v>
      </c>
      <c r="E65" s="703">
        <f>C65*D65</f>
        <v>4428800</v>
      </c>
      <c r="F65" s="769"/>
      <c r="G65" s="565">
        <v>80</v>
      </c>
      <c r="H65" s="565">
        <v>55360</v>
      </c>
      <c r="I65" s="565">
        <f>G65*H65</f>
        <v>4428800</v>
      </c>
      <c r="J65" s="606"/>
    </row>
    <row r="66" spans="1:12" ht="12.75" x14ac:dyDescent="0.2">
      <c r="A66" s="568" t="s">
        <v>912</v>
      </c>
      <c r="B66" s="719"/>
      <c r="C66" s="703">
        <v>55</v>
      </c>
      <c r="D66" s="703">
        <v>145000</v>
      </c>
      <c r="E66" s="703">
        <f>C66*D66</f>
        <v>7975000</v>
      </c>
      <c r="F66" s="657"/>
      <c r="G66" s="703"/>
      <c r="H66" s="703"/>
      <c r="I66" s="703"/>
      <c r="J66" s="606"/>
    </row>
    <row r="67" spans="1:12" ht="12.75" x14ac:dyDescent="0.2">
      <c r="A67" s="568" t="s">
        <v>946</v>
      </c>
      <c r="B67" s="719"/>
      <c r="C67" s="703"/>
      <c r="D67" s="703"/>
      <c r="E67" s="703"/>
      <c r="F67" s="769"/>
      <c r="G67" s="565">
        <v>5</v>
      </c>
      <c r="H67" s="565">
        <v>25000</v>
      </c>
      <c r="I67" s="565">
        <f>G67*H67</f>
        <v>125000</v>
      </c>
      <c r="J67" s="606"/>
    </row>
    <row r="68" spans="1:12" ht="12.75" x14ac:dyDescent="0.2">
      <c r="A68" s="568" t="s">
        <v>947</v>
      </c>
      <c r="B68" s="719"/>
      <c r="C68" s="703"/>
      <c r="D68" s="703"/>
      <c r="E68" s="703"/>
      <c r="F68" s="769"/>
      <c r="G68" s="565">
        <v>49</v>
      </c>
      <c r="H68" s="970">
        <v>330000</v>
      </c>
      <c r="I68" s="980">
        <f>G68*H68</f>
        <v>16170000</v>
      </c>
      <c r="J68" s="606"/>
    </row>
    <row r="69" spans="1:12" ht="12.75" x14ac:dyDescent="0.2">
      <c r="A69" s="700" t="s">
        <v>948</v>
      </c>
      <c r="B69" s="774"/>
      <c r="C69" s="565">
        <v>23</v>
      </c>
      <c r="D69" s="565">
        <v>109000</v>
      </c>
      <c r="E69" s="565">
        <f>C69*D69</f>
        <v>2507000</v>
      </c>
      <c r="F69" s="564"/>
      <c r="G69" s="565">
        <v>25</v>
      </c>
      <c r="H69" s="565">
        <v>109000</v>
      </c>
      <c r="I69" s="565">
        <f>G69*H69</f>
        <v>2725000</v>
      </c>
      <c r="J69" s="606"/>
    </row>
    <row r="70" spans="1:12" ht="12.75" x14ac:dyDescent="0.2">
      <c r="A70" s="700" t="s">
        <v>914</v>
      </c>
      <c r="B70" s="774"/>
      <c r="C70" s="565"/>
      <c r="D70" s="565"/>
      <c r="E70" s="565"/>
      <c r="F70" s="564"/>
      <c r="G70" s="563"/>
      <c r="H70" s="563"/>
      <c r="I70" s="564"/>
      <c r="J70" s="606"/>
    </row>
    <row r="71" spans="1:12" ht="24" x14ac:dyDescent="0.2">
      <c r="A71" s="700" t="s">
        <v>1093</v>
      </c>
      <c r="B71" s="719"/>
      <c r="C71" s="703"/>
      <c r="D71" s="703"/>
      <c r="E71" s="703"/>
      <c r="F71" s="657"/>
      <c r="G71" s="708"/>
      <c r="H71" s="708"/>
      <c r="I71" s="657"/>
      <c r="J71" s="606"/>
    </row>
    <row r="72" spans="1:12" ht="24" x14ac:dyDescent="0.2">
      <c r="A72" s="714" t="s">
        <v>962</v>
      </c>
      <c r="B72" s="719"/>
      <c r="C72" s="703">
        <v>15</v>
      </c>
      <c r="D72" s="703">
        <v>2606040</v>
      </c>
      <c r="E72" s="703">
        <f>C72*D72</f>
        <v>39090600</v>
      </c>
      <c r="F72" s="769"/>
      <c r="G72" s="565">
        <v>15</v>
      </c>
      <c r="H72" s="970">
        <v>2848000</v>
      </c>
      <c r="I72" s="565">
        <f>G72*H72</f>
        <v>42720000</v>
      </c>
      <c r="J72" s="606"/>
    </row>
    <row r="73" spans="1:12" ht="12.75" x14ac:dyDescent="0.2">
      <c r="A73" s="568" t="s">
        <v>919</v>
      </c>
      <c r="B73" s="719"/>
      <c r="C73" s="703"/>
      <c r="D73" s="703"/>
      <c r="E73" s="706">
        <v>37834000</v>
      </c>
      <c r="F73" s="769"/>
      <c r="G73" s="708"/>
      <c r="H73" s="708"/>
      <c r="I73" s="974">
        <v>36824000</v>
      </c>
      <c r="J73" s="610"/>
    </row>
    <row r="74" spans="1:12" ht="12.75" x14ac:dyDescent="0.2">
      <c r="A74" s="568" t="s">
        <v>1095</v>
      </c>
      <c r="B74" s="719"/>
      <c r="C74" s="703"/>
      <c r="D74" s="703"/>
      <c r="E74" s="703"/>
      <c r="F74" s="657"/>
      <c r="G74" s="708"/>
      <c r="H74" s="708"/>
      <c r="I74" s="657"/>
      <c r="J74" s="606"/>
    </row>
    <row r="75" spans="1:12" ht="12.75" x14ac:dyDescent="0.2">
      <c r="A75" s="568" t="s">
        <v>1096</v>
      </c>
      <c r="B75" s="703"/>
      <c r="C75" s="712">
        <v>12.33</v>
      </c>
      <c r="D75" s="703">
        <v>1632000</v>
      </c>
      <c r="E75" s="703">
        <f>C75*D75</f>
        <v>20122560</v>
      </c>
      <c r="F75" s="1022" t="s">
        <v>1135</v>
      </c>
      <c r="G75" s="566">
        <v>14.4</v>
      </c>
      <c r="H75" s="970">
        <v>1900000</v>
      </c>
      <c r="I75" s="565">
        <f>G75*H75</f>
        <v>27360000</v>
      </c>
      <c r="J75" s="611"/>
    </row>
    <row r="76" spans="1:12" ht="12.75" x14ac:dyDescent="0.2">
      <c r="A76" s="568" t="s">
        <v>1097</v>
      </c>
      <c r="B76" s="703"/>
      <c r="C76" s="703"/>
      <c r="D76" s="703"/>
      <c r="E76" s="706">
        <v>7038795</v>
      </c>
      <c r="F76" s="769"/>
      <c r="G76" s="708"/>
      <c r="H76" s="708"/>
      <c r="I76" s="974">
        <v>23121669</v>
      </c>
      <c r="J76" s="612"/>
    </row>
    <row r="77" spans="1:12" ht="24" x14ac:dyDescent="0.2">
      <c r="A77" s="700" t="s">
        <v>1098</v>
      </c>
      <c r="B77" s="703"/>
      <c r="C77" s="703"/>
      <c r="D77" s="703"/>
      <c r="E77" s="706"/>
      <c r="F77" s="769"/>
      <c r="G77" s="564">
        <v>0</v>
      </c>
      <c r="H77" s="564">
        <v>285</v>
      </c>
      <c r="I77" s="564">
        <f>G77*H77</f>
        <v>0</v>
      </c>
      <c r="J77" s="606"/>
    </row>
    <row r="78" spans="1:12" ht="12.75" x14ac:dyDescent="0.2">
      <c r="A78" s="700" t="s">
        <v>1099</v>
      </c>
      <c r="B78" s="703"/>
      <c r="C78" s="703"/>
      <c r="D78" s="703"/>
      <c r="E78" s="722"/>
      <c r="F78" s="769"/>
      <c r="G78" s="772"/>
      <c r="H78" s="564"/>
      <c r="I78" s="564"/>
      <c r="J78" s="606"/>
      <c r="K78" s="709">
        <f>SUM(I56:I82)</f>
        <v>174499869</v>
      </c>
      <c r="L78" s="6" t="s">
        <v>963</v>
      </c>
    </row>
    <row r="79" spans="1:12" ht="12.75" x14ac:dyDescent="0.2">
      <c r="A79" s="700" t="s">
        <v>1100</v>
      </c>
      <c r="B79" s="703"/>
      <c r="C79" s="703"/>
      <c r="D79" s="703"/>
      <c r="E79" s="722"/>
      <c r="F79" s="769"/>
      <c r="G79" s="772"/>
      <c r="H79" s="564"/>
      <c r="I79" s="564"/>
      <c r="J79" s="606"/>
      <c r="K79" s="709"/>
    </row>
    <row r="80" spans="1:12" ht="36" x14ac:dyDescent="0.2">
      <c r="A80" s="700" t="s">
        <v>1103</v>
      </c>
      <c r="B80" s="703"/>
      <c r="C80" s="703"/>
      <c r="D80" s="703"/>
      <c r="E80" s="722"/>
      <c r="F80" s="815" t="s">
        <v>1104</v>
      </c>
      <c r="G80" s="772">
        <v>2</v>
      </c>
      <c r="H80" s="564">
        <v>4419000</v>
      </c>
      <c r="I80" s="564">
        <f>G80*H80</f>
        <v>8838000</v>
      </c>
      <c r="J80" s="606"/>
      <c r="K80" s="709"/>
    </row>
    <row r="81" spans="1:14" ht="36" x14ac:dyDescent="0.2">
      <c r="A81" s="700" t="s">
        <v>1171</v>
      </c>
      <c r="B81" s="703"/>
      <c r="C81" s="703"/>
      <c r="D81" s="703"/>
      <c r="E81" s="722"/>
      <c r="F81" s="815" t="s">
        <v>1102</v>
      </c>
      <c r="G81" s="772">
        <v>1.8</v>
      </c>
      <c r="H81" s="564">
        <v>2993000</v>
      </c>
      <c r="I81" s="564">
        <f>G81*H81</f>
        <v>5387400</v>
      </c>
      <c r="J81" s="606"/>
      <c r="K81" s="709"/>
    </row>
    <row r="82" spans="1:14" ht="24" x14ac:dyDescent="0.2">
      <c r="A82" s="700" t="s">
        <v>1105</v>
      </c>
      <c r="B82" s="703"/>
      <c r="C82" s="703"/>
      <c r="D82" s="703"/>
      <c r="E82" s="722"/>
      <c r="F82" s="769"/>
      <c r="G82" s="772"/>
      <c r="H82" s="564">
        <v>0</v>
      </c>
      <c r="I82" s="564">
        <v>0</v>
      </c>
      <c r="J82" s="606"/>
      <c r="K82" s="709"/>
    </row>
    <row r="83" spans="1:14" ht="12.75" x14ac:dyDescent="0.2">
      <c r="A83" s="700"/>
      <c r="B83" s="703"/>
      <c r="C83" s="703"/>
      <c r="D83" s="703"/>
      <c r="E83" s="722"/>
      <c r="F83" s="769"/>
      <c r="G83" s="772"/>
      <c r="H83" s="564"/>
      <c r="I83" s="564"/>
      <c r="J83" s="606"/>
      <c r="K83" s="709"/>
    </row>
    <row r="84" spans="1:14" ht="12.75" x14ac:dyDescent="0.2">
      <c r="A84" s="568" t="s">
        <v>925</v>
      </c>
      <c r="B84" s="703"/>
      <c r="C84" s="703"/>
      <c r="D84" s="703"/>
      <c r="E84" s="722"/>
      <c r="F84" s="657"/>
      <c r="G84" s="708"/>
      <c r="H84" s="708"/>
      <c r="I84" s="657"/>
      <c r="J84" s="606"/>
    </row>
    <row r="85" spans="1:14" ht="12.75" x14ac:dyDescent="0.2">
      <c r="A85" s="568" t="s">
        <v>926</v>
      </c>
      <c r="B85" s="703"/>
      <c r="C85" s="703"/>
      <c r="D85" s="703"/>
      <c r="E85" s="722"/>
      <c r="F85" s="657"/>
      <c r="G85" s="708"/>
      <c r="H85" s="708"/>
      <c r="I85" s="657"/>
      <c r="J85" s="606"/>
    </row>
    <row r="86" spans="1:14" ht="12.75" x14ac:dyDescent="0.2">
      <c r="A86" s="568" t="s">
        <v>927</v>
      </c>
      <c r="B86" s="703"/>
      <c r="C86" s="703">
        <v>4865</v>
      </c>
      <c r="D86" s="703">
        <v>1140</v>
      </c>
      <c r="E86" s="723"/>
      <c r="F86" s="657"/>
      <c r="G86" s="565">
        <v>4705</v>
      </c>
      <c r="H86" s="970">
        <v>1210</v>
      </c>
      <c r="I86" s="290">
        <f>G86*H86</f>
        <v>5693050</v>
      </c>
      <c r="J86" s="606"/>
    </row>
    <row r="87" spans="1:14" ht="48" x14ac:dyDescent="0.2">
      <c r="A87" s="700" t="s">
        <v>928</v>
      </c>
      <c r="B87" s="703"/>
      <c r="C87" s="703"/>
      <c r="D87" s="703"/>
      <c r="E87" s="723"/>
      <c r="F87" s="815" t="s">
        <v>1106</v>
      </c>
      <c r="G87" s="703"/>
      <c r="H87" s="703"/>
      <c r="I87" s="290">
        <v>0</v>
      </c>
      <c r="J87" s="606"/>
    </row>
    <row r="88" spans="1:14" ht="48" x14ac:dyDescent="0.2">
      <c r="A88" s="700" t="s">
        <v>1107</v>
      </c>
      <c r="B88" s="703"/>
      <c r="C88" s="703"/>
      <c r="D88" s="703"/>
      <c r="E88" s="723"/>
      <c r="F88" s="815" t="s">
        <v>1108</v>
      </c>
      <c r="G88" s="703"/>
      <c r="H88" s="703"/>
      <c r="I88" s="290">
        <v>0</v>
      </c>
      <c r="J88" s="606"/>
    </row>
    <row r="89" spans="1:14" ht="12.75" x14ac:dyDescent="0.2">
      <c r="A89" s="714" t="s">
        <v>1109</v>
      </c>
      <c r="B89" s="719"/>
      <c r="C89" s="703"/>
      <c r="D89" s="717"/>
      <c r="E89" s="703"/>
      <c r="F89" s="657"/>
      <c r="G89" s="708"/>
      <c r="H89" s="708"/>
      <c r="I89" s="657"/>
      <c r="J89" s="606"/>
      <c r="K89" s="709">
        <f>SUM(I86+I87)</f>
        <v>5693050</v>
      </c>
      <c r="L89" s="6" t="s">
        <v>964</v>
      </c>
    </row>
    <row r="90" spans="1:14" ht="24" x14ac:dyDescent="0.2">
      <c r="A90" s="724" t="s">
        <v>1110</v>
      </c>
      <c r="B90" s="775"/>
      <c r="C90" s="776"/>
      <c r="D90" s="565"/>
      <c r="E90" s="565"/>
      <c r="F90" s="777"/>
      <c r="G90" s="563"/>
      <c r="H90" s="563"/>
      <c r="I90" s="657"/>
      <c r="J90" s="606"/>
      <c r="K90" s="709"/>
      <c r="L90" s="709">
        <f>I15+I18+I21+I24+I27+I30+I33</f>
        <v>-123432901</v>
      </c>
      <c r="M90" s="778" t="s">
        <v>965</v>
      </c>
      <c r="N90" s="289"/>
    </row>
    <row r="91" spans="1:14" ht="12.75" x14ac:dyDescent="0.2">
      <c r="A91" s="749" t="s">
        <v>1111</v>
      </c>
      <c r="B91" s="779"/>
      <c r="C91" s="780"/>
      <c r="D91" s="781"/>
      <c r="E91" s="781"/>
      <c r="F91" s="782"/>
      <c r="G91" s="783"/>
      <c r="H91" s="783"/>
      <c r="I91" s="784">
        <v>0</v>
      </c>
      <c r="J91" s="606"/>
      <c r="K91" s="709"/>
      <c r="L91" s="709"/>
      <c r="M91" s="778"/>
      <c r="N91" s="289"/>
    </row>
    <row r="92" spans="1:14" ht="12.75" x14ac:dyDescent="0.2">
      <c r="A92" s="749"/>
      <c r="B92" s="779"/>
      <c r="C92" s="780"/>
      <c r="D92" s="781"/>
      <c r="E92" s="781"/>
      <c r="F92" s="779"/>
      <c r="G92" s="783"/>
      <c r="H92" s="783"/>
      <c r="I92" s="730"/>
      <c r="J92" s="606"/>
      <c r="K92" s="709"/>
      <c r="L92" s="709"/>
      <c r="N92" s="289"/>
    </row>
    <row r="93" spans="1:14" ht="12.75" x14ac:dyDescent="0.2">
      <c r="A93" s="749" t="s">
        <v>949</v>
      </c>
      <c r="B93" s="779"/>
      <c r="C93" s="780"/>
      <c r="D93" s="781"/>
      <c r="E93" s="781"/>
      <c r="F93" s="779"/>
      <c r="G93" s="783"/>
      <c r="H93" s="783"/>
      <c r="I93" s="730"/>
      <c r="J93" s="606"/>
      <c r="K93" s="709"/>
      <c r="L93" s="709"/>
      <c r="N93" s="289"/>
    </row>
    <row r="94" spans="1:14" ht="12.75" x14ac:dyDescent="0.2">
      <c r="A94" s="749" t="s">
        <v>950</v>
      </c>
      <c r="B94" s="779"/>
      <c r="C94" s="780"/>
      <c r="D94" s="781"/>
      <c r="E94" s="781"/>
      <c r="F94" s="779"/>
      <c r="G94" s="783"/>
      <c r="H94" s="783"/>
      <c r="I94" s="784">
        <v>0</v>
      </c>
      <c r="J94" s="606"/>
      <c r="K94" s="709"/>
      <c r="L94" s="709"/>
      <c r="N94" s="289"/>
    </row>
    <row r="95" spans="1:14" ht="12.75" x14ac:dyDescent="0.2">
      <c r="A95" s="750" t="s">
        <v>951</v>
      </c>
      <c r="B95" s="779"/>
      <c r="C95" s="780"/>
      <c r="D95" s="781"/>
      <c r="E95" s="781"/>
      <c r="F95" s="779"/>
      <c r="G95" s="783"/>
      <c r="H95" s="783"/>
      <c r="I95" s="784">
        <v>0</v>
      </c>
      <c r="J95" s="606"/>
      <c r="K95" s="709">
        <f>I94+I95</f>
        <v>0</v>
      </c>
      <c r="L95" s="709" t="s">
        <v>966</v>
      </c>
      <c r="N95" s="289"/>
    </row>
    <row r="96" spans="1:14" ht="13.5" thickBot="1" x14ac:dyDescent="0.25">
      <c r="A96" s="726"/>
      <c r="B96" s="727"/>
      <c r="C96" s="728"/>
      <c r="D96" s="729"/>
      <c r="E96" s="728"/>
      <c r="F96" s="730"/>
      <c r="G96" s="731"/>
      <c r="H96" s="731"/>
      <c r="I96" s="730"/>
      <c r="J96" s="606"/>
    </row>
    <row r="97" spans="1:256" ht="12.75" thickBot="1" x14ac:dyDescent="0.25">
      <c r="A97" s="732" t="s">
        <v>930</v>
      </c>
      <c r="B97" s="733"/>
      <c r="C97" s="733"/>
      <c r="D97" s="734"/>
      <c r="E97" s="735" t="e">
        <f>E12+E14+E17+E20+E23+E28+E31+E34+E40+E41+#REF!+E42+E44+E47+E49+E52+E56+E57+E61+E62+E65+E66+E69+#REF!+E72+E73+E75+E76</f>
        <v>#REF!</v>
      </c>
      <c r="F97" s="1172">
        <f>I12+I16+I19+I22+I25+I28+I31+I34+I35+I36+I40+I41+I42+I43+I44+I45+I47+I48+I49+I50+I52+I53+I56+I57+I64+I65+I67+I68+I69+I72+I73+I75+I76+I77+I80+I81+I82+I86+I87+I88+I94+I95+I91</f>
        <v>816493487</v>
      </c>
      <c r="G97" s="1172"/>
      <c r="H97" s="1172"/>
      <c r="I97" s="1173"/>
      <c r="J97" s="7"/>
      <c r="K97" s="736">
        <f>K78+K53+K35+K89</f>
        <v>816493487</v>
      </c>
      <c r="L97" s="785" t="s">
        <v>967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786"/>
      <c r="B99" s="787"/>
      <c r="C99" s="787"/>
      <c r="D99" s="787"/>
      <c r="E99" s="788"/>
      <c r="F99" s="789"/>
      <c r="G99" s="789"/>
      <c r="H99" s="789"/>
      <c r="I99" s="789"/>
    </row>
    <row r="100" spans="1:256" ht="12.75" x14ac:dyDescent="0.2">
      <c r="A100" s="971" t="s">
        <v>1155</v>
      </c>
    </row>
  </sheetData>
  <mergeCells count="8">
    <mergeCell ref="A1:I1"/>
    <mergeCell ref="F97:I97"/>
    <mergeCell ref="A8:A9"/>
    <mergeCell ref="B8:E8"/>
    <mergeCell ref="F8:I8"/>
    <mergeCell ref="F2:I2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9" scale="42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92" customWidth="1"/>
    <col min="2" max="2" width="9.85546875" style="192" hidden="1" customWidth="1"/>
    <col min="3" max="3" width="11.7109375" style="192" hidden="1" customWidth="1"/>
    <col min="4" max="4" width="9.85546875" style="192" hidden="1" customWidth="1"/>
    <col min="5" max="5" width="15.85546875" style="196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171" t="s">
        <v>312</v>
      </c>
      <c r="C1" s="1171"/>
      <c r="D1" s="1171"/>
      <c r="E1" s="1171"/>
    </row>
    <row r="2" spans="1:10" x14ac:dyDescent="0.2">
      <c r="F2" s="1184"/>
      <c r="G2" s="1184"/>
      <c r="H2" s="1184"/>
      <c r="I2" s="1184"/>
    </row>
    <row r="4" spans="1:10" ht="12.75" x14ac:dyDescent="0.2">
      <c r="A4" s="1182" t="s">
        <v>78</v>
      </c>
      <c r="B4" s="1182"/>
      <c r="C4" s="1182"/>
      <c r="D4" s="1182"/>
      <c r="E4" s="1182"/>
      <c r="F4" s="1183"/>
      <c r="G4" s="1183"/>
      <c r="H4" s="1183"/>
      <c r="I4" s="1183"/>
    </row>
    <row r="5" spans="1:10" ht="12.75" x14ac:dyDescent="0.2">
      <c r="A5" s="1182" t="s">
        <v>941</v>
      </c>
      <c r="B5" s="1182"/>
      <c r="C5" s="1182"/>
      <c r="D5" s="1182"/>
      <c r="E5" s="1182"/>
      <c r="F5" s="1183"/>
      <c r="G5" s="1183"/>
      <c r="H5" s="1183"/>
      <c r="I5" s="1183"/>
    </row>
    <row r="7" spans="1:10" ht="13.5" thickBot="1" x14ac:dyDescent="0.25">
      <c r="E7" s="561" t="s">
        <v>20</v>
      </c>
      <c r="F7" s="572"/>
    </row>
    <row r="8" spans="1:10" ht="12.75" customHeight="1" thickBot="1" x14ac:dyDescent="0.25">
      <c r="A8" s="1174" t="s">
        <v>79</v>
      </c>
      <c r="B8" s="1176" t="s">
        <v>116</v>
      </c>
      <c r="C8" s="1177"/>
      <c r="D8" s="1177"/>
      <c r="E8" s="1177"/>
      <c r="F8" s="1176" t="s">
        <v>952</v>
      </c>
      <c r="G8" s="1177"/>
      <c r="H8" s="1177"/>
      <c r="I8" s="1177"/>
    </row>
    <row r="9" spans="1:10" s="7" customFormat="1" ht="49.5" customHeight="1" thickBot="1" x14ac:dyDescent="0.25">
      <c r="A9" s="1175"/>
      <c r="B9" s="287" t="s">
        <v>80</v>
      </c>
      <c r="C9" s="193" t="s">
        <v>81</v>
      </c>
      <c r="D9" s="193" t="s">
        <v>722</v>
      </c>
      <c r="E9" s="288" t="s">
        <v>82</v>
      </c>
      <c r="F9" s="287" t="s">
        <v>80</v>
      </c>
      <c r="G9" s="193" t="s">
        <v>81</v>
      </c>
      <c r="H9" s="193" t="s">
        <v>722</v>
      </c>
      <c r="I9" s="288" t="s">
        <v>82</v>
      </c>
    </row>
    <row r="10" spans="1:10" ht="13.5" customHeight="1" x14ac:dyDescent="0.2">
      <c r="A10" s="573" t="s">
        <v>83</v>
      </c>
      <c r="B10" s="574"/>
      <c r="C10" s="574"/>
      <c r="D10" s="574"/>
      <c r="E10" s="574"/>
      <c r="F10" s="575"/>
      <c r="G10" s="575"/>
      <c r="H10" s="575"/>
      <c r="I10" s="575"/>
      <c r="J10" s="606"/>
    </row>
    <row r="11" spans="1:10" ht="13.5" customHeight="1" x14ac:dyDescent="0.2">
      <c r="A11" s="194" t="s">
        <v>862</v>
      </c>
      <c r="B11" s="195"/>
      <c r="C11" s="195"/>
      <c r="D11" s="195"/>
      <c r="E11" s="195"/>
      <c r="F11" s="562"/>
      <c r="G11" s="562"/>
      <c r="H11" s="562"/>
      <c r="I11" s="562"/>
      <c r="J11" s="606"/>
    </row>
    <row r="12" spans="1:10" ht="30.75" customHeight="1" x14ac:dyDescent="0.2">
      <c r="A12" s="700" t="s">
        <v>863</v>
      </c>
      <c r="B12" s="565">
        <v>4865</v>
      </c>
      <c r="C12" s="701">
        <v>18.690000000000001</v>
      </c>
      <c r="D12" s="565">
        <v>4580000</v>
      </c>
      <c r="E12" s="565">
        <f>C12*D12</f>
        <v>85600200</v>
      </c>
      <c r="F12" s="564">
        <v>4837</v>
      </c>
      <c r="G12" s="563">
        <v>18.62</v>
      </c>
      <c r="H12" s="563">
        <v>4580000</v>
      </c>
      <c r="I12" s="564">
        <f>G12*H12</f>
        <v>85279600</v>
      </c>
      <c r="J12" s="606"/>
    </row>
    <row r="13" spans="1:10" ht="13.5" customHeight="1" x14ac:dyDescent="0.2">
      <c r="A13" s="568" t="s">
        <v>864</v>
      </c>
      <c r="B13" s="565"/>
      <c r="C13" s="565"/>
      <c r="D13" s="565"/>
      <c r="E13" s="565"/>
      <c r="F13" s="564"/>
      <c r="G13" s="563"/>
      <c r="H13" s="563"/>
      <c r="I13" s="564"/>
      <c r="J13" s="606"/>
    </row>
    <row r="14" spans="1:10" ht="30" customHeight="1" x14ac:dyDescent="0.2">
      <c r="A14" s="700" t="s">
        <v>865</v>
      </c>
      <c r="B14" s="565"/>
      <c r="C14" s="566"/>
      <c r="D14" s="565" t="s">
        <v>313</v>
      </c>
      <c r="E14" s="565">
        <v>8328800</v>
      </c>
      <c r="F14" s="564"/>
      <c r="G14" s="563"/>
      <c r="H14" s="563" t="s">
        <v>313</v>
      </c>
      <c r="I14" s="564">
        <v>8329050</v>
      </c>
      <c r="J14" s="606"/>
    </row>
    <row r="15" spans="1:10" ht="30" customHeight="1" x14ac:dyDescent="0.2">
      <c r="A15" s="700" t="s">
        <v>866</v>
      </c>
      <c r="B15" s="565"/>
      <c r="C15" s="566"/>
      <c r="D15" s="565"/>
      <c r="E15" s="565"/>
      <c r="F15" s="564"/>
      <c r="G15" s="563"/>
      <c r="H15" s="563"/>
      <c r="I15" s="564">
        <v>-8329050</v>
      </c>
      <c r="J15" s="606"/>
    </row>
    <row r="16" spans="1:10" ht="30" customHeight="1" x14ac:dyDescent="0.2">
      <c r="A16" s="700" t="s">
        <v>867</v>
      </c>
      <c r="B16" s="565"/>
      <c r="C16" s="566"/>
      <c r="D16" s="565"/>
      <c r="E16" s="565"/>
      <c r="F16" s="564"/>
      <c r="G16" s="563"/>
      <c r="H16" s="563"/>
      <c r="I16" s="564">
        <f>I14+I15</f>
        <v>0</v>
      </c>
      <c r="J16" s="606"/>
    </row>
    <row r="17" spans="1:10" ht="16.5" customHeight="1" x14ac:dyDescent="0.2">
      <c r="A17" s="568" t="s">
        <v>868</v>
      </c>
      <c r="B17" s="565"/>
      <c r="C17" s="565"/>
      <c r="D17" s="702" t="s">
        <v>314</v>
      </c>
      <c r="E17" s="565">
        <v>18272000</v>
      </c>
      <c r="F17" s="564"/>
      <c r="G17" s="563"/>
      <c r="H17" s="563" t="s">
        <v>315</v>
      </c>
      <c r="I17" s="564">
        <v>18304000</v>
      </c>
      <c r="J17" s="606"/>
    </row>
    <row r="18" spans="1:10" ht="16.5" customHeight="1" x14ac:dyDescent="0.2">
      <c r="A18" s="568" t="s">
        <v>866</v>
      </c>
      <c r="B18" s="565"/>
      <c r="C18" s="565"/>
      <c r="D18" s="702"/>
      <c r="E18" s="565"/>
      <c r="F18" s="564"/>
      <c r="G18" s="563"/>
      <c r="H18" s="563"/>
      <c r="I18" s="564">
        <v>-18304000</v>
      </c>
      <c r="J18" s="606"/>
    </row>
    <row r="19" spans="1:10" ht="16.5" customHeight="1" x14ac:dyDescent="0.2">
      <c r="A19" s="568" t="s">
        <v>869</v>
      </c>
      <c r="B19" s="565"/>
      <c r="C19" s="565"/>
      <c r="D19" s="702"/>
      <c r="E19" s="565"/>
      <c r="F19" s="564"/>
      <c r="G19" s="563"/>
      <c r="H19" s="563"/>
      <c r="I19" s="564">
        <f>I17+I18</f>
        <v>0</v>
      </c>
      <c r="J19" s="606"/>
    </row>
    <row r="20" spans="1:10" ht="13.5" customHeight="1" x14ac:dyDescent="0.2">
      <c r="A20" s="568" t="s">
        <v>870</v>
      </c>
      <c r="B20" s="703"/>
      <c r="C20" s="703" t="s">
        <v>871</v>
      </c>
      <c r="D20" s="704" t="s">
        <v>723</v>
      </c>
      <c r="E20" s="703">
        <v>1355022</v>
      </c>
      <c r="F20" s="657"/>
      <c r="G20" s="703"/>
      <c r="H20" s="705" t="s">
        <v>723</v>
      </c>
      <c r="I20" s="564">
        <v>1355022</v>
      </c>
      <c r="J20" s="606"/>
    </row>
    <row r="21" spans="1:10" ht="13.5" customHeight="1" x14ac:dyDescent="0.2">
      <c r="A21" s="568" t="s">
        <v>872</v>
      </c>
      <c r="B21" s="703"/>
      <c r="C21" s="703"/>
      <c r="D21" s="704"/>
      <c r="E21" s="703"/>
      <c r="F21" s="657"/>
      <c r="G21" s="703"/>
      <c r="H21" s="705"/>
      <c r="I21" s="564">
        <v>-1355022</v>
      </c>
      <c r="J21" s="606"/>
    </row>
    <row r="22" spans="1:10" ht="13.5" customHeight="1" x14ac:dyDescent="0.2">
      <c r="A22" s="568" t="s">
        <v>873</v>
      </c>
      <c r="B22" s="703"/>
      <c r="C22" s="703"/>
      <c r="D22" s="704"/>
      <c r="E22" s="703"/>
      <c r="F22" s="657"/>
      <c r="G22" s="703"/>
      <c r="H22" s="705"/>
      <c r="I22" s="564">
        <f>I20+I21</f>
        <v>0</v>
      </c>
      <c r="J22" s="606"/>
    </row>
    <row r="23" spans="1:10" ht="13.5" customHeight="1" x14ac:dyDescent="0.2">
      <c r="A23" s="568" t="s">
        <v>874</v>
      </c>
      <c r="B23" s="565"/>
      <c r="C23" s="566"/>
      <c r="D23" s="702" t="s">
        <v>724</v>
      </c>
      <c r="E23" s="565">
        <v>6369620</v>
      </c>
      <c r="F23" s="564"/>
      <c r="G23" s="563"/>
      <c r="H23" s="702" t="s">
        <v>724</v>
      </c>
      <c r="I23" s="564">
        <v>6369620</v>
      </c>
      <c r="J23" s="606"/>
    </row>
    <row r="24" spans="1:10" ht="13.5" customHeight="1" x14ac:dyDescent="0.2">
      <c r="A24" s="568" t="s">
        <v>872</v>
      </c>
      <c r="B24" s="565"/>
      <c r="C24" s="566"/>
      <c r="D24" s="702"/>
      <c r="E24" s="565"/>
      <c r="F24" s="564"/>
      <c r="G24" s="563"/>
      <c r="H24" s="702"/>
      <c r="I24" s="564">
        <v>-6369620</v>
      </c>
      <c r="J24" s="606"/>
    </row>
    <row r="25" spans="1:10" ht="13.5" customHeight="1" x14ac:dyDescent="0.2">
      <c r="A25" s="568" t="s">
        <v>875</v>
      </c>
      <c r="B25" s="565"/>
      <c r="C25" s="566"/>
      <c r="D25" s="702"/>
      <c r="E25" s="565"/>
      <c r="F25" s="564"/>
      <c r="G25" s="563"/>
      <c r="H25" s="702"/>
      <c r="I25" s="564">
        <f>I23+I24</f>
        <v>0</v>
      </c>
      <c r="J25" s="606"/>
    </row>
    <row r="26" spans="1:10" ht="13.5" customHeight="1" x14ac:dyDescent="0.2">
      <c r="A26" s="568" t="s">
        <v>876</v>
      </c>
      <c r="B26" s="565">
        <v>4865</v>
      </c>
      <c r="C26" s="565"/>
      <c r="D26" s="565">
        <v>2700</v>
      </c>
      <c r="E26" s="565">
        <f>B26*D26</f>
        <v>13135500</v>
      </c>
      <c r="F26" s="564">
        <v>4837</v>
      </c>
      <c r="G26" s="563"/>
      <c r="H26" s="565">
        <v>2700</v>
      </c>
      <c r="I26" s="564">
        <f>F26*H26</f>
        <v>13059900</v>
      </c>
      <c r="J26" s="606"/>
    </row>
    <row r="27" spans="1:10" ht="13.5" customHeight="1" x14ac:dyDescent="0.2">
      <c r="A27" s="568" t="s">
        <v>877</v>
      </c>
      <c r="B27" s="565"/>
      <c r="C27" s="565"/>
      <c r="D27" s="565"/>
      <c r="E27" s="565">
        <v>-13135500</v>
      </c>
      <c r="F27" s="564"/>
      <c r="G27" s="563"/>
      <c r="H27" s="563"/>
      <c r="I27" s="564">
        <v>-13059900</v>
      </c>
      <c r="J27" s="606"/>
    </row>
    <row r="28" spans="1:10" ht="13.5" customHeight="1" x14ac:dyDescent="0.2">
      <c r="A28" s="568" t="s">
        <v>878</v>
      </c>
      <c r="B28" s="565"/>
      <c r="C28" s="565"/>
      <c r="D28" s="565"/>
      <c r="E28" s="565">
        <f>E26+E27</f>
        <v>0</v>
      </c>
      <c r="F28" s="564"/>
      <c r="G28" s="563"/>
      <c r="H28" s="563"/>
      <c r="I28" s="564">
        <f>I26+I27</f>
        <v>0</v>
      </c>
      <c r="J28" s="606"/>
    </row>
    <row r="29" spans="1:10" ht="13.5" customHeight="1" x14ac:dyDescent="0.2">
      <c r="A29" s="568" t="s">
        <v>879</v>
      </c>
      <c r="B29" s="703">
        <v>10</v>
      </c>
      <c r="C29" s="703"/>
      <c r="D29" s="703" t="s">
        <v>316</v>
      </c>
      <c r="E29" s="706">
        <v>25500</v>
      </c>
      <c r="F29" s="564">
        <v>11</v>
      </c>
      <c r="G29" s="563"/>
      <c r="H29" s="565" t="s">
        <v>316</v>
      </c>
      <c r="I29" s="564">
        <v>28050</v>
      </c>
      <c r="J29" s="606"/>
    </row>
    <row r="30" spans="1:10" ht="13.5" customHeight="1" x14ac:dyDescent="0.2">
      <c r="A30" s="568" t="s">
        <v>880</v>
      </c>
      <c r="B30" s="703"/>
      <c r="C30" s="703"/>
      <c r="D30" s="703"/>
      <c r="E30" s="706">
        <v>-25500</v>
      </c>
      <c r="F30" s="564"/>
      <c r="G30" s="563"/>
      <c r="H30" s="563"/>
      <c r="I30" s="564">
        <v>-28050</v>
      </c>
      <c r="J30" s="606"/>
    </row>
    <row r="31" spans="1:10" ht="13.5" customHeight="1" x14ac:dyDescent="0.2">
      <c r="A31" s="568" t="s">
        <v>881</v>
      </c>
      <c r="B31" s="703"/>
      <c r="C31" s="703"/>
      <c r="D31" s="703"/>
      <c r="E31" s="706">
        <v>0</v>
      </c>
      <c r="F31" s="564"/>
      <c r="G31" s="563"/>
      <c r="H31" s="563"/>
      <c r="I31" s="564">
        <f>I29+I30</f>
        <v>0</v>
      </c>
      <c r="J31" s="606"/>
    </row>
    <row r="32" spans="1:10" ht="13.5" customHeight="1" x14ac:dyDescent="0.2">
      <c r="A32" s="568" t="s">
        <v>882</v>
      </c>
      <c r="B32" s="565"/>
      <c r="C32" s="565">
        <v>487729000</v>
      </c>
      <c r="D32" s="566">
        <v>1.55</v>
      </c>
      <c r="E32" s="565">
        <f>C32*D32</f>
        <v>755979950</v>
      </c>
      <c r="F32" s="564"/>
      <c r="G32" s="751">
        <v>482296000</v>
      </c>
      <c r="H32" s="752">
        <v>1.55</v>
      </c>
      <c r="I32" s="751">
        <f>G32*H32</f>
        <v>747558800</v>
      </c>
      <c r="J32" s="606"/>
    </row>
    <row r="33" spans="1:11" ht="13.5" customHeight="1" x14ac:dyDescent="0.2">
      <c r="A33" s="568" t="s">
        <v>877</v>
      </c>
      <c r="B33" s="565"/>
      <c r="C33" s="565"/>
      <c r="D33" s="569"/>
      <c r="E33" s="565">
        <v>-98054262</v>
      </c>
      <c r="F33" s="564"/>
      <c r="G33" s="563"/>
      <c r="H33" s="563"/>
      <c r="I33" s="564">
        <v>-69343482</v>
      </c>
      <c r="J33" s="606"/>
    </row>
    <row r="34" spans="1:11" ht="13.5" customHeight="1" x14ac:dyDescent="0.2">
      <c r="A34" s="568" t="s">
        <v>883</v>
      </c>
      <c r="B34" s="565"/>
      <c r="C34" s="565"/>
      <c r="D34" s="569"/>
      <c r="E34" s="565">
        <f>E32+E33</f>
        <v>657925688</v>
      </c>
      <c r="F34" s="564"/>
      <c r="G34" s="563"/>
      <c r="H34" s="563"/>
      <c r="I34" s="564">
        <f>I32+I33</f>
        <v>678215318</v>
      </c>
      <c r="J34" s="606"/>
    </row>
    <row r="35" spans="1:11" ht="13.5" customHeight="1" x14ac:dyDescent="0.2">
      <c r="A35" s="707" t="s">
        <v>884</v>
      </c>
      <c r="B35" s="703"/>
      <c r="C35" s="703"/>
      <c r="D35" s="703"/>
      <c r="E35" s="703">
        <v>0</v>
      </c>
      <c r="F35" s="657"/>
      <c r="G35" s="708"/>
      <c r="H35" s="708"/>
      <c r="I35" s="657">
        <v>0</v>
      </c>
      <c r="J35" s="606"/>
    </row>
    <row r="36" spans="1:11" ht="13.5" customHeight="1" x14ac:dyDescent="0.2">
      <c r="A36" s="707"/>
      <c r="B36" s="703"/>
      <c r="C36" s="703"/>
      <c r="D36" s="703"/>
      <c r="E36" s="703"/>
      <c r="F36" s="657"/>
      <c r="G36" s="708"/>
      <c r="H36" s="708"/>
      <c r="I36" s="657"/>
      <c r="J36" s="606"/>
      <c r="K36" s="709"/>
    </row>
    <row r="37" spans="1:11" ht="24.95" customHeight="1" x14ac:dyDescent="0.2">
      <c r="A37" s="710" t="s">
        <v>84</v>
      </c>
      <c r="B37" s="703"/>
      <c r="C37" s="703"/>
      <c r="D37" s="703"/>
      <c r="E37" s="703"/>
      <c r="F37" s="657"/>
      <c r="G37" s="708"/>
      <c r="H37" s="708"/>
      <c r="I37" s="657"/>
      <c r="J37" s="606"/>
    </row>
    <row r="38" spans="1:11" ht="15" customHeight="1" x14ac:dyDescent="0.2">
      <c r="A38" s="700" t="s">
        <v>885</v>
      </c>
      <c r="B38" s="703"/>
      <c r="C38" s="703"/>
      <c r="D38" s="703"/>
      <c r="E38" s="703"/>
      <c r="F38" s="657"/>
      <c r="G38" s="708"/>
      <c r="H38" s="708"/>
      <c r="I38" s="657"/>
      <c r="J38" s="606"/>
    </row>
    <row r="39" spans="1:11" ht="24" customHeight="1" x14ac:dyDescent="0.2">
      <c r="A39" s="700" t="s">
        <v>886</v>
      </c>
      <c r="B39" s="565"/>
      <c r="C39" s="566">
        <v>13.1</v>
      </c>
      <c r="D39" s="565">
        <v>4152000</v>
      </c>
      <c r="E39" s="565">
        <f>C39*D39*8/12</f>
        <v>36260800</v>
      </c>
      <c r="F39" s="564"/>
      <c r="G39" s="563">
        <v>13.3</v>
      </c>
      <c r="H39" s="564">
        <v>4308000</v>
      </c>
      <c r="I39" s="564">
        <f>G39*8/12*4308000</f>
        <v>38197600</v>
      </c>
      <c r="J39" s="606"/>
    </row>
    <row r="40" spans="1:11" ht="24" customHeight="1" x14ac:dyDescent="0.2">
      <c r="A40" s="700" t="s">
        <v>887</v>
      </c>
      <c r="B40" s="565"/>
      <c r="C40" s="566">
        <v>13.1</v>
      </c>
      <c r="D40" s="567">
        <v>4152000</v>
      </c>
      <c r="E40" s="565">
        <f>C40*D40*4/12</f>
        <v>18130400</v>
      </c>
      <c r="F40" s="564"/>
      <c r="G40" s="711">
        <v>13.4</v>
      </c>
      <c r="H40" s="564">
        <v>4308000</v>
      </c>
      <c r="I40" s="564">
        <f>G40*4/12*H40</f>
        <v>19242400</v>
      </c>
      <c r="J40" s="606"/>
    </row>
    <row r="41" spans="1:11" ht="24.95" customHeight="1" x14ac:dyDescent="0.2">
      <c r="A41" s="700" t="s">
        <v>953</v>
      </c>
      <c r="B41" s="703"/>
      <c r="C41" s="712">
        <v>13.1</v>
      </c>
      <c r="D41" s="713">
        <v>35000</v>
      </c>
      <c r="E41" s="703">
        <f>C41*D41</f>
        <v>458500</v>
      </c>
      <c r="F41" s="657"/>
      <c r="G41" s="711">
        <v>13.4</v>
      </c>
      <c r="H41" s="564">
        <v>35000</v>
      </c>
      <c r="I41" s="564">
        <f>G41*H41</f>
        <v>469000</v>
      </c>
      <c r="J41" s="606"/>
    </row>
    <row r="42" spans="1:11" ht="24.95" customHeight="1" x14ac:dyDescent="0.2">
      <c r="A42" s="700" t="s">
        <v>888</v>
      </c>
      <c r="B42" s="703"/>
      <c r="C42" s="703">
        <v>10</v>
      </c>
      <c r="D42" s="703">
        <v>1800000</v>
      </c>
      <c r="E42" s="706">
        <f>C42*D42*8/12</f>
        <v>12000000</v>
      </c>
      <c r="F42" s="657"/>
      <c r="G42" s="711">
        <v>9</v>
      </c>
      <c r="H42" s="564">
        <v>1800000</v>
      </c>
      <c r="I42" s="564">
        <f>G42*H42*8/12</f>
        <v>10800000</v>
      </c>
      <c r="J42" s="606"/>
    </row>
    <row r="43" spans="1:11" ht="35.25" customHeight="1" x14ac:dyDescent="0.2">
      <c r="A43" s="714" t="s">
        <v>889</v>
      </c>
      <c r="B43" s="703"/>
      <c r="C43" s="703"/>
      <c r="D43" s="703"/>
      <c r="E43" s="706"/>
      <c r="F43" s="657"/>
      <c r="G43" s="711">
        <v>1</v>
      </c>
      <c r="H43" s="564">
        <v>4308000</v>
      </c>
      <c r="I43" s="564">
        <f>G43*H43*8/12</f>
        <v>2872000</v>
      </c>
      <c r="J43" s="606"/>
    </row>
    <row r="44" spans="1:11" ht="35.25" customHeight="1" x14ac:dyDescent="0.2">
      <c r="A44" s="700" t="s">
        <v>890</v>
      </c>
      <c r="B44" s="703"/>
      <c r="C44" s="703">
        <v>10</v>
      </c>
      <c r="D44" s="703">
        <v>1800000</v>
      </c>
      <c r="E44" s="703">
        <f>C44*D44*4/12</f>
        <v>6000000</v>
      </c>
      <c r="F44" s="657"/>
      <c r="G44" s="711">
        <v>9</v>
      </c>
      <c r="H44" s="564">
        <v>1800000</v>
      </c>
      <c r="I44" s="564">
        <f>G44*H44*4/12</f>
        <v>5400000</v>
      </c>
      <c r="J44" s="607"/>
    </row>
    <row r="45" spans="1:11" ht="35.25" customHeight="1" x14ac:dyDescent="0.2">
      <c r="A45" s="700" t="s">
        <v>891</v>
      </c>
      <c r="B45" s="703"/>
      <c r="C45" s="703"/>
      <c r="D45" s="703"/>
      <c r="E45" s="703"/>
      <c r="F45" s="657"/>
      <c r="G45" s="711">
        <v>1</v>
      </c>
      <c r="H45" s="564">
        <v>4308000</v>
      </c>
      <c r="I45" s="564">
        <f>G45*H45*4/12</f>
        <v>1436000</v>
      </c>
      <c r="J45" s="607"/>
    </row>
    <row r="46" spans="1:11" ht="13.5" customHeight="1" x14ac:dyDescent="0.2">
      <c r="A46" s="700" t="s">
        <v>892</v>
      </c>
      <c r="B46" s="703"/>
      <c r="C46" s="703"/>
      <c r="D46" s="703"/>
      <c r="E46" s="703"/>
      <c r="F46" s="657"/>
      <c r="G46" s="711">
        <v>1</v>
      </c>
      <c r="H46" s="564">
        <v>35000</v>
      </c>
      <c r="I46" s="564">
        <f>G46*H46</f>
        <v>35000</v>
      </c>
      <c r="J46" s="607"/>
    </row>
    <row r="47" spans="1:11" ht="13.5" customHeight="1" x14ac:dyDescent="0.2">
      <c r="A47" s="568" t="s">
        <v>893</v>
      </c>
      <c r="B47" s="703"/>
      <c r="C47" s="703"/>
      <c r="D47" s="703"/>
      <c r="E47" s="703"/>
      <c r="F47" s="657"/>
      <c r="G47" s="708"/>
      <c r="H47" s="708"/>
      <c r="I47" s="657"/>
      <c r="J47" s="606"/>
    </row>
    <row r="48" spans="1:11" ht="13.5" customHeight="1" x14ac:dyDescent="0.2">
      <c r="A48" s="700" t="s">
        <v>894</v>
      </c>
      <c r="B48" s="565"/>
      <c r="C48" s="565"/>
      <c r="D48" s="565"/>
      <c r="E48" s="565"/>
      <c r="F48" s="564"/>
      <c r="G48" s="564">
        <v>0</v>
      </c>
      <c r="H48" s="565">
        <v>80000</v>
      </c>
      <c r="I48" s="564">
        <f>G48*H48*8/12</f>
        <v>0</v>
      </c>
      <c r="J48" s="606"/>
    </row>
    <row r="49" spans="1:11" ht="13.5" customHeight="1" x14ac:dyDescent="0.2">
      <c r="A49" s="700" t="s">
        <v>895</v>
      </c>
      <c r="B49" s="565"/>
      <c r="C49" s="565">
        <v>142</v>
      </c>
      <c r="D49" s="565">
        <v>70000</v>
      </c>
      <c r="E49" s="565">
        <f>C49*D49*8/12</f>
        <v>6626666.666666667</v>
      </c>
      <c r="F49" s="564"/>
      <c r="G49" s="564">
        <v>144</v>
      </c>
      <c r="H49" s="565">
        <v>80000</v>
      </c>
      <c r="I49" s="564">
        <f>G49*H49*8/12</f>
        <v>7680000</v>
      </c>
      <c r="J49" s="606"/>
    </row>
    <row r="50" spans="1:11" ht="13.5" customHeight="1" x14ac:dyDescent="0.2">
      <c r="A50" s="700" t="s">
        <v>896</v>
      </c>
      <c r="B50" s="703"/>
      <c r="C50" s="703"/>
      <c r="D50" s="703"/>
      <c r="E50" s="703"/>
      <c r="F50" s="657"/>
      <c r="G50" s="564">
        <v>0</v>
      </c>
      <c r="H50" s="565">
        <v>80000</v>
      </c>
      <c r="I50" s="564">
        <f>G50*H50*8/12</f>
        <v>0</v>
      </c>
      <c r="J50" s="606"/>
    </row>
    <row r="51" spans="1:11" ht="39.75" customHeight="1" x14ac:dyDescent="0.2">
      <c r="A51" s="700" t="s">
        <v>897</v>
      </c>
      <c r="B51" s="703"/>
      <c r="C51" s="703">
        <v>142</v>
      </c>
      <c r="D51" s="703">
        <v>70000</v>
      </c>
      <c r="E51" s="703">
        <f>C51*D51*4/12</f>
        <v>3313333.3333333335</v>
      </c>
      <c r="F51" s="657"/>
      <c r="G51" s="564">
        <v>144</v>
      </c>
      <c r="H51" s="565">
        <v>80000</v>
      </c>
      <c r="I51" s="564">
        <f>G51*H51*4/12</f>
        <v>3840000</v>
      </c>
      <c r="J51" s="606"/>
    </row>
    <row r="52" spans="1:11" ht="50.25" customHeight="1" x14ac:dyDescent="0.2">
      <c r="A52" s="568" t="s">
        <v>898</v>
      </c>
      <c r="B52" s="703"/>
      <c r="C52" s="703"/>
      <c r="D52" s="703"/>
      <c r="E52" s="703">
        <v>0</v>
      </c>
      <c r="F52" s="657"/>
      <c r="G52" s="708"/>
      <c r="H52" s="708"/>
      <c r="I52" s="564">
        <v>740000</v>
      </c>
      <c r="J52" s="609"/>
    </row>
    <row r="53" spans="1:11" ht="13.5" customHeight="1" x14ac:dyDescent="0.2">
      <c r="A53" s="568" t="s">
        <v>899</v>
      </c>
      <c r="B53" s="565"/>
      <c r="C53" s="565"/>
      <c r="D53" s="565"/>
      <c r="E53" s="565"/>
      <c r="F53" s="564"/>
      <c r="G53" s="563"/>
      <c r="H53" s="563"/>
      <c r="I53" s="564"/>
      <c r="J53" s="606"/>
    </row>
    <row r="54" spans="1:11" ht="13.5" customHeight="1" x14ac:dyDescent="0.2">
      <c r="A54" s="700" t="s">
        <v>900</v>
      </c>
      <c r="B54" s="565"/>
      <c r="C54" s="565">
        <v>5</v>
      </c>
      <c r="D54" s="715" t="s">
        <v>317</v>
      </c>
      <c r="E54" s="565">
        <v>1760000</v>
      </c>
      <c r="F54" s="564"/>
      <c r="G54" s="564">
        <v>5</v>
      </c>
      <c r="H54" s="564">
        <v>384000</v>
      </c>
      <c r="I54" s="564">
        <f>G54*H54</f>
        <v>1920000</v>
      </c>
      <c r="J54" s="606"/>
    </row>
    <row r="55" spans="1:11" ht="13.5" customHeight="1" x14ac:dyDescent="0.2">
      <c r="A55" s="700" t="s">
        <v>901</v>
      </c>
      <c r="B55" s="703"/>
      <c r="C55" s="703"/>
      <c r="D55" s="703"/>
      <c r="E55" s="703"/>
      <c r="F55" s="657"/>
      <c r="G55" s="564">
        <v>1</v>
      </c>
      <c r="H55" s="564">
        <v>352000</v>
      </c>
      <c r="I55" s="564">
        <f>G55*H55</f>
        <v>352000</v>
      </c>
      <c r="J55" s="606"/>
    </row>
    <row r="56" spans="1:11" ht="12.75" customHeight="1" x14ac:dyDescent="0.2">
      <c r="A56" s="707"/>
      <c r="B56" s="703"/>
      <c r="C56" s="703"/>
      <c r="D56" s="703"/>
      <c r="E56" s="703"/>
      <c r="F56" s="657"/>
      <c r="G56" s="708"/>
      <c r="H56" s="708"/>
      <c r="I56" s="657"/>
      <c r="J56" s="606"/>
      <c r="K56" s="709"/>
    </row>
    <row r="57" spans="1:11" ht="13.5" customHeight="1" x14ac:dyDescent="0.2">
      <c r="A57" s="710" t="s">
        <v>85</v>
      </c>
      <c r="B57" s="703"/>
      <c r="C57" s="703"/>
      <c r="D57" s="703"/>
      <c r="E57" s="703"/>
      <c r="F57" s="657"/>
      <c r="G57" s="708"/>
      <c r="H57" s="708"/>
      <c r="I57" s="657"/>
      <c r="J57" s="606"/>
    </row>
    <row r="58" spans="1:11" ht="33.75" customHeight="1" x14ac:dyDescent="0.2">
      <c r="A58" s="707" t="s">
        <v>902</v>
      </c>
      <c r="B58" s="703"/>
      <c r="C58" s="703"/>
      <c r="D58" s="703"/>
      <c r="E58" s="703">
        <v>0</v>
      </c>
      <c r="F58" s="657"/>
      <c r="G58" s="708"/>
      <c r="H58" s="708"/>
      <c r="I58" s="657">
        <v>0</v>
      </c>
      <c r="J58" s="608"/>
    </row>
    <row r="59" spans="1:11" ht="27" customHeight="1" x14ac:dyDescent="0.2">
      <c r="A59" s="714" t="s">
        <v>903</v>
      </c>
      <c r="B59" s="703"/>
      <c r="C59" s="703"/>
      <c r="D59" s="703"/>
      <c r="E59" s="706">
        <v>0</v>
      </c>
      <c r="F59" s="657"/>
      <c r="G59" s="708"/>
      <c r="H59" s="708"/>
      <c r="I59" s="657">
        <v>0</v>
      </c>
      <c r="J59" s="606"/>
    </row>
    <row r="60" spans="1:11" ht="13.5" customHeight="1" x14ac:dyDescent="0.2">
      <c r="A60" s="568" t="s">
        <v>904</v>
      </c>
      <c r="B60" s="703"/>
      <c r="C60" s="703"/>
      <c r="D60" s="703"/>
      <c r="E60" s="703"/>
      <c r="F60" s="657"/>
      <c r="G60" s="708"/>
      <c r="H60" s="708"/>
      <c r="I60" s="657"/>
      <c r="J60" s="606"/>
    </row>
    <row r="61" spans="1:11" ht="13.5" customHeight="1" x14ac:dyDescent="0.2">
      <c r="A61" s="568" t="s">
        <v>905</v>
      </c>
      <c r="B61" s="703"/>
      <c r="C61" s="703"/>
      <c r="D61" s="703"/>
      <c r="E61" s="703"/>
      <c r="F61" s="657"/>
      <c r="G61" s="708"/>
      <c r="H61" s="708"/>
      <c r="I61" s="657"/>
      <c r="J61" s="606"/>
    </row>
    <row r="62" spans="1:11" ht="13.5" customHeight="1" x14ac:dyDescent="0.2">
      <c r="A62" s="568" t="s">
        <v>906</v>
      </c>
      <c r="B62" s="703"/>
      <c r="C62" s="703"/>
      <c r="D62" s="703"/>
      <c r="E62" s="703"/>
      <c r="F62" s="657"/>
      <c r="G62" s="708"/>
      <c r="H62" s="708"/>
      <c r="I62" s="657"/>
      <c r="J62" s="606"/>
    </row>
    <row r="63" spans="1:11" ht="28.5" customHeight="1" x14ac:dyDescent="0.2">
      <c r="A63" s="700" t="s">
        <v>907</v>
      </c>
      <c r="B63" s="707"/>
      <c r="C63" s="716"/>
      <c r="D63" s="703"/>
      <c r="E63" s="703">
        <f>C63*D63/2</f>
        <v>0</v>
      </c>
      <c r="F63" s="565">
        <v>7916</v>
      </c>
      <c r="G63" s="717"/>
      <c r="H63" s="708"/>
      <c r="I63" s="657"/>
      <c r="J63" s="608"/>
    </row>
    <row r="64" spans="1:11" ht="24.95" customHeight="1" x14ac:dyDescent="0.2">
      <c r="A64" s="714" t="s">
        <v>908</v>
      </c>
      <c r="B64" s="703"/>
      <c r="C64" s="707"/>
      <c r="D64" s="703"/>
      <c r="E64" s="703"/>
      <c r="F64" s="657"/>
      <c r="G64" s="570">
        <v>0</v>
      </c>
      <c r="H64" s="708"/>
      <c r="I64" s="657"/>
      <c r="J64" s="608"/>
    </row>
    <row r="65" spans="1:10" ht="24.95" customHeight="1" x14ac:dyDescent="0.2">
      <c r="A65" s="707" t="s">
        <v>909</v>
      </c>
      <c r="B65" s="703"/>
      <c r="C65" s="707"/>
      <c r="D65" s="703"/>
      <c r="E65" s="703"/>
      <c r="F65" s="657"/>
      <c r="G65" s="569">
        <v>1</v>
      </c>
      <c r="H65" s="708"/>
      <c r="I65" s="657"/>
      <c r="J65" s="606"/>
    </row>
    <row r="66" spans="1:10" ht="24.95" customHeight="1" x14ac:dyDescent="0.2">
      <c r="A66" s="568" t="s">
        <v>910</v>
      </c>
      <c r="B66" s="703"/>
      <c r="C66" s="718">
        <v>0.97299999999999998</v>
      </c>
      <c r="D66" s="703">
        <v>3000000</v>
      </c>
      <c r="E66" s="703"/>
      <c r="F66" s="657"/>
      <c r="G66" s="569">
        <v>2</v>
      </c>
      <c r="H66" s="565">
        <v>3000000</v>
      </c>
      <c r="I66" s="564">
        <f>(2*1+0)*3000000</f>
        <v>6000000</v>
      </c>
      <c r="J66" s="606"/>
    </row>
    <row r="67" spans="1:10" ht="13.5" customHeight="1" x14ac:dyDescent="0.2">
      <c r="A67" s="568" t="s">
        <v>911</v>
      </c>
      <c r="B67" s="719"/>
      <c r="C67" s="703">
        <v>80</v>
      </c>
      <c r="D67" s="703">
        <v>55360</v>
      </c>
      <c r="E67" s="703">
        <f>C67*D67</f>
        <v>4428800</v>
      </c>
      <c r="F67" s="657"/>
      <c r="G67" s="565">
        <v>80</v>
      </c>
      <c r="H67" s="565">
        <v>55360</v>
      </c>
      <c r="I67" s="565">
        <f>G67*H67</f>
        <v>4428800</v>
      </c>
      <c r="J67" s="606"/>
    </row>
    <row r="68" spans="1:10" ht="13.5" customHeight="1" x14ac:dyDescent="0.2">
      <c r="A68" s="568" t="s">
        <v>912</v>
      </c>
      <c r="B68" s="719"/>
      <c r="C68" s="703">
        <v>55</v>
      </c>
      <c r="D68" s="703">
        <v>145000</v>
      </c>
      <c r="E68" s="703">
        <f>C68*D68</f>
        <v>7975000</v>
      </c>
      <c r="F68" s="657"/>
      <c r="G68" s="565">
        <v>50</v>
      </c>
      <c r="H68" s="565">
        <v>145000</v>
      </c>
      <c r="I68" s="565">
        <f>G68*H68</f>
        <v>7250000</v>
      </c>
      <c r="J68" s="606"/>
    </row>
    <row r="69" spans="1:10" ht="13.5" customHeight="1" x14ac:dyDescent="0.2">
      <c r="A69" s="714" t="s">
        <v>913</v>
      </c>
      <c r="B69" s="720"/>
      <c r="C69" s="703">
        <v>23</v>
      </c>
      <c r="D69" s="703">
        <v>109000</v>
      </c>
      <c r="E69" s="703">
        <f>C69*D69</f>
        <v>2507000</v>
      </c>
      <c r="F69" s="657"/>
      <c r="G69" s="565">
        <v>23</v>
      </c>
      <c r="H69" s="565">
        <v>109000</v>
      </c>
      <c r="I69" s="565">
        <f>G69*H69</f>
        <v>2507000</v>
      </c>
      <c r="J69" s="606"/>
    </row>
    <row r="70" spans="1:10" ht="15" customHeight="1" x14ac:dyDescent="0.2">
      <c r="A70" s="700" t="s">
        <v>914</v>
      </c>
      <c r="B70" s="720"/>
      <c r="C70" s="703"/>
      <c r="D70" s="703"/>
      <c r="E70" s="703"/>
      <c r="F70" s="657"/>
      <c r="G70" s="708"/>
      <c r="H70" s="708"/>
      <c r="I70" s="657"/>
      <c r="J70" s="606"/>
    </row>
    <row r="71" spans="1:10" ht="13.5" customHeight="1" x14ac:dyDescent="0.2">
      <c r="A71" s="707" t="s">
        <v>915</v>
      </c>
      <c r="B71" s="707"/>
      <c r="C71" s="707"/>
      <c r="D71" s="657"/>
      <c r="E71" s="703"/>
      <c r="F71" s="657"/>
      <c r="G71" s="708"/>
      <c r="H71" s="708"/>
      <c r="I71" s="657"/>
      <c r="J71" s="606"/>
    </row>
    <row r="72" spans="1:10" ht="13.5" customHeight="1" x14ac:dyDescent="0.2">
      <c r="A72" s="568" t="s">
        <v>916</v>
      </c>
      <c r="B72" s="721"/>
      <c r="C72" s="703">
        <v>13</v>
      </c>
      <c r="D72" s="703">
        <v>494100</v>
      </c>
      <c r="E72" s="703">
        <f>C72*D72</f>
        <v>6423300</v>
      </c>
      <c r="F72" s="657"/>
      <c r="G72" s="565">
        <v>15</v>
      </c>
      <c r="H72" s="565">
        <v>494100</v>
      </c>
      <c r="I72" s="565">
        <f>G72*H72</f>
        <v>7411500</v>
      </c>
      <c r="J72" s="606"/>
    </row>
    <row r="73" spans="1:10" ht="13.5" customHeight="1" x14ac:dyDescent="0.2">
      <c r="A73" s="700" t="s">
        <v>917</v>
      </c>
      <c r="B73" s="719"/>
      <c r="C73" s="703"/>
      <c r="D73" s="703"/>
      <c r="E73" s="703"/>
      <c r="F73" s="657"/>
      <c r="G73" s="708"/>
      <c r="H73" s="708"/>
      <c r="I73" s="657"/>
      <c r="J73" s="606"/>
    </row>
    <row r="74" spans="1:10" ht="13.5" customHeight="1" x14ac:dyDescent="0.2">
      <c r="A74" s="700" t="s">
        <v>918</v>
      </c>
      <c r="B74" s="719"/>
      <c r="C74" s="703">
        <v>15</v>
      </c>
      <c r="D74" s="703">
        <v>2606040</v>
      </c>
      <c r="E74" s="703">
        <f>C74*D74</f>
        <v>39090600</v>
      </c>
      <c r="F74" s="657"/>
      <c r="G74" s="565">
        <v>15</v>
      </c>
      <c r="H74" s="565">
        <v>2606040</v>
      </c>
      <c r="I74" s="565">
        <f>G74*H74</f>
        <v>39090600</v>
      </c>
      <c r="J74" s="606"/>
    </row>
    <row r="75" spans="1:10" ht="24.95" customHeight="1" x14ac:dyDescent="0.2">
      <c r="A75" s="568" t="s">
        <v>919</v>
      </c>
      <c r="B75" s="719"/>
      <c r="C75" s="703"/>
      <c r="D75" s="703"/>
      <c r="E75" s="706">
        <v>37834000</v>
      </c>
      <c r="F75" s="657"/>
      <c r="G75" s="708"/>
      <c r="H75" s="708"/>
      <c r="I75" s="564">
        <v>31081000</v>
      </c>
      <c r="J75" s="610"/>
    </row>
    <row r="76" spans="1:10" ht="15" customHeight="1" x14ac:dyDescent="0.2">
      <c r="A76" s="568" t="s">
        <v>920</v>
      </c>
      <c r="B76" s="719"/>
      <c r="C76" s="703"/>
      <c r="D76" s="703"/>
      <c r="E76" s="703"/>
      <c r="F76" s="657"/>
      <c r="G76" s="708"/>
      <c r="H76" s="708"/>
      <c r="I76" s="657"/>
      <c r="J76" s="606"/>
    </row>
    <row r="77" spans="1:10" ht="34.5" customHeight="1" x14ac:dyDescent="0.2">
      <c r="A77" s="568" t="s">
        <v>921</v>
      </c>
      <c r="B77" s="703"/>
      <c r="C77" s="712">
        <v>12.33</v>
      </c>
      <c r="D77" s="703">
        <v>1632000</v>
      </c>
      <c r="E77" s="703">
        <f>C77*D77</f>
        <v>20122560</v>
      </c>
      <c r="F77" s="657"/>
      <c r="G77" s="566">
        <v>13.81</v>
      </c>
      <c r="H77" s="565">
        <v>1632000</v>
      </c>
      <c r="I77" s="565">
        <f>G77*H77</f>
        <v>22537920</v>
      </c>
      <c r="J77" s="611"/>
    </row>
    <row r="78" spans="1:10" ht="13.5" customHeight="1" x14ac:dyDescent="0.2">
      <c r="A78" s="568" t="s">
        <v>922</v>
      </c>
      <c r="B78" s="703"/>
      <c r="C78" s="703"/>
      <c r="D78" s="703"/>
      <c r="E78" s="706">
        <v>7038795</v>
      </c>
      <c r="F78" s="657"/>
      <c r="G78" s="708"/>
      <c r="H78" s="708"/>
      <c r="I78" s="564">
        <v>10352656</v>
      </c>
      <c r="J78" s="612"/>
    </row>
    <row r="79" spans="1:10" ht="13.5" customHeight="1" x14ac:dyDescent="0.2">
      <c r="A79" s="700" t="s">
        <v>923</v>
      </c>
      <c r="B79" s="703"/>
      <c r="C79" s="703"/>
      <c r="D79" s="703"/>
      <c r="E79" s="706"/>
      <c r="F79" s="657"/>
      <c r="G79" s="564">
        <v>280</v>
      </c>
      <c r="H79" s="564">
        <v>285</v>
      </c>
      <c r="I79" s="564">
        <f>G79*H79</f>
        <v>79800</v>
      </c>
      <c r="J79" s="606"/>
    </row>
    <row r="80" spans="1:10" ht="31.5" customHeight="1" x14ac:dyDescent="0.2">
      <c r="A80" s="568" t="s">
        <v>924</v>
      </c>
      <c r="B80" s="703"/>
      <c r="C80" s="703"/>
      <c r="D80" s="703"/>
      <c r="E80" s="706">
        <v>0</v>
      </c>
      <c r="F80" s="657"/>
      <c r="G80" s="708"/>
      <c r="H80" s="708"/>
      <c r="I80" s="564">
        <v>0</v>
      </c>
      <c r="J80" s="606"/>
    </row>
    <row r="81" spans="1:256" ht="28.5" customHeight="1" x14ac:dyDescent="0.2">
      <c r="A81" s="707"/>
      <c r="B81" s="703"/>
      <c r="C81" s="703"/>
      <c r="D81" s="703"/>
      <c r="E81" s="722"/>
      <c r="F81" s="657"/>
      <c r="G81" s="708"/>
      <c r="H81" s="708"/>
      <c r="I81" s="657"/>
      <c r="J81" s="606"/>
      <c r="K81" s="709"/>
    </row>
    <row r="82" spans="1:256" ht="13.5" customHeight="1" x14ac:dyDescent="0.2">
      <c r="A82" s="710" t="s">
        <v>925</v>
      </c>
      <c r="B82" s="703"/>
      <c r="C82" s="703"/>
      <c r="D82" s="703"/>
      <c r="E82" s="722"/>
      <c r="F82" s="657"/>
      <c r="G82" s="708"/>
      <c r="H82" s="708"/>
      <c r="I82" s="657"/>
      <c r="J82" s="606"/>
    </row>
    <row r="83" spans="1:256" ht="13.5" customHeight="1" x14ac:dyDescent="0.2">
      <c r="A83" s="568" t="s">
        <v>926</v>
      </c>
      <c r="B83" s="703"/>
      <c r="C83" s="703"/>
      <c r="D83" s="703"/>
      <c r="E83" s="722"/>
      <c r="F83" s="657"/>
      <c r="G83" s="708"/>
      <c r="H83" s="708"/>
      <c r="I83" s="657"/>
      <c r="J83" s="606"/>
    </row>
    <row r="84" spans="1:256" ht="13.5" customHeight="1" x14ac:dyDescent="0.2">
      <c r="A84" s="568" t="s">
        <v>927</v>
      </c>
      <c r="B84" s="703"/>
      <c r="C84" s="703">
        <v>4865</v>
      </c>
      <c r="D84" s="703">
        <v>1140</v>
      </c>
      <c r="E84" s="723"/>
      <c r="F84" s="657"/>
      <c r="G84" s="565">
        <v>4837</v>
      </c>
      <c r="H84" s="565">
        <v>1140</v>
      </c>
      <c r="I84" s="290">
        <f>G84*H84</f>
        <v>5514180</v>
      </c>
      <c r="J84" s="606"/>
    </row>
    <row r="85" spans="1:256" ht="30" customHeight="1" x14ac:dyDescent="0.2">
      <c r="A85" s="700" t="s">
        <v>928</v>
      </c>
      <c r="B85" s="703"/>
      <c r="C85" s="703"/>
      <c r="D85" s="703"/>
      <c r="E85" s="723"/>
      <c r="F85" s="657"/>
      <c r="G85" s="703"/>
      <c r="H85" s="703"/>
      <c r="I85" s="290">
        <v>0</v>
      </c>
      <c r="J85" s="606"/>
    </row>
    <row r="86" spans="1:256" ht="13.5" customHeight="1" x14ac:dyDescent="0.2">
      <c r="A86" s="714"/>
      <c r="B86" s="719"/>
      <c r="C86" s="703"/>
      <c r="D86" s="717"/>
      <c r="E86" s="703"/>
      <c r="F86" s="657"/>
      <c r="G86" s="708"/>
      <c r="H86" s="708"/>
      <c r="I86" s="657"/>
      <c r="J86" s="606"/>
      <c r="K86" s="709"/>
    </row>
    <row r="87" spans="1:256" ht="25.5" customHeight="1" x14ac:dyDescent="0.2">
      <c r="A87" s="724" t="s">
        <v>929</v>
      </c>
      <c r="B87" s="719"/>
      <c r="C87" s="725"/>
      <c r="D87" s="703"/>
      <c r="E87" s="706"/>
      <c r="F87" s="719"/>
      <c r="G87" s="708"/>
      <c r="H87" s="708"/>
      <c r="I87" s="657"/>
      <c r="J87" s="606"/>
      <c r="K87" s="709"/>
      <c r="L87" s="709"/>
      <c r="N87" s="289"/>
    </row>
    <row r="88" spans="1:256" ht="13.5" customHeight="1" thickBot="1" x14ac:dyDescent="0.25">
      <c r="A88" s="726"/>
      <c r="B88" s="727"/>
      <c r="C88" s="728"/>
      <c r="D88" s="729"/>
      <c r="E88" s="728"/>
      <c r="F88" s="730"/>
      <c r="G88" s="731"/>
      <c r="H88" s="731"/>
      <c r="I88" s="730"/>
      <c r="J88" s="606"/>
    </row>
    <row r="89" spans="1:256" ht="11.25" customHeight="1" thickBot="1" x14ac:dyDescent="0.25">
      <c r="A89" s="732" t="s">
        <v>930</v>
      </c>
      <c r="B89" s="733"/>
      <c r="C89" s="733"/>
      <c r="D89" s="734"/>
      <c r="E89" s="735">
        <f>E12+E14+E17+E20+E23+E28+E31+E34+E39+E40+E41+E42+E44+E49+E51+E54+E58+E59+E63+E64+E67+E68+E69+E72+E74+E75+E77+E78</f>
        <v>987821085</v>
      </c>
      <c r="F89" s="1172">
        <f>I12+I16+I19+I22+I25+I28+I31+I34+I35+I39+I40+I41+I42+I44+I49+I50+I51+I52+I54+I58+I59+I66+I67+I68+I69+I72+I74+I75+I77+I78+I79+I80+I84+I45+I46+I43+I55</f>
        <v>992732374</v>
      </c>
      <c r="G89" s="1172"/>
      <c r="H89" s="1172"/>
      <c r="I89" s="1173"/>
      <c r="J89" s="7"/>
      <c r="K89" s="736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92"/>
      <c r="B91" s="192"/>
      <c r="C91" s="192"/>
      <c r="D91" s="192"/>
      <c r="E91" s="19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4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0"/>
  <sheetViews>
    <sheetView workbookViewId="0">
      <selection activeCell="L13" sqref="L13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48" customWidth="1"/>
    <col min="6" max="6" width="15.140625" style="3" customWidth="1"/>
    <col min="7" max="7" width="0" style="248" hidden="1" customWidth="1"/>
    <col min="8" max="8" width="0" style="300" hidden="1" customWidth="1"/>
    <col min="9" max="9" width="10.28515625" style="248" hidden="1" customWidth="1"/>
    <col min="10" max="16384" width="9.140625" style="4"/>
  </cols>
  <sheetData>
    <row r="1" spans="1:10" x14ac:dyDescent="0.2">
      <c r="A1" s="1185" t="s">
        <v>1226</v>
      </c>
      <c r="B1" s="1185"/>
      <c r="C1" s="1185"/>
      <c r="D1" s="1185"/>
      <c r="E1" s="1185"/>
      <c r="F1" s="1185"/>
      <c r="G1" s="1185"/>
      <c r="H1" s="1185"/>
      <c r="I1" s="1185"/>
    </row>
    <row r="3" spans="1:10" ht="15" customHeight="1" x14ac:dyDescent="0.2">
      <c r="B3" s="1188" t="s">
        <v>78</v>
      </c>
      <c r="C3" s="1188"/>
      <c r="D3" s="1188"/>
      <c r="E3" s="1188"/>
      <c r="F3" s="1188"/>
      <c r="G3" s="1189"/>
      <c r="H3" s="1189"/>
      <c r="I3" s="1189"/>
    </row>
    <row r="4" spans="1:10" ht="15" customHeight="1" x14ac:dyDescent="0.2">
      <c r="B4" s="1192" t="s">
        <v>1122</v>
      </c>
      <c r="C4" s="1192"/>
      <c r="D4" s="1192"/>
      <c r="E4" s="1192"/>
      <c r="F4" s="1192"/>
      <c r="G4" s="4"/>
      <c r="H4" s="4"/>
      <c r="I4" s="4"/>
    </row>
    <row r="5" spans="1:10" ht="15" customHeight="1" x14ac:dyDescent="0.2">
      <c r="B5" s="1188"/>
      <c r="C5" s="1188"/>
      <c r="D5" s="1188"/>
      <c r="E5" s="1188"/>
    </row>
    <row r="6" spans="1:10" ht="15" customHeight="1" x14ac:dyDescent="0.2">
      <c r="B6" s="1190" t="s">
        <v>321</v>
      </c>
      <c r="C6" s="1191"/>
      <c r="D6" s="1191"/>
      <c r="E6" s="1191"/>
      <c r="F6" s="1191"/>
      <c r="G6" s="1191"/>
      <c r="H6" s="1191"/>
      <c r="I6" s="1191"/>
    </row>
    <row r="7" spans="1:10" ht="48.75" customHeight="1" x14ac:dyDescent="0.2">
      <c r="B7" s="231" t="s">
        <v>86</v>
      </c>
      <c r="C7" s="155" t="s">
        <v>1184</v>
      </c>
      <c r="D7" s="1187" t="s">
        <v>1185</v>
      </c>
      <c r="E7" s="1187"/>
      <c r="F7" s="1187"/>
      <c r="G7" s="1187" t="s">
        <v>599</v>
      </c>
      <c r="H7" s="1187"/>
      <c r="I7" s="1187"/>
    </row>
    <row r="8" spans="1:10" ht="35.450000000000003" customHeight="1" x14ac:dyDescent="0.2">
      <c r="B8" s="232"/>
      <c r="C8" s="31"/>
      <c r="D8" s="156" t="s">
        <v>62</v>
      </c>
      <c r="E8" s="233" t="s">
        <v>63</v>
      </c>
      <c r="F8" s="233" t="s">
        <v>1186</v>
      </c>
      <c r="G8" s="4"/>
      <c r="H8" s="4"/>
      <c r="I8" s="4"/>
    </row>
    <row r="9" spans="1:10" ht="15.95" customHeight="1" x14ac:dyDescent="0.2">
      <c r="B9" s="234" t="s">
        <v>611</v>
      </c>
      <c r="C9" s="235"/>
      <c r="D9" s="236"/>
      <c r="E9" s="237"/>
      <c r="F9" s="485"/>
      <c r="G9" s="4"/>
      <c r="H9" s="4"/>
      <c r="I9" s="4"/>
      <c r="J9" s="625"/>
    </row>
    <row r="10" spans="1:10" ht="40.5" customHeight="1" x14ac:dyDescent="0.2">
      <c r="B10" s="3" t="s">
        <v>612</v>
      </c>
      <c r="C10" s="592" t="s">
        <v>596</v>
      </c>
      <c r="D10" s="908">
        <v>125390</v>
      </c>
      <c r="E10" s="268">
        <v>98610</v>
      </c>
      <c r="F10" s="486">
        <f>SUM(D10:E10)</f>
        <v>224000</v>
      </c>
      <c r="G10" s="4"/>
      <c r="H10" s="4"/>
      <c r="I10" s="4"/>
      <c r="J10" s="625"/>
    </row>
    <row r="11" spans="1:10" ht="31.5" customHeight="1" x14ac:dyDescent="0.2">
      <c r="B11" s="3" t="s">
        <v>613</v>
      </c>
      <c r="C11" s="3" t="s">
        <v>310</v>
      </c>
      <c r="D11" s="341">
        <v>154677</v>
      </c>
      <c r="E11" s="268">
        <v>394323</v>
      </c>
      <c r="F11" s="486">
        <f>SUM(D11:E11)</f>
        <v>549000</v>
      </c>
      <c r="G11" s="4"/>
      <c r="H11" s="4"/>
      <c r="I11" s="4"/>
      <c r="J11" s="658"/>
    </row>
    <row r="12" spans="1:10" ht="15.95" customHeight="1" x14ac:dyDescent="0.2">
      <c r="B12" s="3" t="s">
        <v>614</v>
      </c>
      <c r="C12" s="239" t="s">
        <v>615</v>
      </c>
      <c r="D12" s="341">
        <v>144919</v>
      </c>
      <c r="E12" s="268">
        <v>286081</v>
      </c>
      <c r="F12" s="486">
        <f>SUM(D12:E12)</f>
        <v>431000</v>
      </c>
      <c r="G12" s="4"/>
      <c r="H12" s="4"/>
      <c r="I12" s="4"/>
      <c r="J12" s="625"/>
    </row>
    <row r="13" spans="1:10" ht="15.95" customHeight="1" x14ac:dyDescent="0.2">
      <c r="B13" s="235" t="s">
        <v>616</v>
      </c>
      <c r="C13" s="239"/>
      <c r="D13" s="909">
        <f>SUM(D10:D12)</f>
        <v>424986</v>
      </c>
      <c r="E13" s="270">
        <f>SUM(E10:E12)</f>
        <v>779014</v>
      </c>
      <c r="F13" s="910">
        <f>SUM(D13:E13)</f>
        <v>1204000</v>
      </c>
      <c r="G13" s="4"/>
      <c r="H13" s="4"/>
      <c r="I13" s="4"/>
      <c r="J13" s="625"/>
    </row>
    <row r="14" spans="1:10" ht="15.95" customHeight="1" x14ac:dyDescent="0.2">
      <c r="C14" s="239"/>
      <c r="D14" s="341"/>
      <c r="E14" s="268"/>
      <c r="F14" s="486">
        <f t="shared" ref="F14:F30" si="0">SUM(D14:E14)</f>
        <v>0</v>
      </c>
      <c r="G14" s="4"/>
      <c r="H14" s="4"/>
      <c r="I14" s="4"/>
      <c r="J14" s="625"/>
    </row>
    <row r="15" spans="1:10" s="313" customFormat="1" ht="45.75" customHeight="1" x14ac:dyDescent="0.2">
      <c r="B15" s="590" t="s">
        <v>617</v>
      </c>
      <c r="C15" s="591"/>
      <c r="D15" s="909">
        <v>4500</v>
      </c>
      <c r="E15" s="270"/>
      <c r="F15" s="910">
        <f>D15+E15</f>
        <v>4500</v>
      </c>
      <c r="J15" s="626"/>
    </row>
    <row r="16" spans="1:10" ht="15.95" customHeight="1" x14ac:dyDescent="0.2">
      <c r="B16" s="235"/>
      <c r="C16" s="241"/>
      <c r="D16" s="341"/>
      <c r="E16" s="268"/>
      <c r="F16" s="486">
        <f t="shared" si="0"/>
        <v>0</v>
      </c>
      <c r="G16" s="4"/>
      <c r="H16" s="4"/>
      <c r="I16" s="4"/>
      <c r="J16" s="625"/>
    </row>
    <row r="17" spans="2:10" ht="15.95" customHeight="1" x14ac:dyDescent="0.2">
      <c r="B17" s="1186" t="s">
        <v>618</v>
      </c>
      <c r="C17" s="1186"/>
      <c r="D17" s="341"/>
      <c r="E17" s="268"/>
      <c r="F17" s="486">
        <f t="shared" si="0"/>
        <v>0</v>
      </c>
      <c r="G17" s="4"/>
      <c r="H17" s="4"/>
      <c r="I17" s="4"/>
      <c r="J17" s="625"/>
    </row>
    <row r="18" spans="2:10" ht="15.95" customHeight="1" x14ac:dyDescent="0.2">
      <c r="C18" s="239"/>
      <c r="D18" s="341"/>
      <c r="E18" s="268"/>
      <c r="F18" s="486">
        <f t="shared" si="0"/>
        <v>0</v>
      </c>
      <c r="G18" s="4"/>
      <c r="H18" s="4"/>
      <c r="I18" s="4"/>
      <c r="J18" s="625"/>
    </row>
    <row r="19" spans="2:10" ht="28.5" customHeight="1" x14ac:dyDescent="0.2">
      <c r="B19" s="242"/>
      <c r="C19" s="243"/>
      <c r="D19" s="341"/>
      <c r="E19" s="268"/>
      <c r="F19" s="486">
        <f t="shared" si="0"/>
        <v>0</v>
      </c>
      <c r="G19" s="4"/>
      <c r="H19" s="4"/>
      <c r="I19" s="4"/>
      <c r="J19" s="625"/>
    </row>
    <row r="20" spans="2:10" ht="78.75" customHeight="1" x14ac:dyDescent="0.2">
      <c r="B20" s="244" t="s">
        <v>619</v>
      </c>
      <c r="C20" s="245" t="s">
        <v>620</v>
      </c>
      <c r="D20" s="341">
        <v>17000</v>
      </c>
      <c r="E20" s="268"/>
      <c r="F20" s="486">
        <f t="shared" si="0"/>
        <v>17000</v>
      </c>
      <c r="G20" s="4"/>
      <c r="H20" s="4"/>
      <c r="I20" s="4"/>
      <c r="J20" s="625"/>
    </row>
    <row r="21" spans="2:10" s="4" customFormat="1" ht="15.95" customHeight="1" x14ac:dyDescent="0.2">
      <c r="B21" s="235" t="s">
        <v>621</v>
      </c>
      <c r="C21" s="241"/>
      <c r="D21" s="909">
        <f>SUM(D18:D20)</f>
        <v>17000</v>
      </c>
      <c r="E21" s="270"/>
      <c r="F21" s="910">
        <f t="shared" si="0"/>
        <v>17000</v>
      </c>
      <c r="J21" s="625"/>
    </row>
    <row r="22" spans="2:10" s="4" customFormat="1" ht="15.95" customHeight="1" x14ac:dyDescent="0.2">
      <c r="B22" s="235"/>
      <c r="C22" s="241"/>
      <c r="D22" s="341"/>
      <c r="E22" s="268"/>
      <c r="F22" s="486">
        <f t="shared" si="0"/>
        <v>0</v>
      </c>
      <c r="J22" s="625"/>
    </row>
    <row r="23" spans="2:10" s="4" customFormat="1" ht="15.95" customHeight="1" x14ac:dyDescent="0.2">
      <c r="B23" s="234" t="s">
        <v>622</v>
      </c>
      <c r="C23" s="241"/>
      <c r="D23" s="341"/>
      <c r="E23" s="268"/>
      <c r="F23" s="486">
        <f t="shared" si="0"/>
        <v>0</v>
      </c>
      <c r="J23" s="625"/>
    </row>
    <row r="24" spans="2:10" s="4" customFormat="1" ht="15.95" customHeight="1" x14ac:dyDescent="0.2">
      <c r="B24" s="3" t="s">
        <v>623</v>
      </c>
      <c r="C24" s="241"/>
      <c r="D24" s="341"/>
      <c r="E24" s="268"/>
      <c r="F24" s="486">
        <f t="shared" si="0"/>
        <v>0</v>
      </c>
      <c r="J24" s="625"/>
    </row>
    <row r="25" spans="2:10" s="313" customFormat="1" ht="15.95" customHeight="1" x14ac:dyDescent="0.2">
      <c r="B25" s="4" t="s">
        <v>115</v>
      </c>
      <c r="C25" s="340"/>
      <c r="D25" s="341">
        <v>820</v>
      </c>
      <c r="E25" s="268"/>
      <c r="F25" s="486">
        <f t="shared" si="0"/>
        <v>820</v>
      </c>
      <c r="G25" s="4"/>
      <c r="J25" s="626"/>
    </row>
    <row r="26" spans="2:10" s="313" customFormat="1" ht="15.95" customHeight="1" x14ac:dyDescent="0.2">
      <c r="B26" s="4" t="s">
        <v>582</v>
      </c>
      <c r="C26" s="340"/>
      <c r="D26" s="341">
        <v>9000</v>
      </c>
      <c r="E26" s="268"/>
      <c r="F26" s="486">
        <f>SUM(D26:E26)</f>
        <v>9000</v>
      </c>
      <c r="G26" s="4"/>
      <c r="J26" s="626"/>
    </row>
    <row r="27" spans="2:10" s="4" customFormat="1" ht="15.95" customHeight="1" x14ac:dyDescent="0.2">
      <c r="B27" s="3" t="s">
        <v>624</v>
      </c>
      <c r="C27" s="241"/>
      <c r="D27" s="341"/>
      <c r="E27" s="268"/>
      <c r="F27" s="486">
        <f t="shared" si="0"/>
        <v>0</v>
      </c>
      <c r="J27" s="625"/>
    </row>
    <row r="28" spans="2:10" s="4" customFormat="1" ht="15.95" customHeight="1" x14ac:dyDescent="0.2">
      <c r="B28" s="3" t="s">
        <v>625</v>
      </c>
      <c r="C28" s="241"/>
      <c r="D28" s="341"/>
      <c r="E28" s="268"/>
      <c r="F28" s="486">
        <f t="shared" si="0"/>
        <v>0</v>
      </c>
      <c r="J28" s="625"/>
    </row>
    <row r="29" spans="2:10" s="4" customFormat="1" ht="15.95" customHeight="1" x14ac:dyDescent="0.2">
      <c r="B29" s="235" t="s">
        <v>626</v>
      </c>
      <c r="C29" s="241"/>
      <c r="D29" s="909">
        <f>SUM(D24:D28)</f>
        <v>9820</v>
      </c>
      <c r="E29" s="270">
        <f>SUM(E24:E28)</f>
        <v>0</v>
      </c>
      <c r="F29" s="910">
        <f t="shared" si="0"/>
        <v>9820</v>
      </c>
      <c r="J29" s="625"/>
    </row>
    <row r="30" spans="2:10" s="4" customFormat="1" ht="15.95" customHeight="1" x14ac:dyDescent="0.2">
      <c r="B30" s="235"/>
      <c r="C30" s="241"/>
      <c r="D30" s="341"/>
      <c r="E30" s="268"/>
      <c r="F30" s="911">
        <f t="shared" si="0"/>
        <v>0</v>
      </c>
      <c r="J30" s="625"/>
    </row>
    <row r="31" spans="2:10" s="4" customFormat="1" ht="15.95" customHeight="1" x14ac:dyDescent="0.2">
      <c r="B31" s="246" t="s">
        <v>627</v>
      </c>
      <c r="C31" s="247"/>
      <c r="D31" s="912">
        <f>D13+D15+D21+D29</f>
        <v>456306</v>
      </c>
      <c r="E31" s="912">
        <f>E13+E15+E21+E29</f>
        <v>779014</v>
      </c>
      <c r="F31" s="912">
        <f>SUM(D31:E31)</f>
        <v>1235320</v>
      </c>
    </row>
    <row r="32" spans="2:10" s="4" customFormat="1" ht="15.95" customHeight="1" x14ac:dyDescent="0.2">
      <c r="B32" s="3"/>
      <c r="C32" s="3"/>
      <c r="D32" s="3"/>
      <c r="E32" s="248"/>
      <c r="F32" s="3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3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88"/>
  <sheetViews>
    <sheetView zoomScale="200" zoomScaleNormal="200" workbookViewId="0">
      <selection activeCell="C36" sqref="C36"/>
    </sheetView>
  </sheetViews>
  <sheetFormatPr defaultColWidth="9.140625" defaultRowHeight="11.25" x14ac:dyDescent="0.2"/>
  <cols>
    <col min="1" max="1" width="4.85546875" style="164" customWidth="1"/>
    <col min="2" max="2" width="57.5703125" style="197" customWidth="1"/>
    <col min="3" max="3" width="8.7109375" style="158" customWidth="1"/>
    <col min="4" max="4" width="9.5703125" style="158" customWidth="1"/>
    <col min="5" max="5" width="8.28515625" style="158" customWidth="1"/>
    <col min="6" max="16384" width="9.140625" style="8"/>
  </cols>
  <sheetData>
    <row r="1" spans="1:8" x14ac:dyDescent="0.2">
      <c r="B1" s="1193" t="s">
        <v>1236</v>
      </c>
      <c r="C1" s="1193"/>
      <c r="D1" s="1193"/>
      <c r="E1" s="1193"/>
    </row>
    <row r="2" spans="1:8" x14ac:dyDescent="0.2">
      <c r="B2" s="198"/>
    </row>
    <row r="3" spans="1:8" x14ac:dyDescent="0.2">
      <c r="A3" s="1197" t="s">
        <v>54</v>
      </c>
      <c r="B3" s="1197"/>
      <c r="C3" s="1197"/>
      <c r="D3" s="1197"/>
      <c r="E3" s="1197"/>
    </row>
    <row r="4" spans="1:8" ht="11.25" customHeight="1" x14ac:dyDescent="0.2">
      <c r="A4" s="1197" t="s">
        <v>1156</v>
      </c>
      <c r="B4" s="1197"/>
      <c r="C4" s="1197"/>
      <c r="D4" s="1197"/>
      <c r="E4" s="1197"/>
    </row>
    <row r="5" spans="1:8" x14ac:dyDescent="0.2">
      <c r="A5" s="1197" t="s">
        <v>725</v>
      </c>
      <c r="B5" s="1197"/>
      <c r="C5" s="1197"/>
      <c r="D5" s="1197"/>
      <c r="E5" s="1197"/>
    </row>
    <row r="6" spans="1:8" ht="12.75" x14ac:dyDescent="0.2">
      <c r="B6" s="1198" t="s">
        <v>321</v>
      </c>
      <c r="C6" s="1199"/>
      <c r="D6" s="1199"/>
      <c r="E6" s="1199"/>
    </row>
    <row r="7" spans="1:8" ht="24" customHeight="1" x14ac:dyDescent="0.2">
      <c r="A7" s="1200" t="s">
        <v>77</v>
      </c>
      <c r="B7" s="1194" t="s">
        <v>86</v>
      </c>
      <c r="C7" s="1196" t="s">
        <v>1187</v>
      </c>
      <c r="D7" s="1196"/>
      <c r="E7" s="1196"/>
    </row>
    <row r="8" spans="1:8" ht="21" x14ac:dyDescent="0.2">
      <c r="A8" s="1200"/>
      <c r="B8" s="1195"/>
      <c r="C8" s="875" t="s">
        <v>62</v>
      </c>
      <c r="D8" s="875" t="s">
        <v>63</v>
      </c>
      <c r="E8" s="875" t="s">
        <v>64</v>
      </c>
      <c r="F8" s="613"/>
    </row>
    <row r="9" spans="1:8" x14ac:dyDescent="0.2">
      <c r="A9" s="798" t="s">
        <v>508</v>
      </c>
      <c r="B9" s="878" t="s">
        <v>87</v>
      </c>
      <c r="C9" s="169"/>
      <c r="D9" s="169"/>
      <c r="E9" s="876"/>
      <c r="F9" s="873"/>
    </row>
    <row r="10" spans="1:8" ht="12" thickBot="1" x14ac:dyDescent="0.25">
      <c r="A10" s="798" t="s">
        <v>516</v>
      </c>
      <c r="B10" s="199" t="s">
        <v>88</v>
      </c>
      <c r="C10" s="293"/>
      <c r="D10" s="169"/>
      <c r="E10" s="453">
        <f>SUM(C10:D10)</f>
        <v>0</v>
      </c>
      <c r="F10" s="873"/>
    </row>
    <row r="11" spans="1:8" s="9" customFormat="1" ht="12" thickBot="1" x14ac:dyDescent="0.25">
      <c r="A11" s="962" t="s">
        <v>517</v>
      </c>
      <c r="B11" s="1092" t="s">
        <v>174</v>
      </c>
      <c r="C11" s="1094">
        <f>C12+C13+C14+C15</f>
        <v>730371</v>
      </c>
      <c r="D11" s="1094">
        <f t="shared" ref="D11:E11" si="0">D12+D13+D14+D15</f>
        <v>93769</v>
      </c>
      <c r="E11" s="576">
        <f t="shared" si="0"/>
        <v>824140</v>
      </c>
      <c r="F11" s="790"/>
      <c r="G11" s="790"/>
    </row>
    <row r="12" spans="1:8" s="9" customFormat="1" x14ac:dyDescent="0.2">
      <c r="A12" s="798" t="s">
        <v>518</v>
      </c>
      <c r="B12" s="201" t="s">
        <v>171</v>
      </c>
      <c r="C12" s="754">
        <v>548782</v>
      </c>
      <c r="D12" s="754"/>
      <c r="E12" s="877">
        <f t="shared" ref="E12:E15" si="1">C12+D12</f>
        <v>548782</v>
      </c>
      <c r="F12" s="790"/>
    </row>
    <row r="13" spans="1:8" s="9" customFormat="1" x14ac:dyDescent="0.2">
      <c r="A13" s="798" t="s">
        <v>519</v>
      </c>
      <c r="B13" s="201" t="s">
        <v>172</v>
      </c>
      <c r="C13" s="754">
        <v>87961</v>
      </c>
      <c r="D13" s="754"/>
      <c r="E13" s="877">
        <f t="shared" si="1"/>
        <v>87961</v>
      </c>
      <c r="F13" s="790"/>
    </row>
    <row r="14" spans="1:8" s="9" customFormat="1" x14ac:dyDescent="0.2">
      <c r="A14" s="798" t="s">
        <v>520</v>
      </c>
      <c r="B14" s="201" t="s">
        <v>173</v>
      </c>
      <c r="C14" s="754">
        <v>86377</v>
      </c>
      <c r="D14" s="754">
        <v>93769</v>
      </c>
      <c r="E14" s="877">
        <f t="shared" si="1"/>
        <v>180146</v>
      </c>
      <c r="F14" s="790"/>
      <c r="G14" s="790"/>
    </row>
    <row r="15" spans="1:8" s="9" customFormat="1" x14ac:dyDescent="0.2">
      <c r="A15" s="798" t="s">
        <v>523</v>
      </c>
      <c r="B15" s="201" t="s">
        <v>192</v>
      </c>
      <c r="C15" s="169">
        <v>7251</v>
      </c>
      <c r="D15" s="169"/>
      <c r="E15" s="453">
        <f t="shared" si="1"/>
        <v>7251</v>
      </c>
      <c r="F15" s="790"/>
    </row>
    <row r="16" spans="1:8" s="9" customFormat="1" ht="12" thickBot="1" x14ac:dyDescent="0.25">
      <c r="A16" s="1097" t="s">
        <v>565</v>
      </c>
      <c r="B16" s="1098" t="s">
        <v>175</v>
      </c>
      <c r="C16" s="1099">
        <v>0</v>
      </c>
      <c r="D16" s="1099"/>
      <c r="E16" s="1101">
        <v>0</v>
      </c>
      <c r="F16" s="790"/>
      <c r="H16" s="790"/>
    </row>
    <row r="17" spans="1:7" s="9" customFormat="1" ht="12" thickBot="1" x14ac:dyDescent="0.25">
      <c r="A17" s="962" t="s">
        <v>566</v>
      </c>
      <c r="B17" s="1092" t="s">
        <v>202</v>
      </c>
      <c r="C17" s="967">
        <v>10611</v>
      </c>
      <c r="D17" s="1093"/>
      <c r="E17" s="968">
        <f>C17+D17</f>
        <v>10611</v>
      </c>
      <c r="F17" s="1100"/>
    </row>
    <row r="18" spans="1:7" s="9" customFormat="1" ht="12" thickBot="1" x14ac:dyDescent="0.25">
      <c r="A18" s="962" t="s">
        <v>567</v>
      </c>
      <c r="B18" s="1092" t="s">
        <v>300</v>
      </c>
      <c r="C18" s="307">
        <v>0</v>
      </c>
      <c r="D18" s="307">
        <v>0</v>
      </c>
      <c r="E18" s="959">
        <f>C18+D18</f>
        <v>0</v>
      </c>
      <c r="F18" s="790"/>
      <c r="G18" s="790"/>
    </row>
    <row r="19" spans="1:7" x14ac:dyDescent="0.2">
      <c r="A19" s="798" t="s">
        <v>568</v>
      </c>
      <c r="B19" s="200"/>
      <c r="C19" s="169"/>
      <c r="D19" s="169"/>
      <c r="E19" s="453"/>
      <c r="F19" s="873"/>
    </row>
    <row r="20" spans="1:7" x14ac:dyDescent="0.2">
      <c r="A20" s="798" t="s">
        <v>569</v>
      </c>
      <c r="B20" s="199" t="s">
        <v>17</v>
      </c>
      <c r="C20" s="173"/>
      <c r="D20" s="173"/>
      <c r="E20" s="456"/>
      <c r="F20" s="873"/>
    </row>
    <row r="21" spans="1:7" x14ac:dyDescent="0.2">
      <c r="A21" s="798" t="s">
        <v>570</v>
      </c>
      <c r="B21" s="201" t="s">
        <v>89</v>
      </c>
      <c r="C21" s="173">
        <f>SUM(C22:C28)</f>
        <v>5163</v>
      </c>
      <c r="D21" s="173">
        <f t="shared" ref="D21:E21" si="2">SUM(D22:D28)</f>
        <v>2450</v>
      </c>
      <c r="E21" s="456">
        <f t="shared" si="2"/>
        <v>7613</v>
      </c>
      <c r="F21" s="873"/>
      <c r="G21" s="873"/>
    </row>
    <row r="22" spans="1:7" x14ac:dyDescent="0.2">
      <c r="A22" s="798" t="s">
        <v>571</v>
      </c>
      <c r="B22" s="200" t="s">
        <v>1136</v>
      </c>
      <c r="C22" s="169">
        <v>0</v>
      </c>
      <c r="D22" s="169"/>
      <c r="E22" s="453">
        <f>C22+D22</f>
        <v>0</v>
      </c>
      <c r="F22" s="873"/>
    </row>
    <row r="23" spans="1:7" x14ac:dyDescent="0.2">
      <c r="A23" s="798" t="s">
        <v>572</v>
      </c>
      <c r="B23" s="200" t="s">
        <v>1137</v>
      </c>
      <c r="C23" s="169">
        <v>4313</v>
      </c>
      <c r="D23" s="169"/>
      <c r="E23" s="453">
        <f>C23+D23</f>
        <v>4313</v>
      </c>
      <c r="F23" s="873"/>
    </row>
    <row r="24" spans="1:7" x14ac:dyDescent="0.2">
      <c r="A24" s="798" t="s">
        <v>574</v>
      </c>
      <c r="B24" s="200" t="s">
        <v>1001</v>
      </c>
      <c r="C24" s="169">
        <v>0</v>
      </c>
      <c r="D24" s="169"/>
      <c r="E24" s="453">
        <f>C24+D24</f>
        <v>0</v>
      </c>
      <c r="F24" s="873"/>
    </row>
    <row r="25" spans="1:7" x14ac:dyDescent="0.2">
      <c r="A25" s="798" t="s">
        <v>575</v>
      </c>
      <c r="B25" s="200" t="s">
        <v>93</v>
      </c>
      <c r="C25" s="169">
        <v>0</v>
      </c>
      <c r="D25" s="169"/>
      <c r="E25" s="453">
        <f t="shared" ref="E25:E28" si="3">SUM(C25:D25)</f>
        <v>0</v>
      </c>
      <c r="F25" s="873"/>
    </row>
    <row r="26" spans="1:7" x14ac:dyDescent="0.2">
      <c r="A26" s="798" t="s">
        <v>576</v>
      </c>
      <c r="B26" s="200" t="s">
        <v>584</v>
      </c>
      <c r="C26" s="169">
        <v>500</v>
      </c>
      <c r="D26" s="169"/>
      <c r="E26" s="453">
        <f t="shared" si="3"/>
        <v>500</v>
      </c>
      <c r="F26" s="873"/>
    </row>
    <row r="27" spans="1:7" x14ac:dyDescent="0.2">
      <c r="A27" s="798" t="s">
        <v>577</v>
      </c>
      <c r="B27" s="200" t="s">
        <v>168</v>
      </c>
      <c r="C27" s="169">
        <v>350</v>
      </c>
      <c r="D27" s="169"/>
      <c r="E27" s="453">
        <f t="shared" si="3"/>
        <v>350</v>
      </c>
      <c r="F27" s="873"/>
    </row>
    <row r="28" spans="1:7" x14ac:dyDescent="0.2">
      <c r="A28" s="798" t="s">
        <v>578</v>
      </c>
      <c r="B28" s="200" t="s">
        <v>1227</v>
      </c>
      <c r="C28" s="169"/>
      <c r="D28" s="169">
        <v>2450</v>
      </c>
      <c r="E28" s="453">
        <f t="shared" si="3"/>
        <v>2450</v>
      </c>
      <c r="F28" s="873"/>
    </row>
    <row r="29" spans="1:7" x14ac:dyDescent="0.2">
      <c r="A29" s="798" t="s">
        <v>579</v>
      </c>
      <c r="B29" s="200"/>
      <c r="C29" s="169"/>
      <c r="D29" s="169"/>
      <c r="E29" s="453"/>
      <c r="F29" s="873"/>
    </row>
    <row r="30" spans="1:7" x14ac:dyDescent="0.2">
      <c r="A30" s="798" t="s">
        <v>580</v>
      </c>
      <c r="B30" s="201" t="s">
        <v>71</v>
      </c>
      <c r="C30" s="173">
        <f>SUM(C31:C32)</f>
        <v>5065</v>
      </c>
      <c r="D30" s="173">
        <f t="shared" ref="D30:E30" si="4">SUM(D31:D32)</f>
        <v>0</v>
      </c>
      <c r="E30" s="456">
        <f t="shared" si="4"/>
        <v>5065</v>
      </c>
      <c r="F30" s="873"/>
    </row>
    <row r="31" spans="1:7" x14ac:dyDescent="0.2">
      <c r="A31" s="798" t="s">
        <v>581</v>
      </c>
      <c r="B31" s="180" t="s">
        <v>94</v>
      </c>
      <c r="C31" s="169">
        <v>5065</v>
      </c>
      <c r="D31" s="169"/>
      <c r="E31" s="453">
        <f t="shared" ref="E31:E32" si="5">C31+D31</f>
        <v>5065</v>
      </c>
      <c r="F31" s="873"/>
    </row>
    <row r="32" spans="1:7" x14ac:dyDescent="0.2">
      <c r="A32" s="798" t="s">
        <v>601</v>
      </c>
      <c r="B32" s="202" t="s">
        <v>95</v>
      </c>
      <c r="C32" s="169">
        <v>0</v>
      </c>
      <c r="D32" s="169"/>
      <c r="E32" s="453">
        <f t="shared" si="5"/>
        <v>0</v>
      </c>
      <c r="F32" s="873"/>
      <c r="G32" s="873"/>
    </row>
    <row r="33" spans="1:7" x14ac:dyDescent="0.2">
      <c r="A33" s="798" t="s">
        <v>602</v>
      </c>
      <c r="B33" s="211"/>
      <c r="C33" s="169"/>
      <c r="D33" s="169"/>
      <c r="E33" s="453"/>
      <c r="F33" s="873"/>
    </row>
    <row r="34" spans="1:7" ht="12" thickBot="1" x14ac:dyDescent="0.25">
      <c r="A34" s="798" t="s">
        <v>603</v>
      </c>
      <c r="B34" s="944" t="s">
        <v>1020</v>
      </c>
      <c r="C34" s="173">
        <f>SUM(C35:C35)</f>
        <v>0</v>
      </c>
      <c r="D34" s="173">
        <f>SUM(D35:D35)</f>
        <v>0</v>
      </c>
      <c r="E34" s="456">
        <f>SUM(E35:E35)</f>
        <v>0</v>
      </c>
      <c r="F34" s="873"/>
    </row>
    <row r="35" spans="1:7" ht="12" thickBot="1" x14ac:dyDescent="0.25">
      <c r="A35" s="798" t="s">
        <v>604</v>
      </c>
      <c r="B35" s="211"/>
      <c r="C35" s="169"/>
      <c r="D35" s="169"/>
      <c r="E35" s="453"/>
      <c r="F35" s="873"/>
      <c r="G35" s="1095"/>
    </row>
    <row r="36" spans="1:7" ht="12" thickBot="1" x14ac:dyDescent="0.25">
      <c r="A36" s="962" t="s">
        <v>605</v>
      </c>
      <c r="B36" s="518" t="s">
        <v>169</v>
      </c>
      <c r="C36" s="307">
        <f>C21+C30+C34</f>
        <v>10228</v>
      </c>
      <c r="D36" s="307">
        <f t="shared" ref="D36:E36" si="6">D21+D30+D34</f>
        <v>2450</v>
      </c>
      <c r="E36" s="959">
        <f t="shared" si="6"/>
        <v>12678</v>
      </c>
      <c r="F36" s="873"/>
    </row>
    <row r="37" spans="1:7" x14ac:dyDescent="0.2">
      <c r="A37" s="798" t="s">
        <v>606</v>
      </c>
      <c r="B37" s="178"/>
      <c r="C37" s="173"/>
      <c r="D37" s="173"/>
      <c r="E37" s="456"/>
      <c r="F37" s="873"/>
    </row>
    <row r="38" spans="1:7" x14ac:dyDescent="0.2">
      <c r="A38" s="798" t="s">
        <v>607</v>
      </c>
      <c r="B38" s="180" t="s">
        <v>1021</v>
      </c>
      <c r="C38" s="173"/>
      <c r="D38" s="173"/>
      <c r="E38" s="456"/>
      <c r="F38" s="873"/>
    </row>
    <row r="39" spans="1:7" x14ac:dyDescent="0.2">
      <c r="A39" s="798" t="s">
        <v>608</v>
      </c>
      <c r="B39" s="180" t="s">
        <v>1228</v>
      </c>
      <c r="C39" s="169"/>
      <c r="D39" s="169">
        <v>2064</v>
      </c>
      <c r="E39" s="453">
        <f>C39+D39</f>
        <v>2064</v>
      </c>
      <c r="F39" s="873"/>
    </row>
    <row r="40" spans="1:7" x14ac:dyDescent="0.2">
      <c r="A40" s="798" t="s">
        <v>609</v>
      </c>
      <c r="B40" s="180" t="s">
        <v>1229</v>
      </c>
      <c r="C40" s="169"/>
      <c r="D40" s="169">
        <v>2460</v>
      </c>
      <c r="E40" s="453">
        <f t="shared" ref="E40:E42" si="7">C40+D40</f>
        <v>2460</v>
      </c>
      <c r="F40" s="873"/>
    </row>
    <row r="41" spans="1:7" x14ac:dyDescent="0.2">
      <c r="A41" s="798" t="s">
        <v>664</v>
      </c>
      <c r="B41" s="180" t="s">
        <v>1168</v>
      </c>
      <c r="C41" s="173"/>
      <c r="D41" s="169">
        <v>2</v>
      </c>
      <c r="E41" s="453">
        <f t="shared" si="7"/>
        <v>2</v>
      </c>
      <c r="F41" s="873"/>
    </row>
    <row r="42" spans="1:7" x14ac:dyDescent="0.2">
      <c r="A42" s="798" t="s">
        <v>665</v>
      </c>
      <c r="B42" s="180" t="s">
        <v>1230</v>
      </c>
      <c r="C42" s="173"/>
      <c r="D42" s="169">
        <v>57498</v>
      </c>
      <c r="E42" s="453">
        <f t="shared" si="7"/>
        <v>57498</v>
      </c>
      <c r="F42" s="873"/>
    </row>
    <row r="43" spans="1:7" x14ac:dyDescent="0.2">
      <c r="A43" s="798" t="s">
        <v>666</v>
      </c>
      <c r="B43" s="180"/>
      <c r="C43" s="173"/>
      <c r="D43" s="169"/>
      <c r="E43" s="453"/>
      <c r="F43" s="873"/>
    </row>
    <row r="44" spans="1:7" x14ac:dyDescent="0.2">
      <c r="A44" s="798" t="s">
        <v>667</v>
      </c>
      <c r="B44" s="178" t="s">
        <v>1021</v>
      </c>
      <c r="C44" s="173">
        <f>SUM(C39:C43)</f>
        <v>0</v>
      </c>
      <c r="D44" s="173">
        <f>SUM(D39:D43)</f>
        <v>62024</v>
      </c>
      <c r="E44" s="456">
        <f>SUM(E39:E43)</f>
        <v>62024</v>
      </c>
      <c r="F44" s="873"/>
    </row>
    <row r="45" spans="1:7" ht="12" thickBot="1" x14ac:dyDescent="0.25">
      <c r="A45" s="798" t="s">
        <v>125</v>
      </c>
      <c r="B45" s="178"/>
      <c r="C45" s="173"/>
      <c r="D45" s="173"/>
      <c r="E45" s="456"/>
      <c r="F45" s="873"/>
    </row>
    <row r="46" spans="1:7" ht="12" thickBot="1" x14ac:dyDescent="0.25">
      <c r="A46" s="962" t="s">
        <v>693</v>
      </c>
      <c r="B46" s="518" t="s">
        <v>96</v>
      </c>
      <c r="C46" s="307">
        <f>C11+C16+IC17+C18+C21+C30+C34+C44+C17</f>
        <v>751210</v>
      </c>
      <c r="D46" s="307">
        <f>D11+D16+ID17+D18+D21+D30+D34+D44+D17</f>
        <v>158243</v>
      </c>
      <c r="E46" s="959">
        <f>E11+E16+IE17+E18+E21+E30+E34+E44+E17</f>
        <v>909453</v>
      </c>
      <c r="F46" s="873"/>
    </row>
    <row r="47" spans="1:7" x14ac:dyDescent="0.2">
      <c r="A47" s="798" t="s">
        <v>694</v>
      </c>
      <c r="B47" s="178"/>
      <c r="C47" s="173"/>
      <c r="D47" s="173"/>
      <c r="E47" s="456"/>
      <c r="F47" s="873"/>
    </row>
    <row r="48" spans="1:7" x14ac:dyDescent="0.2">
      <c r="A48" s="798" t="s">
        <v>128</v>
      </c>
      <c r="B48" s="874" t="s">
        <v>349</v>
      </c>
      <c r="C48" s="173"/>
      <c r="D48" s="173"/>
      <c r="E48" s="456"/>
      <c r="F48" s="873"/>
    </row>
    <row r="49" spans="1:7" x14ac:dyDescent="0.2">
      <c r="A49" s="798" t="s">
        <v>129</v>
      </c>
      <c r="B49" s="180" t="s">
        <v>1231</v>
      </c>
      <c r="C49" s="169">
        <v>1358</v>
      </c>
      <c r="D49" s="169"/>
      <c r="E49" s="453">
        <f>SUM(C49:D49)</f>
        <v>1358</v>
      </c>
      <c r="F49" s="873"/>
    </row>
    <row r="50" spans="1:7" x14ac:dyDescent="0.2">
      <c r="A50" s="798" t="s">
        <v>130</v>
      </c>
      <c r="B50" s="178" t="s">
        <v>19</v>
      </c>
      <c r="C50" s="173">
        <f>SUM(C49)</f>
        <v>1358</v>
      </c>
      <c r="D50" s="173">
        <f t="shared" ref="D50:E50" si="8">SUM(D49)</f>
        <v>0</v>
      </c>
      <c r="E50" s="456">
        <f t="shared" si="8"/>
        <v>1358</v>
      </c>
      <c r="F50" s="873"/>
    </row>
    <row r="51" spans="1:7" x14ac:dyDescent="0.2">
      <c r="A51" s="798" t="s">
        <v>133</v>
      </c>
      <c r="B51" s="178" t="s">
        <v>707</v>
      </c>
      <c r="C51" s="173">
        <f>SUM(C50)</f>
        <v>1358</v>
      </c>
      <c r="D51" s="173">
        <f>SUM(D50)</f>
        <v>0</v>
      </c>
      <c r="E51" s="456">
        <f>SUM(C51:D51)</f>
        <v>1358</v>
      </c>
      <c r="F51" s="873"/>
    </row>
    <row r="52" spans="1:7" x14ac:dyDescent="0.2">
      <c r="A52" s="798" t="s">
        <v>136</v>
      </c>
      <c r="B52" s="178"/>
      <c r="C52" s="173"/>
      <c r="D52" s="173"/>
      <c r="E52" s="456"/>
      <c r="F52" s="873"/>
    </row>
    <row r="53" spans="1:7" x14ac:dyDescent="0.2">
      <c r="A53" s="798" t="s">
        <v>137</v>
      </c>
      <c r="B53" s="874" t="s">
        <v>708</v>
      </c>
      <c r="C53" s="173"/>
      <c r="D53" s="173"/>
      <c r="E53" s="456"/>
      <c r="F53" s="873"/>
    </row>
    <row r="54" spans="1:7" x14ac:dyDescent="0.2">
      <c r="A54" s="798" t="s">
        <v>138</v>
      </c>
      <c r="B54" s="180" t="s">
        <v>176</v>
      </c>
      <c r="C54" s="169"/>
      <c r="D54" s="169">
        <v>1235</v>
      </c>
      <c r="E54" s="453">
        <f>SUM(C54:D54)</f>
        <v>1235</v>
      </c>
      <c r="F54" s="873"/>
    </row>
    <row r="55" spans="1:7" x14ac:dyDescent="0.2">
      <c r="A55" s="798" t="s">
        <v>139</v>
      </c>
      <c r="B55" s="180" t="s">
        <v>177</v>
      </c>
      <c r="C55" s="169"/>
      <c r="D55" s="169"/>
      <c r="E55" s="453"/>
      <c r="F55" s="873"/>
    </row>
    <row r="56" spans="1:7" ht="12" thickBot="1" x14ac:dyDescent="0.25">
      <c r="A56" s="798" t="s">
        <v>142</v>
      </c>
      <c r="B56" s="178" t="s">
        <v>19</v>
      </c>
      <c r="C56" s="173">
        <f>SUM(C54:C55)</f>
        <v>0</v>
      </c>
      <c r="D56" s="173">
        <f>SUM(D54:D55)</f>
        <v>1235</v>
      </c>
      <c r="E56" s="456">
        <f>SUM(E54:E55)</f>
        <v>1235</v>
      </c>
      <c r="F56" s="873"/>
    </row>
    <row r="57" spans="1:7" ht="12" thickBot="1" x14ac:dyDescent="0.25">
      <c r="A57" s="962" t="s">
        <v>145</v>
      </c>
      <c r="B57" s="518" t="s">
        <v>178</v>
      </c>
      <c r="C57" s="307">
        <f>C56</f>
        <v>0</v>
      </c>
      <c r="D57" s="307">
        <f>D56</f>
        <v>1235</v>
      </c>
      <c r="E57" s="959">
        <f>E56</f>
        <v>1235</v>
      </c>
      <c r="F57" s="873"/>
    </row>
    <row r="58" spans="1:7" x14ac:dyDescent="0.2">
      <c r="A58" s="798" t="s">
        <v>148</v>
      </c>
      <c r="B58" s="178"/>
      <c r="C58" s="169"/>
      <c r="D58" s="169"/>
      <c r="E58" s="453"/>
      <c r="F58" s="873"/>
    </row>
    <row r="59" spans="1:7" x14ac:dyDescent="0.2">
      <c r="A59" s="798" t="s">
        <v>149</v>
      </c>
      <c r="B59" s="874" t="s">
        <v>98</v>
      </c>
      <c r="C59" s="293"/>
      <c r="D59" s="293"/>
      <c r="E59" s="480"/>
      <c r="F59" s="873"/>
      <c r="G59" s="873"/>
    </row>
    <row r="60" spans="1:7" x14ac:dyDescent="0.2">
      <c r="A60" s="798" t="s">
        <v>152</v>
      </c>
      <c r="B60" s="178" t="s">
        <v>17</v>
      </c>
      <c r="C60" s="293"/>
      <c r="D60" s="293"/>
      <c r="E60" s="480"/>
      <c r="F60" s="873"/>
    </row>
    <row r="61" spans="1:7" x14ac:dyDescent="0.2">
      <c r="A61" s="798" t="s">
        <v>153</v>
      </c>
      <c r="B61" s="180" t="s">
        <v>97</v>
      </c>
      <c r="C61" s="293">
        <v>10370</v>
      </c>
      <c r="D61" s="293"/>
      <c r="E61" s="480">
        <f>SUM(C61:D61)</f>
        <v>10370</v>
      </c>
      <c r="F61" s="873"/>
    </row>
    <row r="62" spans="1:7" x14ac:dyDescent="0.2">
      <c r="A62" s="798" t="s">
        <v>154</v>
      </c>
      <c r="B62" s="180" t="s">
        <v>318</v>
      </c>
      <c r="C62" s="293">
        <v>9089</v>
      </c>
      <c r="D62" s="293"/>
      <c r="E62" s="480">
        <f>SUM(C62:D62)</f>
        <v>9089</v>
      </c>
      <c r="F62" s="873"/>
    </row>
    <row r="63" spans="1:7" x14ac:dyDescent="0.2">
      <c r="A63" s="798" t="s">
        <v>155</v>
      </c>
      <c r="B63" s="180" t="s">
        <v>319</v>
      </c>
      <c r="C63" s="293">
        <v>432</v>
      </c>
      <c r="D63" s="293"/>
      <c r="E63" s="480">
        <f>SUM(C63:D63)</f>
        <v>432</v>
      </c>
      <c r="F63" s="873"/>
    </row>
    <row r="64" spans="1:7" x14ac:dyDescent="0.2">
      <c r="A64" s="798" t="s">
        <v>156</v>
      </c>
      <c r="B64" s="180" t="s">
        <v>177</v>
      </c>
      <c r="C64" s="293"/>
      <c r="D64" s="293"/>
      <c r="E64" s="480"/>
      <c r="F64" s="873"/>
    </row>
    <row r="65" spans="1:9" x14ac:dyDescent="0.2">
      <c r="A65" s="798" t="s">
        <v>158</v>
      </c>
      <c r="B65" s="180" t="s">
        <v>176</v>
      </c>
      <c r="C65" s="293"/>
      <c r="D65" s="293">
        <v>1386</v>
      </c>
      <c r="E65" s="480">
        <f>SUM(C65:D65)</f>
        <v>1386</v>
      </c>
      <c r="F65" s="873"/>
    </row>
    <row r="66" spans="1:9" ht="12" thickBot="1" x14ac:dyDescent="0.25">
      <c r="A66" s="798" t="s">
        <v>161</v>
      </c>
      <c r="B66" s="178" t="s">
        <v>19</v>
      </c>
      <c r="C66" s="366">
        <f>SUM(C61:C65)</f>
        <v>19891</v>
      </c>
      <c r="D66" s="366">
        <f>SUM(D61:D65)</f>
        <v>1386</v>
      </c>
      <c r="E66" s="454">
        <f>SUM(E61:E65)</f>
        <v>21277</v>
      </c>
      <c r="F66" s="873"/>
    </row>
    <row r="67" spans="1:9" ht="12" thickBot="1" x14ac:dyDescent="0.25">
      <c r="A67" s="962" t="s">
        <v>163</v>
      </c>
      <c r="B67" s="1096" t="s">
        <v>99</v>
      </c>
      <c r="C67" s="967">
        <f>C66</f>
        <v>19891</v>
      </c>
      <c r="D67" s="967">
        <f>D66</f>
        <v>1386</v>
      </c>
      <c r="E67" s="968">
        <f>E66</f>
        <v>21277</v>
      </c>
      <c r="F67" s="873"/>
    </row>
    <row r="68" spans="1:9" s="9" customFormat="1" x14ac:dyDescent="0.2">
      <c r="A68" s="798" t="s">
        <v>164</v>
      </c>
      <c r="B68" s="178"/>
      <c r="C68" s="366"/>
      <c r="D68" s="366"/>
      <c r="E68" s="454"/>
      <c r="F68" s="790"/>
    </row>
    <row r="69" spans="1:9" s="9" customFormat="1" x14ac:dyDescent="0.2">
      <c r="A69" s="798" t="s">
        <v>165</v>
      </c>
      <c r="B69" s="178" t="s">
        <v>18</v>
      </c>
      <c r="C69" s="366">
        <f>C36+C56+C66+C50</f>
        <v>31477</v>
      </c>
      <c r="D69" s="366">
        <f t="shared" ref="D69:E69" si="9">D36+D56+D66+D50</f>
        <v>5071</v>
      </c>
      <c r="E69" s="454">
        <f t="shared" si="9"/>
        <v>36548</v>
      </c>
      <c r="F69" s="790"/>
      <c r="G69" s="790"/>
    </row>
    <row r="70" spans="1:9" x14ac:dyDescent="0.2">
      <c r="A70" s="798" t="s">
        <v>1232</v>
      </c>
      <c r="B70" s="178" t="s">
        <v>100</v>
      </c>
      <c r="C70" s="173">
        <f>C44</f>
        <v>0</v>
      </c>
      <c r="D70" s="173">
        <f>D44</f>
        <v>62024</v>
      </c>
      <c r="E70" s="456">
        <f>E44</f>
        <v>62024</v>
      </c>
      <c r="F70" s="873"/>
    </row>
    <row r="71" spans="1:9" ht="12" thickBot="1" x14ac:dyDescent="0.25">
      <c r="A71" s="798" t="s">
        <v>1233</v>
      </c>
      <c r="B71" s="183"/>
      <c r="E71" s="453"/>
      <c r="F71" s="873"/>
      <c r="G71" s="873"/>
    </row>
    <row r="72" spans="1:9" s="10" customFormat="1" ht="12" thickBot="1" x14ac:dyDescent="0.25">
      <c r="A72" s="962" t="s">
        <v>1234</v>
      </c>
      <c r="B72" s="518" t="s">
        <v>102</v>
      </c>
      <c r="C72" s="307">
        <f>C46+C67+C57+C51</f>
        <v>772459</v>
      </c>
      <c r="D72" s="307">
        <f t="shared" ref="D72:E72" si="10">D46+D67+D57+D51</f>
        <v>160864</v>
      </c>
      <c r="E72" s="959">
        <f t="shared" si="10"/>
        <v>933323</v>
      </c>
      <c r="F72" s="1102"/>
      <c r="G72" s="292"/>
      <c r="H72" s="292"/>
    </row>
    <row r="73" spans="1:9" s="10" customFormat="1" x14ac:dyDescent="0.2">
      <c r="A73" s="164"/>
      <c r="B73" s="157"/>
      <c r="C73" s="158"/>
      <c r="D73" s="577"/>
      <c r="E73" s="577"/>
      <c r="I73" s="292"/>
    </row>
    <row r="74" spans="1:9" x14ac:dyDescent="0.2">
      <c r="B74" s="157"/>
    </row>
    <row r="75" spans="1:9" x14ac:dyDescent="0.2">
      <c r="B75" s="157"/>
      <c r="G75" s="873"/>
    </row>
    <row r="76" spans="1:9" x14ac:dyDescent="0.2">
      <c r="B76" s="183"/>
      <c r="G76" s="873"/>
    </row>
    <row r="77" spans="1:9" x14ac:dyDescent="0.2">
      <c r="B77" s="183"/>
    </row>
    <row r="79" spans="1:9" x14ac:dyDescent="0.2">
      <c r="B79" s="183"/>
    </row>
    <row r="80" spans="1:9" x14ac:dyDescent="0.2">
      <c r="B80" s="183"/>
    </row>
    <row r="81" spans="2:2" x14ac:dyDescent="0.2">
      <c r="B81" s="183"/>
    </row>
    <row r="82" spans="2:2" x14ac:dyDescent="0.2">
      <c r="B82" s="183"/>
    </row>
    <row r="83" spans="2:2" x14ac:dyDescent="0.2">
      <c r="B83" s="183"/>
    </row>
    <row r="84" spans="2:2" x14ac:dyDescent="0.2">
      <c r="B84" s="157"/>
    </row>
    <row r="85" spans="2:2" x14ac:dyDescent="0.2">
      <c r="B85" s="183"/>
    </row>
    <row r="86" spans="2:2" x14ac:dyDescent="0.2">
      <c r="B86" s="183"/>
    </row>
    <row r="87" spans="2:2" x14ac:dyDescent="0.2">
      <c r="B87" s="183"/>
    </row>
    <row r="88" spans="2:2" x14ac:dyDescent="0.2">
      <c r="B88" s="183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88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00"/>
  <sheetViews>
    <sheetView topLeftCell="A82" workbookViewId="0">
      <selection activeCell="I112" sqref="I112"/>
    </sheetView>
  </sheetViews>
  <sheetFormatPr defaultColWidth="61.7109375" defaultRowHeight="12" x14ac:dyDescent="0.2"/>
  <cols>
    <col min="1" max="1" width="61.7109375" style="192" customWidth="1"/>
    <col min="2" max="2" width="9.85546875" style="192" hidden="1" customWidth="1"/>
    <col min="3" max="3" width="11.7109375" style="192" hidden="1" customWidth="1"/>
    <col min="4" max="4" width="9.85546875" style="192" hidden="1" customWidth="1"/>
    <col min="5" max="5" width="15.85546875" style="196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171" t="s">
        <v>312</v>
      </c>
      <c r="B1" s="1171"/>
      <c r="C1" s="1171"/>
      <c r="D1" s="1171"/>
      <c r="E1" s="1171"/>
      <c r="F1" s="1171"/>
      <c r="G1" s="1171"/>
      <c r="H1" s="1171"/>
      <c r="I1" s="1171"/>
    </row>
    <row r="2" spans="1:256" x14ac:dyDescent="0.2">
      <c r="F2" s="1181"/>
      <c r="G2" s="1181"/>
      <c r="H2" s="1181"/>
      <c r="I2" s="1181"/>
    </row>
    <row r="4" spans="1:256" ht="30" customHeight="1" x14ac:dyDescent="0.2">
      <c r="A4" s="1182" t="s">
        <v>78</v>
      </c>
      <c r="B4" s="1182"/>
      <c r="C4" s="1182"/>
      <c r="D4" s="1182"/>
      <c r="E4" s="1182"/>
      <c r="F4" s="1183"/>
      <c r="G4" s="1183"/>
      <c r="H4" s="1183"/>
      <c r="I4" s="1183"/>
    </row>
    <row r="5" spans="1:256" ht="33" customHeight="1" x14ac:dyDescent="0.2">
      <c r="A5" s="1182" t="s">
        <v>1132</v>
      </c>
      <c r="B5" s="1182"/>
      <c r="C5" s="1182"/>
      <c r="D5" s="1182"/>
      <c r="E5" s="1182"/>
      <c r="F5" s="1183"/>
      <c r="G5" s="1183"/>
      <c r="H5" s="1183"/>
      <c r="I5" s="1183"/>
    </row>
    <row r="7" spans="1:256" ht="13.5" thickBot="1" x14ac:dyDescent="0.25">
      <c r="E7" s="561" t="s">
        <v>20</v>
      </c>
      <c r="F7" s="973"/>
    </row>
    <row r="8" spans="1:256" ht="30.75" customHeight="1" thickBot="1" x14ac:dyDescent="0.25">
      <c r="A8" s="1174" t="s">
        <v>79</v>
      </c>
      <c r="B8" s="1176" t="s">
        <v>116</v>
      </c>
      <c r="C8" s="1177"/>
      <c r="D8" s="1177"/>
      <c r="E8" s="1177"/>
      <c r="F8" s="1178" t="s">
        <v>1085</v>
      </c>
      <c r="G8" s="1179"/>
      <c r="H8" s="1179"/>
      <c r="I8" s="1180"/>
    </row>
    <row r="9" spans="1:256" ht="36.75" thickBot="1" x14ac:dyDescent="0.25">
      <c r="A9" s="1175"/>
      <c r="B9" s="287" t="s">
        <v>80</v>
      </c>
      <c r="C9" s="193" t="s">
        <v>81</v>
      </c>
      <c r="D9" s="193" t="s">
        <v>722</v>
      </c>
      <c r="E9" s="288" t="s">
        <v>82</v>
      </c>
      <c r="F9" s="287" t="s">
        <v>80</v>
      </c>
      <c r="G9" s="193" t="s">
        <v>81</v>
      </c>
      <c r="H9" s="193" t="s">
        <v>722</v>
      </c>
      <c r="I9" s="288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73" t="s">
        <v>83</v>
      </c>
      <c r="B10" s="574"/>
      <c r="C10" s="574"/>
      <c r="D10" s="574"/>
      <c r="E10" s="574"/>
      <c r="F10" s="575"/>
      <c r="G10" s="575"/>
      <c r="H10" s="575"/>
      <c r="I10" s="575"/>
      <c r="J10" s="606"/>
    </row>
    <row r="11" spans="1:256" ht="12.75" x14ac:dyDescent="0.2">
      <c r="A11" s="568" t="s">
        <v>862</v>
      </c>
      <c r="B11" s="703"/>
      <c r="C11" s="703"/>
      <c r="D11" s="703"/>
      <c r="E11" s="703"/>
      <c r="F11" s="767"/>
      <c r="G11" s="767"/>
      <c r="H11" s="767"/>
      <c r="I11" s="767"/>
      <c r="J11" s="606"/>
    </row>
    <row r="12" spans="1:256" ht="36" x14ac:dyDescent="0.2">
      <c r="A12" s="700" t="s">
        <v>863</v>
      </c>
      <c r="B12" s="703">
        <v>4865</v>
      </c>
      <c r="C12" s="768">
        <v>18.690000000000001</v>
      </c>
      <c r="D12" s="703">
        <v>4580000</v>
      </c>
      <c r="E12" s="703">
        <f>C12*D12</f>
        <v>85600200</v>
      </c>
      <c r="F12" s="815" t="s">
        <v>1086</v>
      </c>
      <c r="G12" s="563">
        <v>18.32</v>
      </c>
      <c r="H12" s="563">
        <v>4580000</v>
      </c>
      <c r="I12" s="564">
        <f>G12*H12</f>
        <v>83905600</v>
      </c>
      <c r="J12" s="606"/>
    </row>
    <row r="13" spans="1:256" ht="12.75" x14ac:dyDescent="0.2">
      <c r="A13" s="568" t="s">
        <v>864</v>
      </c>
      <c r="B13" s="703"/>
      <c r="C13" s="703"/>
      <c r="D13" s="703"/>
      <c r="E13" s="703"/>
      <c r="F13" s="657"/>
      <c r="G13" s="708"/>
      <c r="H13" s="708"/>
      <c r="I13" s="657"/>
      <c r="J13" s="606"/>
    </row>
    <row r="14" spans="1:256" ht="12.75" x14ac:dyDescent="0.2">
      <c r="A14" s="700" t="s">
        <v>865</v>
      </c>
      <c r="B14" s="703"/>
      <c r="C14" s="712"/>
      <c r="D14" s="703" t="s">
        <v>313</v>
      </c>
      <c r="E14" s="703">
        <v>8328800</v>
      </c>
      <c r="F14" s="657"/>
      <c r="G14" s="708"/>
      <c r="H14" s="563" t="s">
        <v>313</v>
      </c>
      <c r="I14" s="564">
        <v>8329050</v>
      </c>
      <c r="J14" s="606"/>
    </row>
    <row r="15" spans="1:256" ht="12.75" x14ac:dyDescent="0.2">
      <c r="A15" s="700" t="s">
        <v>866</v>
      </c>
      <c r="B15" s="565"/>
      <c r="C15" s="566"/>
      <c r="D15" s="565"/>
      <c r="E15" s="565"/>
      <c r="F15" s="564"/>
      <c r="G15" s="563"/>
      <c r="H15" s="563"/>
      <c r="I15" s="564">
        <v>-8329050</v>
      </c>
      <c r="J15" s="606"/>
    </row>
    <row r="16" spans="1:256" ht="24" x14ac:dyDescent="0.2">
      <c r="A16" s="700" t="s">
        <v>867</v>
      </c>
      <c r="B16" s="565"/>
      <c r="C16" s="566"/>
      <c r="D16" s="565"/>
      <c r="E16" s="565"/>
      <c r="F16" s="564"/>
      <c r="G16" s="563"/>
      <c r="H16" s="563"/>
      <c r="I16" s="564">
        <f>I14+I15</f>
        <v>0</v>
      </c>
      <c r="J16" s="606"/>
    </row>
    <row r="17" spans="1:10" ht="12.75" x14ac:dyDescent="0.2">
      <c r="A17" s="568" t="s">
        <v>868</v>
      </c>
      <c r="B17" s="703"/>
      <c r="C17" s="703"/>
      <c r="D17" s="771" t="s">
        <v>314</v>
      </c>
      <c r="E17" s="703">
        <v>18272000</v>
      </c>
      <c r="F17" s="657"/>
      <c r="G17" s="708"/>
      <c r="H17" s="563" t="s">
        <v>315</v>
      </c>
      <c r="I17" s="564">
        <v>18304000</v>
      </c>
      <c r="J17" s="606"/>
    </row>
    <row r="18" spans="1:10" ht="12.75" x14ac:dyDescent="0.2">
      <c r="A18" s="568" t="s">
        <v>866</v>
      </c>
      <c r="B18" s="565"/>
      <c r="C18" s="565"/>
      <c r="D18" s="702"/>
      <c r="E18" s="565"/>
      <c r="F18" s="564"/>
      <c r="G18" s="563"/>
      <c r="H18" s="563"/>
      <c r="I18" s="564">
        <v>-18304000</v>
      </c>
      <c r="J18" s="606"/>
    </row>
    <row r="19" spans="1:10" ht="12.75" x14ac:dyDescent="0.2">
      <c r="A19" s="568" t="s">
        <v>869</v>
      </c>
      <c r="B19" s="565"/>
      <c r="C19" s="565"/>
      <c r="D19" s="702"/>
      <c r="E19" s="565"/>
      <c r="F19" s="564"/>
      <c r="G19" s="563"/>
      <c r="H19" s="563"/>
      <c r="I19" s="564">
        <f>I17+I18</f>
        <v>0</v>
      </c>
      <c r="J19" s="606"/>
    </row>
    <row r="20" spans="1:10" ht="12.75" x14ac:dyDescent="0.2">
      <c r="A20" s="568" t="s">
        <v>870</v>
      </c>
      <c r="B20" s="703"/>
      <c r="C20" s="703" t="s">
        <v>871</v>
      </c>
      <c r="D20" s="704" t="s">
        <v>723</v>
      </c>
      <c r="E20" s="703">
        <v>1355022</v>
      </c>
      <c r="F20" s="657"/>
      <c r="G20" s="703"/>
      <c r="H20" s="705" t="s">
        <v>723</v>
      </c>
      <c r="I20" s="564">
        <v>1355022</v>
      </c>
      <c r="J20" s="606"/>
    </row>
    <row r="21" spans="1:10" ht="12.75" x14ac:dyDescent="0.2">
      <c r="A21" s="568" t="s">
        <v>872</v>
      </c>
      <c r="B21" s="565"/>
      <c r="C21" s="565"/>
      <c r="D21" s="705"/>
      <c r="E21" s="565"/>
      <c r="F21" s="564"/>
      <c r="G21" s="565"/>
      <c r="H21" s="705"/>
      <c r="I21" s="564">
        <v>-1355022</v>
      </c>
      <c r="J21" s="606"/>
    </row>
    <row r="22" spans="1:10" ht="12.75" x14ac:dyDescent="0.2">
      <c r="A22" s="568" t="s">
        <v>873</v>
      </c>
      <c r="B22" s="565"/>
      <c r="C22" s="565"/>
      <c r="D22" s="705"/>
      <c r="E22" s="565"/>
      <c r="F22" s="564"/>
      <c r="G22" s="565"/>
      <c r="H22" s="705"/>
      <c r="I22" s="564">
        <f>I20+I21</f>
        <v>0</v>
      </c>
      <c r="J22" s="606"/>
    </row>
    <row r="23" spans="1:10" ht="12.75" x14ac:dyDescent="0.2">
      <c r="A23" s="568" t="s">
        <v>874</v>
      </c>
      <c r="B23" s="703"/>
      <c r="C23" s="712"/>
      <c r="D23" s="771" t="s">
        <v>724</v>
      </c>
      <c r="E23" s="703">
        <v>6369620</v>
      </c>
      <c r="F23" s="657"/>
      <c r="G23" s="708"/>
      <c r="H23" s="702" t="s">
        <v>724</v>
      </c>
      <c r="I23" s="564">
        <v>6369620</v>
      </c>
      <c r="J23" s="606"/>
    </row>
    <row r="24" spans="1:10" ht="12.75" x14ac:dyDescent="0.2">
      <c r="A24" s="568" t="s">
        <v>872</v>
      </c>
      <c r="B24" s="565"/>
      <c r="C24" s="566"/>
      <c r="D24" s="702"/>
      <c r="E24" s="565"/>
      <c r="F24" s="564"/>
      <c r="G24" s="563"/>
      <c r="H24" s="702"/>
      <c r="I24" s="564">
        <v>-6369620</v>
      </c>
      <c r="J24" s="606"/>
    </row>
    <row r="25" spans="1:10" ht="12.75" x14ac:dyDescent="0.2">
      <c r="A25" s="568" t="s">
        <v>875</v>
      </c>
      <c r="B25" s="565"/>
      <c r="C25" s="566"/>
      <c r="D25" s="702"/>
      <c r="E25" s="565"/>
      <c r="F25" s="564"/>
      <c r="G25" s="563"/>
      <c r="H25" s="702"/>
      <c r="I25" s="564">
        <f>I23+I24</f>
        <v>0</v>
      </c>
      <c r="J25" s="606"/>
    </row>
    <row r="26" spans="1:10" ht="12.75" x14ac:dyDescent="0.2">
      <c r="A26" s="568" t="s">
        <v>876</v>
      </c>
      <c r="B26" s="703">
        <v>4865</v>
      </c>
      <c r="C26" s="703"/>
      <c r="D26" s="703">
        <v>2700</v>
      </c>
      <c r="E26" s="703">
        <f>B26*D26</f>
        <v>13135500</v>
      </c>
      <c r="F26" s="564">
        <v>4705</v>
      </c>
      <c r="G26" s="708"/>
      <c r="H26" s="565">
        <v>2700</v>
      </c>
      <c r="I26" s="564">
        <f>F26*H26</f>
        <v>12703500</v>
      </c>
      <c r="J26" s="606"/>
    </row>
    <row r="27" spans="1:10" ht="12.75" x14ac:dyDescent="0.2">
      <c r="A27" s="568" t="s">
        <v>877</v>
      </c>
      <c r="B27" s="565"/>
      <c r="C27" s="565"/>
      <c r="D27" s="565"/>
      <c r="E27" s="565">
        <v>-13135500</v>
      </c>
      <c r="F27" s="564"/>
      <c r="G27" s="563"/>
      <c r="H27" s="563"/>
      <c r="I27" s="564">
        <v>-12703500</v>
      </c>
      <c r="J27" s="606"/>
    </row>
    <row r="28" spans="1:10" ht="12.75" x14ac:dyDescent="0.2">
      <c r="A28" s="568" t="s">
        <v>878</v>
      </c>
      <c r="B28" s="565"/>
      <c r="C28" s="565"/>
      <c r="D28" s="565"/>
      <c r="E28" s="565">
        <f>E26+E27</f>
        <v>0</v>
      </c>
      <c r="F28" s="564"/>
      <c r="G28" s="563"/>
      <c r="H28" s="563"/>
      <c r="I28" s="564">
        <f>I26+I27</f>
        <v>0</v>
      </c>
      <c r="J28" s="606"/>
    </row>
    <row r="29" spans="1:10" ht="12.75" x14ac:dyDescent="0.2">
      <c r="A29" s="568" t="s">
        <v>879</v>
      </c>
      <c r="B29" s="703">
        <v>10</v>
      </c>
      <c r="C29" s="703"/>
      <c r="D29" s="703" t="s">
        <v>316</v>
      </c>
      <c r="E29" s="706">
        <v>25500</v>
      </c>
      <c r="F29" s="974">
        <v>21</v>
      </c>
      <c r="G29" s="708"/>
      <c r="H29" s="565" t="s">
        <v>316</v>
      </c>
      <c r="I29" s="974">
        <v>53550</v>
      </c>
      <c r="J29" s="606"/>
    </row>
    <row r="30" spans="1:10" ht="12.75" x14ac:dyDescent="0.2">
      <c r="A30" s="568" t="s">
        <v>880</v>
      </c>
      <c r="B30" s="565"/>
      <c r="C30" s="565"/>
      <c r="D30" s="565"/>
      <c r="E30" s="565">
        <v>-25500</v>
      </c>
      <c r="F30" s="564"/>
      <c r="G30" s="563"/>
      <c r="H30" s="563"/>
      <c r="I30" s="974">
        <v>-53550</v>
      </c>
      <c r="J30" s="606"/>
    </row>
    <row r="31" spans="1:10" ht="12.75" x14ac:dyDescent="0.2">
      <c r="A31" s="568" t="s">
        <v>881</v>
      </c>
      <c r="B31" s="703"/>
      <c r="C31" s="703"/>
      <c r="D31" s="703"/>
      <c r="E31" s="706">
        <v>0</v>
      </c>
      <c r="F31" s="657"/>
      <c r="G31" s="708"/>
      <c r="H31" s="708"/>
      <c r="I31" s="974">
        <f>I29+I30</f>
        <v>0</v>
      </c>
      <c r="J31" s="606"/>
    </row>
    <row r="32" spans="1:10" ht="12.75" x14ac:dyDescent="0.2">
      <c r="A32" s="770" t="s">
        <v>990</v>
      </c>
      <c r="B32" s="703"/>
      <c r="C32" s="703">
        <v>487729000</v>
      </c>
      <c r="D32" s="712">
        <v>1.55</v>
      </c>
      <c r="E32" s="703">
        <f>C32*D32</f>
        <v>755979950</v>
      </c>
      <c r="F32" s="657"/>
      <c r="G32" s="564">
        <v>540752027</v>
      </c>
      <c r="H32" s="566">
        <v>1</v>
      </c>
      <c r="I32" s="564">
        <f>G32*H32</f>
        <v>540752027</v>
      </c>
      <c r="J32" s="606"/>
    </row>
    <row r="33" spans="1:18" ht="12.75" x14ac:dyDescent="0.2">
      <c r="A33" s="568" t="s">
        <v>877</v>
      </c>
      <c r="B33" s="565"/>
      <c r="C33" s="565"/>
      <c r="D33" s="569"/>
      <c r="E33" s="565">
        <v>-98054262</v>
      </c>
      <c r="F33" s="564"/>
      <c r="G33" s="563"/>
      <c r="H33" s="563"/>
      <c r="I33" s="974">
        <v>-76318159</v>
      </c>
      <c r="J33" s="606"/>
    </row>
    <row r="34" spans="1:18" ht="12.75" x14ac:dyDescent="0.2">
      <c r="A34" s="568" t="s">
        <v>883</v>
      </c>
      <c r="B34" s="703"/>
      <c r="C34" s="703"/>
      <c r="D34" s="717"/>
      <c r="E34" s="703">
        <f>E32+E33</f>
        <v>657925688</v>
      </c>
      <c r="F34" s="657"/>
      <c r="G34" s="708"/>
      <c r="H34" s="708"/>
      <c r="I34" s="974">
        <f>I32+I33</f>
        <v>464433868</v>
      </c>
      <c r="J34" s="606"/>
    </row>
    <row r="35" spans="1:18" ht="12.75" x14ac:dyDescent="0.2">
      <c r="A35" s="707" t="s">
        <v>1087</v>
      </c>
      <c r="B35" s="703"/>
      <c r="C35" s="703"/>
      <c r="D35" s="703"/>
      <c r="E35" s="703">
        <v>0</v>
      </c>
      <c r="F35" s="657"/>
      <c r="G35" s="708"/>
      <c r="H35" s="708"/>
      <c r="I35" s="564">
        <v>0</v>
      </c>
      <c r="J35" s="606"/>
      <c r="K35" s="975">
        <f>I12+I16+I19+I25+I28+I31+I34+I35</f>
        <v>548339468</v>
      </c>
      <c r="L35" s="6" t="s">
        <v>958</v>
      </c>
    </row>
    <row r="36" spans="1:18" ht="24" x14ac:dyDescent="0.2">
      <c r="A36" s="700" t="s">
        <v>1088</v>
      </c>
      <c r="B36" s="703"/>
      <c r="C36" s="703"/>
      <c r="D36" s="703"/>
      <c r="E36" s="703"/>
      <c r="F36" s="657"/>
      <c r="G36" s="708"/>
      <c r="H36" s="708"/>
      <c r="I36" s="564">
        <v>0</v>
      </c>
      <c r="J36" s="606"/>
      <c r="K36" s="709"/>
    </row>
    <row r="37" spans="1:18" ht="12.75" x14ac:dyDescent="0.2">
      <c r="A37" s="707"/>
      <c r="B37" s="703"/>
      <c r="C37" s="703"/>
      <c r="D37" s="703"/>
      <c r="E37" s="703"/>
      <c r="F37" s="657"/>
      <c r="G37" s="708"/>
      <c r="H37" s="708"/>
      <c r="I37" s="657"/>
      <c r="J37" s="606"/>
      <c r="K37" s="709"/>
    </row>
    <row r="38" spans="1:18" ht="12.75" x14ac:dyDescent="0.2">
      <c r="A38" s="710" t="s">
        <v>84</v>
      </c>
      <c r="B38" s="703"/>
      <c r="C38" s="703"/>
      <c r="D38" s="703"/>
      <c r="E38" s="703"/>
      <c r="F38" s="657"/>
      <c r="G38" s="708"/>
      <c r="H38" s="708"/>
      <c r="I38" s="657"/>
      <c r="J38" s="606"/>
    </row>
    <row r="39" spans="1:18" ht="24" x14ac:dyDescent="0.2">
      <c r="A39" s="700" t="s">
        <v>885</v>
      </c>
      <c r="B39" s="703"/>
      <c r="C39" s="703"/>
      <c r="D39" s="703"/>
      <c r="E39" s="703"/>
      <c r="F39" s="657"/>
      <c r="G39" s="708"/>
      <c r="H39" s="708"/>
      <c r="I39" s="657"/>
      <c r="J39" s="606"/>
    </row>
    <row r="40" spans="1:18" ht="12.75" x14ac:dyDescent="0.2">
      <c r="A40" s="700" t="s">
        <v>886</v>
      </c>
      <c r="B40" s="703"/>
      <c r="C40" s="712">
        <v>13.1</v>
      </c>
      <c r="D40" s="703">
        <v>4152000</v>
      </c>
      <c r="E40" s="703">
        <f>C40*D40*8/12</f>
        <v>36260800</v>
      </c>
      <c r="F40" s="976" t="s">
        <v>1133</v>
      </c>
      <c r="G40" s="977">
        <v>12.5</v>
      </c>
      <c r="H40" s="969">
        <v>4419000</v>
      </c>
      <c r="I40" s="974">
        <f>G40*8/12*4419000</f>
        <v>36825000</v>
      </c>
      <c r="J40" s="606"/>
    </row>
    <row r="41" spans="1:18" ht="12.75" x14ac:dyDescent="0.2">
      <c r="A41" s="700" t="s">
        <v>887</v>
      </c>
      <c r="B41" s="703"/>
      <c r="C41" s="712">
        <v>13.1</v>
      </c>
      <c r="D41" s="713">
        <v>4152000</v>
      </c>
      <c r="E41" s="703">
        <f>C41*D41*4/12</f>
        <v>18130400</v>
      </c>
      <c r="F41" s="976" t="s">
        <v>1133</v>
      </c>
      <c r="G41" s="978">
        <v>12.5</v>
      </c>
      <c r="H41" s="969">
        <v>4419000</v>
      </c>
      <c r="I41" s="974">
        <f>G41*4/12*H41</f>
        <v>18412500</v>
      </c>
      <c r="J41" s="606"/>
    </row>
    <row r="42" spans="1:18" ht="24" x14ac:dyDescent="0.2">
      <c r="A42" s="700" t="s">
        <v>888</v>
      </c>
      <c r="B42" s="703"/>
      <c r="C42" s="703">
        <v>10</v>
      </c>
      <c r="D42" s="703">
        <v>1800000</v>
      </c>
      <c r="E42" s="706">
        <f>C42*D42*8/12</f>
        <v>12000000</v>
      </c>
      <c r="F42" s="769"/>
      <c r="G42" s="711">
        <v>9</v>
      </c>
      <c r="H42" s="969">
        <v>2205000</v>
      </c>
      <c r="I42" s="564">
        <f>G42*H42*8/12</f>
        <v>13230000</v>
      </c>
      <c r="J42" s="606"/>
    </row>
    <row r="43" spans="1:18" ht="24" x14ac:dyDescent="0.2">
      <c r="A43" s="700" t="s">
        <v>991</v>
      </c>
      <c r="B43" s="703"/>
      <c r="C43" s="703"/>
      <c r="D43" s="703"/>
      <c r="E43" s="706"/>
      <c r="F43" s="657"/>
      <c r="G43" s="711">
        <v>0</v>
      </c>
      <c r="H43" s="969">
        <v>4419000</v>
      </c>
      <c r="I43" s="564">
        <f>G43*H43*8/12</f>
        <v>0</v>
      </c>
      <c r="J43" s="606"/>
    </row>
    <row r="44" spans="1:18" ht="24" x14ac:dyDescent="0.2">
      <c r="A44" s="700" t="s">
        <v>890</v>
      </c>
      <c r="B44" s="703"/>
      <c r="C44" s="703">
        <v>10</v>
      </c>
      <c r="D44" s="703">
        <v>1800000</v>
      </c>
      <c r="E44" s="703">
        <f>C44*D44*4/12</f>
        <v>6000000</v>
      </c>
      <c r="F44" s="657"/>
      <c r="G44" s="711">
        <v>9</v>
      </c>
      <c r="H44" s="969">
        <v>2205000</v>
      </c>
      <c r="I44" s="564">
        <f>G44*H44*4/12</f>
        <v>6615000</v>
      </c>
      <c r="J44" s="607"/>
    </row>
    <row r="45" spans="1:18" ht="39" x14ac:dyDescent="0.2">
      <c r="A45" s="700" t="s">
        <v>992</v>
      </c>
      <c r="B45" s="703"/>
      <c r="C45" s="703"/>
      <c r="D45" s="703"/>
      <c r="E45" s="703"/>
      <c r="F45" s="657"/>
      <c r="G45" s="711">
        <v>0</v>
      </c>
      <c r="H45" s="969">
        <v>4419000</v>
      </c>
      <c r="I45" s="564">
        <f>G45*H45*4/12</f>
        <v>0</v>
      </c>
      <c r="J45" s="607"/>
      <c r="K45" s="879" t="s">
        <v>959</v>
      </c>
      <c r="L45" s="709">
        <f>I12+I14+I17+I20+I23+I26+I29+I32</f>
        <v>671772369</v>
      </c>
      <c r="N45" s="880" t="s">
        <v>1134</v>
      </c>
      <c r="O45" s="709">
        <v>123432901</v>
      </c>
      <c r="P45" s="709">
        <f>I15+I18+I21+I24+I27+I30</f>
        <v>-47114742</v>
      </c>
      <c r="Q45" s="709">
        <f>O45+P45</f>
        <v>76318159</v>
      </c>
      <c r="R45" s="880" t="s">
        <v>960</v>
      </c>
    </row>
    <row r="46" spans="1:18" ht="12.75" x14ac:dyDescent="0.2">
      <c r="A46" s="568" t="s">
        <v>893</v>
      </c>
      <c r="B46" s="703"/>
      <c r="C46" s="703"/>
      <c r="D46" s="703"/>
      <c r="E46" s="703"/>
      <c r="F46" s="657"/>
      <c r="G46" s="708"/>
      <c r="H46" s="708"/>
      <c r="I46" s="657"/>
      <c r="J46" s="606"/>
    </row>
    <row r="47" spans="1:18" ht="24" x14ac:dyDescent="0.2">
      <c r="A47" s="700" t="s">
        <v>993</v>
      </c>
      <c r="B47" s="703"/>
      <c r="C47" s="703">
        <v>142</v>
      </c>
      <c r="D47" s="703">
        <v>70000</v>
      </c>
      <c r="E47" s="703">
        <f>C47*D47*8/12</f>
        <v>6626666.666666667</v>
      </c>
      <c r="F47" s="815"/>
      <c r="G47" s="974">
        <v>138</v>
      </c>
      <c r="H47" s="565">
        <v>81700</v>
      </c>
      <c r="I47" s="974">
        <f>G47*H47*8/12</f>
        <v>7516400</v>
      </c>
      <c r="J47" s="606"/>
    </row>
    <row r="48" spans="1:18" ht="24" x14ac:dyDescent="0.2">
      <c r="A48" s="700" t="s">
        <v>994</v>
      </c>
      <c r="B48" s="703"/>
      <c r="C48" s="703"/>
      <c r="D48" s="703"/>
      <c r="E48" s="703"/>
      <c r="F48" s="815"/>
      <c r="G48" s="564">
        <v>0</v>
      </c>
      <c r="H48" s="565">
        <v>80000</v>
      </c>
      <c r="I48" s="564">
        <v>0</v>
      </c>
      <c r="J48" s="606"/>
    </row>
    <row r="49" spans="1:12" ht="24" x14ac:dyDescent="0.2">
      <c r="A49" s="700" t="s">
        <v>942</v>
      </c>
      <c r="B49" s="703"/>
      <c r="C49" s="703">
        <v>142</v>
      </c>
      <c r="D49" s="703">
        <v>70000</v>
      </c>
      <c r="E49" s="703">
        <f>C49*D49*4/12</f>
        <v>3313333.3333333335</v>
      </c>
      <c r="F49" s="769"/>
      <c r="G49" s="564">
        <v>138</v>
      </c>
      <c r="H49" s="565">
        <v>81700</v>
      </c>
      <c r="I49" s="974">
        <f>G49*H49*4/12</f>
        <v>3758200</v>
      </c>
      <c r="J49" s="606"/>
    </row>
    <row r="50" spans="1:12" ht="24" x14ac:dyDescent="0.2">
      <c r="A50" s="700" t="s">
        <v>995</v>
      </c>
      <c r="B50" s="703"/>
      <c r="C50" s="703"/>
      <c r="D50" s="703"/>
      <c r="E50" s="703"/>
      <c r="F50" s="769"/>
      <c r="G50" s="564">
        <v>0</v>
      </c>
      <c r="H50" s="565">
        <v>80000</v>
      </c>
      <c r="I50" s="564">
        <v>0</v>
      </c>
      <c r="J50" s="606"/>
    </row>
    <row r="51" spans="1:12" ht="12.75" x14ac:dyDescent="0.2">
      <c r="A51" s="568" t="s">
        <v>943</v>
      </c>
      <c r="B51" s="703"/>
      <c r="C51" s="703"/>
      <c r="D51" s="703"/>
      <c r="E51" s="703"/>
      <c r="F51" s="657"/>
      <c r="G51" s="708"/>
      <c r="H51" s="708"/>
      <c r="I51" s="657"/>
      <c r="J51" s="606"/>
    </row>
    <row r="52" spans="1:12" ht="48" x14ac:dyDescent="0.2">
      <c r="A52" s="700" t="s">
        <v>1089</v>
      </c>
      <c r="B52" s="703"/>
      <c r="C52" s="703">
        <v>5</v>
      </c>
      <c r="D52" s="773" t="s">
        <v>317</v>
      </c>
      <c r="E52" s="703">
        <v>1760000</v>
      </c>
      <c r="F52" s="657"/>
      <c r="G52" s="979">
        <v>4</v>
      </c>
      <c r="H52" s="564">
        <v>401000</v>
      </c>
      <c r="I52" s="974">
        <f>G52*H52</f>
        <v>1604000</v>
      </c>
      <c r="J52" s="606"/>
    </row>
    <row r="53" spans="1:12" ht="48" x14ac:dyDescent="0.2">
      <c r="A53" s="700" t="s">
        <v>1090</v>
      </c>
      <c r="B53" s="703"/>
      <c r="C53" s="703"/>
      <c r="D53" s="703"/>
      <c r="E53" s="703"/>
      <c r="F53" s="657"/>
      <c r="G53" s="563">
        <v>0</v>
      </c>
      <c r="H53" s="564">
        <v>367583</v>
      </c>
      <c r="I53" s="564">
        <f>G53*H53</f>
        <v>0</v>
      </c>
      <c r="J53" s="606"/>
      <c r="K53" s="975">
        <f>SUM(I40:I53)</f>
        <v>87961100</v>
      </c>
      <c r="L53" s="6" t="s">
        <v>961</v>
      </c>
    </row>
    <row r="54" spans="1:12" ht="12.75" x14ac:dyDescent="0.2">
      <c r="A54" s="700"/>
      <c r="B54" s="703"/>
      <c r="C54" s="703"/>
      <c r="D54" s="703"/>
      <c r="E54" s="703"/>
      <c r="F54" s="657"/>
      <c r="G54" s="708"/>
      <c r="H54" s="708"/>
      <c r="I54" s="657"/>
      <c r="J54" s="606"/>
      <c r="K54" s="709"/>
    </row>
    <row r="55" spans="1:12" ht="12.75" x14ac:dyDescent="0.2">
      <c r="A55" s="710" t="s">
        <v>85</v>
      </c>
      <c r="B55" s="703"/>
      <c r="C55" s="703"/>
      <c r="D55" s="703"/>
      <c r="E55" s="703"/>
      <c r="F55" s="657"/>
      <c r="G55" s="708"/>
      <c r="H55" s="708"/>
      <c r="I55" s="657"/>
      <c r="J55" s="606"/>
    </row>
    <row r="56" spans="1:12" ht="12.75" x14ac:dyDescent="0.2">
      <c r="A56" s="707" t="s">
        <v>1091</v>
      </c>
      <c r="B56" s="703"/>
      <c r="C56" s="703"/>
      <c r="D56" s="703"/>
      <c r="E56" s="703">
        <v>0</v>
      </c>
      <c r="F56" s="657"/>
      <c r="G56" s="708"/>
      <c r="H56" s="708"/>
      <c r="I56" s="564">
        <v>0</v>
      </c>
      <c r="J56" s="608"/>
    </row>
    <row r="57" spans="1:12" ht="24" x14ac:dyDescent="0.2">
      <c r="A57" s="700" t="s">
        <v>903</v>
      </c>
      <c r="B57" s="703"/>
      <c r="C57" s="703"/>
      <c r="D57" s="703"/>
      <c r="E57" s="706">
        <v>0</v>
      </c>
      <c r="F57" s="657"/>
      <c r="G57" s="708"/>
      <c r="H57" s="708"/>
      <c r="I57" s="564">
        <v>0</v>
      </c>
      <c r="J57" s="606"/>
    </row>
    <row r="58" spans="1:12" ht="12.75" x14ac:dyDescent="0.2">
      <c r="A58" s="568" t="s">
        <v>904</v>
      </c>
      <c r="B58" s="703"/>
      <c r="C58" s="703"/>
      <c r="D58" s="703"/>
      <c r="E58" s="703"/>
      <c r="F58" s="657"/>
      <c r="G58" s="708"/>
      <c r="H58" s="708"/>
      <c r="I58" s="657"/>
      <c r="J58" s="606"/>
    </row>
    <row r="59" spans="1:12" ht="12.75" x14ac:dyDescent="0.2">
      <c r="A59" s="568" t="s">
        <v>905</v>
      </c>
      <c r="B59" s="703"/>
      <c r="C59" s="703"/>
      <c r="D59" s="703"/>
      <c r="E59" s="703"/>
      <c r="F59" s="657"/>
      <c r="G59" s="708"/>
      <c r="H59" s="708"/>
      <c r="I59" s="657"/>
      <c r="J59" s="606"/>
    </row>
    <row r="60" spans="1:12" ht="12.75" x14ac:dyDescent="0.2">
      <c r="A60" s="568" t="s">
        <v>906</v>
      </c>
      <c r="B60" s="703"/>
      <c r="C60" s="703"/>
      <c r="D60" s="703"/>
      <c r="E60" s="703"/>
      <c r="F60" s="657"/>
      <c r="G60" s="708"/>
      <c r="H60" s="708"/>
      <c r="I60" s="657"/>
      <c r="J60" s="606"/>
    </row>
    <row r="61" spans="1:12" ht="36" x14ac:dyDescent="0.2">
      <c r="A61" s="714" t="s">
        <v>1092</v>
      </c>
      <c r="B61" s="707"/>
      <c r="C61" s="716"/>
      <c r="D61" s="703"/>
      <c r="E61" s="703">
        <f>C61*D61/2</f>
        <v>0</v>
      </c>
      <c r="F61" s="565">
        <v>7822</v>
      </c>
      <c r="G61" s="717"/>
      <c r="H61" s="708"/>
      <c r="I61" s="657"/>
      <c r="J61" s="608"/>
    </row>
    <row r="62" spans="1:12" ht="24" x14ac:dyDescent="0.2">
      <c r="A62" s="700" t="s">
        <v>944</v>
      </c>
      <c r="B62" s="703"/>
      <c r="C62" s="707"/>
      <c r="D62" s="703"/>
      <c r="E62" s="703"/>
      <c r="F62" s="657"/>
      <c r="G62" s="570">
        <v>0</v>
      </c>
      <c r="H62" s="708"/>
      <c r="I62" s="657"/>
      <c r="J62" s="608"/>
    </row>
    <row r="63" spans="1:12" ht="12.75" x14ac:dyDescent="0.2">
      <c r="A63" s="568" t="s">
        <v>945</v>
      </c>
      <c r="B63" s="703"/>
      <c r="C63" s="707"/>
      <c r="D63" s="703"/>
      <c r="E63" s="703"/>
      <c r="F63" s="657"/>
      <c r="G63" s="569">
        <v>1</v>
      </c>
      <c r="H63" s="708"/>
      <c r="I63" s="657"/>
      <c r="J63" s="606"/>
    </row>
    <row r="64" spans="1:12" ht="12.75" x14ac:dyDescent="0.2">
      <c r="A64" s="568" t="s">
        <v>910</v>
      </c>
      <c r="B64" s="703"/>
      <c r="C64" s="718">
        <v>0.97299999999999998</v>
      </c>
      <c r="D64" s="703">
        <v>3000000</v>
      </c>
      <c r="E64" s="703"/>
      <c r="F64" s="657"/>
      <c r="G64" s="569">
        <v>2</v>
      </c>
      <c r="H64" s="565">
        <v>3000000</v>
      </c>
      <c r="I64" s="564">
        <f>(2*1+0)*3000000</f>
        <v>6000000</v>
      </c>
      <c r="J64" s="606"/>
    </row>
    <row r="65" spans="1:12" ht="12.75" x14ac:dyDescent="0.2">
      <c r="A65" s="568" t="s">
        <v>911</v>
      </c>
      <c r="B65" s="719"/>
      <c r="C65" s="703">
        <v>80</v>
      </c>
      <c r="D65" s="703">
        <v>55360</v>
      </c>
      <c r="E65" s="703">
        <f>C65*D65</f>
        <v>4428800</v>
      </c>
      <c r="F65" s="769"/>
      <c r="G65" s="565">
        <v>80</v>
      </c>
      <c r="H65" s="565">
        <v>55360</v>
      </c>
      <c r="I65" s="565">
        <f>G65*H65</f>
        <v>4428800</v>
      </c>
      <c r="J65" s="606"/>
    </row>
    <row r="66" spans="1:12" ht="12.75" x14ac:dyDescent="0.2">
      <c r="A66" s="568" t="s">
        <v>912</v>
      </c>
      <c r="B66" s="719"/>
      <c r="C66" s="703">
        <v>55</v>
      </c>
      <c r="D66" s="703">
        <v>145000</v>
      </c>
      <c r="E66" s="703">
        <f>C66*D66</f>
        <v>7975000</v>
      </c>
      <c r="F66" s="657"/>
      <c r="G66" s="703"/>
      <c r="H66" s="703"/>
      <c r="I66" s="703"/>
      <c r="J66" s="606"/>
    </row>
    <row r="67" spans="1:12" ht="12.75" x14ac:dyDescent="0.2">
      <c r="A67" s="568" t="s">
        <v>946</v>
      </c>
      <c r="B67" s="719"/>
      <c r="C67" s="703"/>
      <c r="D67" s="703"/>
      <c r="E67" s="703"/>
      <c r="F67" s="769"/>
      <c r="G67" s="980">
        <v>5</v>
      </c>
      <c r="H67" s="565">
        <v>25000</v>
      </c>
      <c r="I67" s="980">
        <f>G67*H67</f>
        <v>125000</v>
      </c>
      <c r="J67" s="606"/>
    </row>
    <row r="68" spans="1:12" ht="12.75" x14ac:dyDescent="0.2">
      <c r="A68" s="568" t="s">
        <v>947</v>
      </c>
      <c r="B68" s="719"/>
      <c r="C68" s="703"/>
      <c r="D68" s="703"/>
      <c r="E68" s="703"/>
      <c r="F68" s="769"/>
      <c r="G68" s="980">
        <v>49</v>
      </c>
      <c r="H68" s="565">
        <v>210000</v>
      </c>
      <c r="I68" s="980">
        <f>G68*H68</f>
        <v>10290000</v>
      </c>
      <c r="J68" s="606"/>
    </row>
    <row r="69" spans="1:12" ht="12.75" x14ac:dyDescent="0.2">
      <c r="A69" s="700" t="s">
        <v>948</v>
      </c>
      <c r="B69" s="774"/>
      <c r="C69" s="565">
        <v>23</v>
      </c>
      <c r="D69" s="565">
        <v>109000</v>
      </c>
      <c r="E69" s="565">
        <f>C69*D69</f>
        <v>2507000</v>
      </c>
      <c r="F69" s="564"/>
      <c r="G69" s="980">
        <v>25</v>
      </c>
      <c r="H69" s="565">
        <v>109000</v>
      </c>
      <c r="I69" s="980">
        <f>G69*H69</f>
        <v>2725000</v>
      </c>
      <c r="J69" s="606"/>
    </row>
    <row r="70" spans="1:12" ht="12.75" x14ac:dyDescent="0.2">
      <c r="A70" s="700" t="s">
        <v>914</v>
      </c>
      <c r="B70" s="774"/>
      <c r="C70" s="565"/>
      <c r="D70" s="565"/>
      <c r="E70" s="565"/>
      <c r="F70" s="564"/>
      <c r="G70" s="563"/>
      <c r="H70" s="563"/>
      <c r="I70" s="564"/>
      <c r="J70" s="606"/>
    </row>
    <row r="71" spans="1:12" ht="24" x14ac:dyDescent="0.2">
      <c r="A71" s="700" t="s">
        <v>1093</v>
      </c>
      <c r="B71" s="719"/>
      <c r="C71" s="703"/>
      <c r="D71" s="703"/>
      <c r="E71" s="703"/>
      <c r="F71" s="657"/>
      <c r="G71" s="708"/>
      <c r="H71" s="708"/>
      <c r="I71" s="657"/>
      <c r="J71" s="606"/>
    </row>
    <row r="72" spans="1:12" ht="24" x14ac:dyDescent="0.2">
      <c r="A72" s="714" t="s">
        <v>962</v>
      </c>
      <c r="B72" s="719"/>
      <c r="C72" s="703">
        <v>15</v>
      </c>
      <c r="D72" s="703">
        <v>2606040</v>
      </c>
      <c r="E72" s="703">
        <f>C72*D72</f>
        <v>39090600</v>
      </c>
      <c r="F72" s="769"/>
      <c r="G72" s="565">
        <v>15</v>
      </c>
      <c r="H72" s="565">
        <v>2606040</v>
      </c>
      <c r="I72" s="565">
        <f>G72*H72</f>
        <v>39090600</v>
      </c>
      <c r="J72" s="606"/>
    </row>
    <row r="73" spans="1:12" ht="36" x14ac:dyDescent="0.2">
      <c r="A73" s="568" t="s">
        <v>919</v>
      </c>
      <c r="B73" s="719"/>
      <c r="C73" s="703"/>
      <c r="D73" s="703"/>
      <c r="E73" s="706">
        <v>37834000</v>
      </c>
      <c r="F73" s="769" t="s">
        <v>1094</v>
      </c>
      <c r="G73" s="708"/>
      <c r="H73" s="708"/>
      <c r="I73" s="657">
        <v>30040000</v>
      </c>
      <c r="J73" s="610"/>
    </row>
    <row r="74" spans="1:12" ht="12.75" x14ac:dyDescent="0.2">
      <c r="A74" s="568" t="s">
        <v>1095</v>
      </c>
      <c r="B74" s="719"/>
      <c r="C74" s="703"/>
      <c r="D74" s="703"/>
      <c r="E74" s="703"/>
      <c r="F74" s="657"/>
      <c r="G74" s="708"/>
      <c r="H74" s="708"/>
      <c r="I74" s="657"/>
      <c r="J74" s="606"/>
    </row>
    <row r="75" spans="1:12" ht="12.75" x14ac:dyDescent="0.2">
      <c r="A75" s="568" t="s">
        <v>1096</v>
      </c>
      <c r="B75" s="703"/>
      <c r="C75" s="712">
        <v>12.33</v>
      </c>
      <c r="D75" s="703">
        <v>1632000</v>
      </c>
      <c r="E75" s="703">
        <f>C75*D75</f>
        <v>20122560</v>
      </c>
      <c r="F75" s="981" t="s">
        <v>1135</v>
      </c>
      <c r="G75" s="566">
        <v>14.4</v>
      </c>
      <c r="H75" s="970">
        <v>1900000</v>
      </c>
      <c r="I75" s="565">
        <f>G75*H75</f>
        <v>27360000</v>
      </c>
      <c r="J75" s="611"/>
    </row>
    <row r="76" spans="1:12" ht="36" x14ac:dyDescent="0.2">
      <c r="A76" s="568" t="s">
        <v>1097</v>
      </c>
      <c r="B76" s="703"/>
      <c r="C76" s="703"/>
      <c r="D76" s="703"/>
      <c r="E76" s="706">
        <v>7038795</v>
      </c>
      <c r="F76" s="769" t="s">
        <v>1094</v>
      </c>
      <c r="G76" s="708"/>
      <c r="H76" s="708"/>
      <c r="I76" s="657">
        <v>13278900</v>
      </c>
      <c r="J76" s="612"/>
    </row>
    <row r="77" spans="1:12" ht="24" x14ac:dyDescent="0.2">
      <c r="A77" s="700" t="s">
        <v>1098</v>
      </c>
      <c r="B77" s="703"/>
      <c r="C77" s="703"/>
      <c r="D77" s="703"/>
      <c r="E77" s="706"/>
      <c r="F77" s="769"/>
      <c r="G77" s="974">
        <v>0</v>
      </c>
      <c r="H77" s="564">
        <v>285</v>
      </c>
      <c r="I77" s="974">
        <f>G77*H77</f>
        <v>0</v>
      </c>
      <c r="J77" s="606"/>
    </row>
    <row r="78" spans="1:12" ht="12.75" x14ac:dyDescent="0.2">
      <c r="A78" s="700" t="s">
        <v>1099</v>
      </c>
      <c r="B78" s="703"/>
      <c r="C78" s="703"/>
      <c r="D78" s="703"/>
      <c r="E78" s="722"/>
      <c r="F78" s="769"/>
      <c r="G78" s="772"/>
      <c r="H78" s="564"/>
      <c r="I78" s="564"/>
      <c r="J78" s="606"/>
      <c r="K78" s="709">
        <f>SUM(I56:I82)</f>
        <v>147563700</v>
      </c>
      <c r="L78" s="6" t="s">
        <v>963</v>
      </c>
    </row>
    <row r="79" spans="1:12" ht="12.75" x14ac:dyDescent="0.2">
      <c r="A79" s="700" t="s">
        <v>1100</v>
      </c>
      <c r="B79" s="703"/>
      <c r="C79" s="703"/>
      <c r="D79" s="703"/>
      <c r="E79" s="722"/>
      <c r="F79" s="769"/>
      <c r="G79" s="772"/>
      <c r="H79" s="564"/>
      <c r="I79" s="564"/>
      <c r="J79" s="606"/>
      <c r="K79" s="709"/>
    </row>
    <row r="80" spans="1:12" ht="36" x14ac:dyDescent="0.2">
      <c r="A80" s="700" t="s">
        <v>1101</v>
      </c>
      <c r="B80" s="703"/>
      <c r="C80" s="703"/>
      <c r="D80" s="703"/>
      <c r="E80" s="722"/>
      <c r="F80" s="815" t="s">
        <v>1102</v>
      </c>
      <c r="G80" s="772">
        <v>1.8</v>
      </c>
      <c r="H80" s="564">
        <v>2993000</v>
      </c>
      <c r="I80" s="564">
        <f>G80*H80</f>
        <v>5387400</v>
      </c>
      <c r="J80" s="606"/>
      <c r="K80" s="709"/>
    </row>
    <row r="81" spans="1:14" ht="36" x14ac:dyDescent="0.2">
      <c r="A81" s="700" t="s">
        <v>1103</v>
      </c>
      <c r="B81" s="703"/>
      <c r="C81" s="703"/>
      <c r="D81" s="703"/>
      <c r="E81" s="722"/>
      <c r="F81" s="815" t="s">
        <v>1104</v>
      </c>
      <c r="G81" s="772">
        <v>2</v>
      </c>
      <c r="H81" s="564">
        <v>4419000</v>
      </c>
      <c r="I81" s="564">
        <f>G81*H81</f>
        <v>8838000</v>
      </c>
      <c r="J81" s="606"/>
      <c r="K81" s="709"/>
    </row>
    <row r="82" spans="1:14" ht="24" x14ac:dyDescent="0.2">
      <c r="A82" s="700" t="s">
        <v>1105</v>
      </c>
      <c r="B82" s="703"/>
      <c r="C82" s="703"/>
      <c r="D82" s="703"/>
      <c r="E82" s="722"/>
      <c r="F82" s="769"/>
      <c r="G82" s="772"/>
      <c r="H82" s="564">
        <v>0</v>
      </c>
      <c r="I82" s="564">
        <v>0</v>
      </c>
      <c r="J82" s="606"/>
      <c r="K82" s="709"/>
    </row>
    <row r="83" spans="1:14" ht="12.75" x14ac:dyDescent="0.2">
      <c r="A83" s="700"/>
      <c r="B83" s="703"/>
      <c r="C83" s="703"/>
      <c r="D83" s="703"/>
      <c r="E83" s="722"/>
      <c r="F83" s="769"/>
      <c r="G83" s="772"/>
      <c r="H83" s="564"/>
      <c r="I83" s="564"/>
      <c r="J83" s="606"/>
      <c r="K83" s="709"/>
    </row>
    <row r="84" spans="1:14" ht="12.75" x14ac:dyDescent="0.2">
      <c r="A84" s="568" t="s">
        <v>925</v>
      </c>
      <c r="B84" s="703"/>
      <c r="C84" s="703"/>
      <c r="D84" s="703"/>
      <c r="E84" s="722"/>
      <c r="F84" s="657"/>
      <c r="G84" s="708"/>
      <c r="H84" s="708"/>
      <c r="I84" s="657"/>
      <c r="J84" s="606"/>
    </row>
    <row r="85" spans="1:14" ht="12.75" x14ac:dyDescent="0.2">
      <c r="A85" s="568" t="s">
        <v>926</v>
      </c>
      <c r="B85" s="703"/>
      <c r="C85" s="703"/>
      <c r="D85" s="703"/>
      <c r="E85" s="722"/>
      <c r="F85" s="657"/>
      <c r="G85" s="708"/>
      <c r="H85" s="708"/>
      <c r="I85" s="657"/>
      <c r="J85" s="606"/>
    </row>
    <row r="86" spans="1:14" ht="12.75" x14ac:dyDescent="0.2">
      <c r="A86" s="568" t="s">
        <v>927</v>
      </c>
      <c r="B86" s="703"/>
      <c r="C86" s="703">
        <v>4865</v>
      </c>
      <c r="D86" s="703">
        <v>1140</v>
      </c>
      <c r="E86" s="723"/>
      <c r="F86" s="657"/>
      <c r="G86" s="565">
        <v>4705</v>
      </c>
      <c r="H86" s="970">
        <v>1210</v>
      </c>
      <c r="I86" s="290">
        <f>G86*H86</f>
        <v>5693050</v>
      </c>
      <c r="J86" s="606"/>
    </row>
    <row r="87" spans="1:14" ht="48" x14ac:dyDescent="0.2">
      <c r="A87" s="700" t="s">
        <v>928</v>
      </c>
      <c r="B87" s="703"/>
      <c r="C87" s="703"/>
      <c r="D87" s="703"/>
      <c r="E87" s="723"/>
      <c r="F87" s="815" t="s">
        <v>1106</v>
      </c>
      <c r="G87" s="703"/>
      <c r="H87" s="703"/>
      <c r="I87" s="290">
        <v>0</v>
      </c>
      <c r="J87" s="606"/>
    </row>
    <row r="88" spans="1:14" ht="48" x14ac:dyDescent="0.2">
      <c r="A88" s="700" t="s">
        <v>1107</v>
      </c>
      <c r="B88" s="703"/>
      <c r="C88" s="703"/>
      <c r="D88" s="703"/>
      <c r="E88" s="723"/>
      <c r="F88" s="815" t="s">
        <v>1108</v>
      </c>
      <c r="G88" s="703"/>
      <c r="H88" s="703"/>
      <c r="I88" s="290">
        <v>0</v>
      </c>
      <c r="J88" s="606"/>
    </row>
    <row r="89" spans="1:14" ht="12.75" x14ac:dyDescent="0.2">
      <c r="A89" s="714" t="s">
        <v>1109</v>
      </c>
      <c r="B89" s="719"/>
      <c r="C89" s="703"/>
      <c r="D89" s="717"/>
      <c r="E89" s="703"/>
      <c r="F89" s="657"/>
      <c r="G89" s="708"/>
      <c r="H89" s="708"/>
      <c r="I89" s="657"/>
      <c r="J89" s="606"/>
      <c r="K89" s="709">
        <f>SUM(I86+I87)</f>
        <v>5693050</v>
      </c>
      <c r="L89" s="6" t="s">
        <v>964</v>
      </c>
    </row>
    <row r="90" spans="1:14" ht="24" x14ac:dyDescent="0.2">
      <c r="A90" s="724" t="s">
        <v>1110</v>
      </c>
      <c r="B90" s="775"/>
      <c r="C90" s="776"/>
      <c r="D90" s="565"/>
      <c r="E90" s="565"/>
      <c r="F90" s="777"/>
      <c r="G90" s="563"/>
      <c r="H90" s="563"/>
      <c r="I90" s="657"/>
      <c r="J90" s="606"/>
      <c r="K90" s="709"/>
      <c r="L90" s="709">
        <f>I15+I18+I21+I24+I27+I30+I33</f>
        <v>-123432901</v>
      </c>
      <c r="M90" s="778" t="s">
        <v>965</v>
      </c>
      <c r="N90" s="289"/>
    </row>
    <row r="91" spans="1:14" ht="12.75" x14ac:dyDescent="0.2">
      <c r="A91" s="749" t="s">
        <v>1111</v>
      </c>
      <c r="B91" s="779"/>
      <c r="C91" s="780"/>
      <c r="D91" s="781"/>
      <c r="E91" s="781"/>
      <c r="F91" s="782"/>
      <c r="G91" s="783"/>
      <c r="H91" s="783"/>
      <c r="I91" s="784">
        <v>0</v>
      </c>
      <c r="J91" s="606"/>
      <c r="K91" s="709"/>
      <c r="L91" s="709"/>
      <c r="M91" s="778"/>
      <c r="N91" s="289"/>
    </row>
    <row r="92" spans="1:14" ht="12.75" x14ac:dyDescent="0.2">
      <c r="A92" s="749"/>
      <c r="B92" s="779"/>
      <c r="C92" s="780"/>
      <c r="D92" s="781"/>
      <c r="E92" s="781"/>
      <c r="F92" s="779"/>
      <c r="G92" s="783"/>
      <c r="H92" s="783"/>
      <c r="I92" s="730"/>
      <c r="J92" s="606"/>
      <c r="K92" s="709"/>
      <c r="L92" s="709"/>
      <c r="N92" s="289"/>
    </row>
    <row r="93" spans="1:14" ht="12.75" x14ac:dyDescent="0.2">
      <c r="A93" s="749" t="s">
        <v>949</v>
      </c>
      <c r="B93" s="779"/>
      <c r="C93" s="780"/>
      <c r="D93" s="781"/>
      <c r="E93" s="781"/>
      <c r="F93" s="779"/>
      <c r="G93" s="783"/>
      <c r="H93" s="783"/>
      <c r="I93" s="730"/>
      <c r="J93" s="606"/>
      <c r="K93" s="709"/>
      <c r="L93" s="709"/>
      <c r="N93" s="289"/>
    </row>
    <row r="94" spans="1:14" ht="12.75" x14ac:dyDescent="0.2">
      <c r="A94" s="749" t="s">
        <v>950</v>
      </c>
      <c r="B94" s="779"/>
      <c r="C94" s="780"/>
      <c r="D94" s="781"/>
      <c r="E94" s="781"/>
      <c r="F94" s="779"/>
      <c r="G94" s="783"/>
      <c r="H94" s="783"/>
      <c r="I94" s="784">
        <v>0</v>
      </c>
      <c r="J94" s="606"/>
      <c r="K94" s="709"/>
      <c r="L94" s="709"/>
      <c r="N94" s="289"/>
    </row>
    <row r="95" spans="1:14" ht="12.75" x14ac:dyDescent="0.2">
      <c r="A95" s="750" t="s">
        <v>951</v>
      </c>
      <c r="B95" s="779"/>
      <c r="C95" s="780"/>
      <c r="D95" s="781"/>
      <c r="E95" s="781"/>
      <c r="F95" s="779"/>
      <c r="G95" s="783"/>
      <c r="H95" s="783"/>
      <c r="I95" s="784">
        <v>0</v>
      </c>
      <c r="J95" s="606"/>
      <c r="K95" s="709">
        <f>I94+I95</f>
        <v>0</v>
      </c>
      <c r="L95" s="709" t="s">
        <v>966</v>
      </c>
      <c r="N95" s="289"/>
    </row>
    <row r="96" spans="1:14" ht="13.5" thickBot="1" x14ac:dyDescent="0.25">
      <c r="A96" s="726"/>
      <c r="B96" s="727"/>
      <c r="C96" s="728"/>
      <c r="D96" s="729"/>
      <c r="E96" s="728"/>
      <c r="F96" s="730"/>
      <c r="G96" s="731"/>
      <c r="H96" s="731"/>
      <c r="I96" s="730"/>
      <c r="J96" s="606"/>
    </row>
    <row r="97" spans="1:256" ht="12.75" thickBot="1" x14ac:dyDescent="0.25">
      <c r="A97" s="732" t="s">
        <v>930</v>
      </c>
      <c r="B97" s="733"/>
      <c r="C97" s="733"/>
      <c r="D97" s="734"/>
      <c r="E97" s="735" t="e">
        <f>E12+E14+E17+E20+E23+E28+E31+E34+E40+E41+#REF!+E42+E44+E47+E49+E52+E56+E57+E61+E62+E65+E66+E69+#REF!+E72+E73+E75+E76</f>
        <v>#REF!</v>
      </c>
      <c r="F97" s="1201">
        <f>I12+I16+I19+I22+I25+I28+I31+I34+I35+I36+I40+I41+I42+I43+I44+I45+I47+I48+I49+I50+I52+I53+I56+I57+I64+I65+I67+I68+I69+I72+I73+I75+I76+I77+I80+I81+I82+I86+I87+I88+I94+I95+I91</f>
        <v>789557318</v>
      </c>
      <c r="G97" s="1201"/>
      <c r="H97" s="1201"/>
      <c r="I97" s="1202"/>
      <c r="J97" s="7"/>
      <c r="K97" s="736">
        <f>K78+K53+K35+K89</f>
        <v>789557318</v>
      </c>
      <c r="L97" s="785" t="s">
        <v>967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786"/>
      <c r="B99" s="787"/>
      <c r="C99" s="787"/>
      <c r="D99" s="787"/>
      <c r="E99" s="788"/>
      <c r="F99" s="789"/>
      <c r="G99" s="789"/>
      <c r="H99" s="789"/>
      <c r="I99" s="789"/>
    </row>
    <row r="100" spans="1:256" ht="12.75" x14ac:dyDescent="0.2">
      <c r="A100" s="971" t="s">
        <v>1112</v>
      </c>
    </row>
  </sheetData>
  <mergeCells count="8">
    <mergeCell ref="A1:I1"/>
    <mergeCell ref="F97:I97"/>
    <mergeCell ref="F2:I2"/>
    <mergeCell ref="A4:I4"/>
    <mergeCell ref="A5:I5"/>
    <mergeCell ref="A8:A9"/>
    <mergeCell ref="B8:E8"/>
    <mergeCell ref="F8:I8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40"/>
  <sheetViews>
    <sheetView workbookViewId="0">
      <pane ySplit="7" topLeftCell="A8" activePane="bottomLeft" state="frozen"/>
      <selection activeCell="B65" sqref="B65"/>
      <selection pane="bottomLeft" activeCell="M41" sqref="M41"/>
    </sheetView>
  </sheetViews>
  <sheetFormatPr defaultColWidth="9.140625" defaultRowHeight="14.45" customHeight="1" x14ac:dyDescent="0.2"/>
  <cols>
    <col min="1" max="1" width="9.140625" style="10"/>
    <col min="2" max="2" width="5.140625" style="335" customWidth="1"/>
    <col min="3" max="3" width="50.42578125" style="14" customWidth="1"/>
    <col min="4" max="4" width="11.85546875" style="157" customWidth="1"/>
    <col min="5" max="5" width="12.7109375" style="157" customWidth="1"/>
    <col min="6" max="6" width="13.5703125" style="157" customWidth="1"/>
    <col min="7" max="9" width="0" style="158" hidden="1" customWidth="1"/>
    <col min="10" max="16384" width="9.140625" style="10"/>
  </cols>
  <sheetData>
    <row r="1" spans="2:10" ht="14.45" customHeight="1" x14ac:dyDescent="0.2">
      <c r="C1" s="1193" t="s">
        <v>1235</v>
      </c>
      <c r="D1" s="1193"/>
      <c r="E1" s="1193"/>
      <c r="F1" s="1193"/>
      <c r="G1" s="1193"/>
      <c r="H1" s="1193"/>
      <c r="I1" s="1193"/>
    </row>
    <row r="2" spans="2:10" ht="14.45" customHeight="1" x14ac:dyDescent="0.2">
      <c r="C2" s="1193"/>
      <c r="D2" s="1193"/>
      <c r="E2" s="1193"/>
      <c r="F2" s="1193"/>
      <c r="G2" s="1193"/>
      <c r="H2" s="1193"/>
      <c r="I2" s="1193"/>
    </row>
    <row r="3" spans="2:10" ht="14.45" customHeight="1" x14ac:dyDescent="0.2">
      <c r="B3" s="1197" t="s">
        <v>54</v>
      </c>
      <c r="C3" s="1189"/>
      <c r="D3" s="1189"/>
      <c r="E3" s="1189"/>
      <c r="F3" s="1189"/>
      <c r="G3" s="1189"/>
      <c r="H3" s="1189"/>
      <c r="I3" s="1189"/>
    </row>
    <row r="4" spans="2:10" s="11" customFormat="1" ht="14.45" customHeight="1" x14ac:dyDescent="0.2">
      <c r="B4" s="1203" t="s">
        <v>1123</v>
      </c>
      <c r="C4" s="1189"/>
      <c r="D4" s="1189"/>
      <c r="E4" s="1189"/>
      <c r="F4" s="1189"/>
      <c r="G4" s="1189"/>
      <c r="H4" s="1189"/>
      <c r="I4" s="1189"/>
    </row>
    <row r="5" spans="2:10" s="11" customFormat="1" ht="14.45" customHeight="1" x14ac:dyDescent="0.15">
      <c r="B5" s="183"/>
    </row>
    <row r="6" spans="2:10" ht="14.45" customHeight="1" x14ac:dyDescent="0.2">
      <c r="B6" s="1207" t="s">
        <v>459</v>
      </c>
      <c r="C6" s="1189"/>
      <c r="D6" s="1189"/>
      <c r="E6" s="1189"/>
      <c r="F6" s="1189"/>
      <c r="G6" s="1189"/>
      <c r="H6" s="1189"/>
      <c r="I6" s="1189"/>
    </row>
    <row r="7" spans="2:10" s="12" customFormat="1" ht="36.75" customHeight="1" x14ac:dyDescent="0.2">
      <c r="B7" s="1204" t="s">
        <v>56</v>
      </c>
      <c r="C7" s="1205" t="s">
        <v>86</v>
      </c>
      <c r="D7" s="1206" t="s">
        <v>1187</v>
      </c>
      <c r="E7" s="1206"/>
      <c r="F7" s="1206"/>
      <c r="G7" s="174"/>
    </row>
    <row r="8" spans="2:10" s="12" customFormat="1" ht="40.9" customHeight="1" x14ac:dyDescent="0.2">
      <c r="B8" s="1204"/>
      <c r="C8" s="1205"/>
      <c r="D8" s="154" t="s">
        <v>62</v>
      </c>
      <c r="E8" s="154" t="s">
        <v>63</v>
      </c>
      <c r="F8" s="154" t="s">
        <v>64</v>
      </c>
      <c r="G8" s="174"/>
      <c r="J8" s="556"/>
    </row>
    <row r="9" spans="2:10" s="12" customFormat="1" ht="14.45" customHeight="1" x14ac:dyDescent="0.2">
      <c r="B9" s="336" t="s">
        <v>508</v>
      </c>
      <c r="C9" s="203" t="s">
        <v>103</v>
      </c>
      <c r="D9" s="204"/>
      <c r="E9" s="204"/>
      <c r="F9" s="462"/>
      <c r="G9" s="174"/>
      <c r="J9" s="556"/>
    </row>
    <row r="10" spans="2:10" s="12" customFormat="1" ht="10.5" customHeight="1" x14ac:dyDescent="0.2">
      <c r="B10" s="336" t="s">
        <v>516</v>
      </c>
      <c r="C10" s="203"/>
      <c r="D10" s="204"/>
      <c r="E10" s="204"/>
      <c r="F10" s="452"/>
      <c r="G10" s="174"/>
      <c r="J10" s="556"/>
    </row>
    <row r="11" spans="2:10" s="12" customFormat="1" ht="14.45" customHeight="1" x14ac:dyDescent="0.2">
      <c r="B11" s="336" t="s">
        <v>517</v>
      </c>
      <c r="C11" s="205" t="s">
        <v>87</v>
      </c>
      <c r="D11" s="204"/>
      <c r="E11" s="204"/>
      <c r="F11" s="452"/>
      <c r="G11" s="174"/>
      <c r="J11" s="556"/>
    </row>
    <row r="12" spans="2:10" s="12" customFormat="1" ht="14.45" customHeight="1" x14ac:dyDescent="0.2">
      <c r="B12" s="336" t="s">
        <v>518</v>
      </c>
      <c r="C12" s="206" t="s">
        <v>104</v>
      </c>
      <c r="D12" s="204"/>
      <c r="E12" s="204"/>
      <c r="F12" s="452"/>
      <c r="G12" s="174"/>
      <c r="J12" s="556"/>
    </row>
    <row r="13" spans="2:10" s="12" customFormat="1" ht="14.45" customHeight="1" x14ac:dyDescent="0.2">
      <c r="B13" s="336" t="s">
        <v>519</v>
      </c>
      <c r="C13" s="207" t="s">
        <v>105</v>
      </c>
      <c r="D13" s="158">
        <v>0</v>
      </c>
      <c r="E13" s="158">
        <v>6740</v>
      </c>
      <c r="F13" s="453">
        <f>SUM(D13:E13)</f>
        <v>6740</v>
      </c>
      <c r="G13" s="174"/>
      <c r="J13" s="556"/>
    </row>
    <row r="14" spans="2:10" s="12" customFormat="1" ht="14.45" customHeight="1" x14ac:dyDescent="0.2">
      <c r="B14" s="336" t="s">
        <v>520</v>
      </c>
      <c r="C14" s="207" t="s">
        <v>301</v>
      </c>
      <c r="D14" s="158"/>
      <c r="E14" s="158"/>
      <c r="F14" s="453">
        <f>SUM(D14:E14)</f>
        <v>0</v>
      </c>
      <c r="G14" s="174"/>
      <c r="J14" s="556"/>
    </row>
    <row r="15" spans="2:10" s="12" customFormat="1" ht="14.45" customHeight="1" x14ac:dyDescent="0.2">
      <c r="B15" s="336" t="s">
        <v>521</v>
      </c>
      <c r="C15" s="14" t="s">
        <v>106</v>
      </c>
      <c r="D15" s="158"/>
      <c r="E15" s="158">
        <v>0</v>
      </c>
      <c r="F15" s="453">
        <f>SUM(D15:E15)</f>
        <v>0</v>
      </c>
      <c r="G15" s="174"/>
      <c r="J15" s="556"/>
    </row>
    <row r="16" spans="2:10" s="12" customFormat="1" ht="14.45" customHeight="1" thickBot="1" x14ac:dyDescent="0.25">
      <c r="B16" s="336" t="s">
        <v>522</v>
      </c>
      <c r="C16" s="14" t="s">
        <v>107</v>
      </c>
      <c r="D16" s="158"/>
      <c r="E16" s="158"/>
      <c r="F16" s="453"/>
      <c r="G16" s="174"/>
      <c r="J16" s="556"/>
    </row>
    <row r="17" spans="2:10" s="12" customFormat="1" ht="14.45" customHeight="1" thickBot="1" x14ac:dyDescent="0.25">
      <c r="B17" s="1104" t="s">
        <v>523</v>
      </c>
      <c r="C17" s="463" t="s">
        <v>108</v>
      </c>
      <c r="D17" s="307">
        <f>SUM(D13:D16)</f>
        <v>0</v>
      </c>
      <c r="E17" s="307">
        <f>SUM(E13:E16)</f>
        <v>6740</v>
      </c>
      <c r="F17" s="959">
        <f>SUM(F13:F16)</f>
        <v>6740</v>
      </c>
      <c r="G17" s="174"/>
      <c r="J17" s="556"/>
    </row>
    <row r="18" spans="2:10" s="12" customFormat="1" ht="14.45" customHeight="1" x14ac:dyDescent="0.2">
      <c r="B18" s="336" t="s">
        <v>565</v>
      </c>
      <c r="C18" s="208"/>
      <c r="D18" s="182"/>
      <c r="E18" s="182"/>
      <c r="F18" s="456"/>
      <c r="G18" s="174"/>
      <c r="J18" s="556"/>
    </row>
    <row r="19" spans="2:10" s="12" customFormat="1" ht="14.45" customHeight="1" x14ac:dyDescent="0.2">
      <c r="B19" s="336" t="s">
        <v>566</v>
      </c>
      <c r="C19" s="555" t="s">
        <v>302</v>
      </c>
      <c r="D19" s="182"/>
      <c r="E19" s="182"/>
      <c r="F19" s="456"/>
      <c r="G19" s="174"/>
      <c r="J19" s="556"/>
    </row>
    <row r="20" spans="2:10" s="12" customFormat="1" ht="14.45" customHeight="1" x14ac:dyDescent="0.2">
      <c r="B20" s="336" t="s">
        <v>567</v>
      </c>
      <c r="C20" s="14"/>
      <c r="D20" s="182"/>
      <c r="E20" s="158"/>
      <c r="F20" s="453"/>
      <c r="G20" s="174"/>
      <c r="J20" s="556"/>
    </row>
    <row r="21" spans="2:10" s="12" customFormat="1" ht="14.45" customHeight="1" x14ac:dyDescent="0.2">
      <c r="B21" s="336" t="s">
        <v>568</v>
      </c>
      <c r="C21" s="208" t="s">
        <v>303</v>
      </c>
      <c r="D21" s="182">
        <f>D20</f>
        <v>0</v>
      </c>
      <c r="E21" s="182">
        <f>E20</f>
        <v>0</v>
      </c>
      <c r="F21" s="182">
        <f>F20</f>
        <v>0</v>
      </c>
      <c r="G21" s="174"/>
      <c r="J21" s="556"/>
    </row>
    <row r="22" spans="2:10" s="12" customFormat="1" ht="12" customHeight="1" x14ac:dyDescent="0.2">
      <c r="B22" s="336" t="s">
        <v>569</v>
      </c>
      <c r="C22" s="209"/>
      <c r="D22" s="204"/>
      <c r="E22" s="204"/>
      <c r="F22" s="452"/>
      <c r="G22" s="174"/>
      <c r="J22" s="556"/>
    </row>
    <row r="23" spans="2:10" s="11" customFormat="1" ht="14.45" customHeight="1" x14ac:dyDescent="0.2">
      <c r="B23" s="336" t="s">
        <v>570</v>
      </c>
      <c r="C23" s="560" t="s">
        <v>1022</v>
      </c>
      <c r="D23" s="182"/>
      <c r="E23" s="182"/>
      <c r="F23" s="456"/>
      <c r="G23" s="183"/>
      <c r="J23" s="526"/>
    </row>
    <row r="24" spans="2:10" s="11" customFormat="1" ht="27" customHeight="1" thickBot="1" x14ac:dyDescent="0.25">
      <c r="B24" s="336" t="s">
        <v>571</v>
      </c>
      <c r="C24" s="1103" t="s">
        <v>1227</v>
      </c>
      <c r="D24" s="182">
        <f t="shared" ref="D24" si="0">SUM(D21:D23)</f>
        <v>0</v>
      </c>
      <c r="E24" s="158">
        <v>93253</v>
      </c>
      <c r="F24" s="456">
        <f>SUM(D24:E24)</f>
        <v>93253</v>
      </c>
      <c r="G24" s="183"/>
      <c r="J24" s="526"/>
    </row>
    <row r="25" spans="2:10" ht="14.45" customHeight="1" thickBot="1" x14ac:dyDescent="0.25">
      <c r="B25" s="1104" t="s">
        <v>575</v>
      </c>
      <c r="C25" s="463" t="s">
        <v>109</v>
      </c>
      <c r="D25" s="307">
        <f>SUM(D24)</f>
        <v>0</v>
      </c>
      <c r="E25" s="307">
        <f t="shared" ref="E25:F25" si="1">SUM(E24)</f>
        <v>93253</v>
      </c>
      <c r="F25" s="307">
        <f t="shared" si="1"/>
        <v>93253</v>
      </c>
      <c r="G25" s="157"/>
      <c r="H25" s="10"/>
      <c r="I25" s="10"/>
      <c r="J25" s="191"/>
    </row>
    <row r="26" spans="2:10" ht="14.45" customHeight="1" x14ac:dyDescent="0.2">
      <c r="B26" s="336" t="s">
        <v>576</v>
      </c>
      <c r="C26" s="208"/>
      <c r="D26" s="182"/>
      <c r="E26" s="182"/>
      <c r="F26" s="456"/>
      <c r="G26" s="157"/>
      <c r="H26" s="10"/>
      <c r="I26" s="10"/>
      <c r="J26" s="191"/>
    </row>
    <row r="27" spans="2:10" ht="14.45" customHeight="1" x14ac:dyDescent="0.2">
      <c r="B27" s="336" t="s">
        <v>577</v>
      </c>
      <c r="C27" s="210" t="s">
        <v>179</v>
      </c>
      <c r="D27" s="182"/>
      <c r="E27" s="158"/>
      <c r="F27" s="453"/>
      <c r="G27" s="157"/>
      <c r="H27" s="10"/>
      <c r="I27" s="10"/>
      <c r="J27" s="191"/>
    </row>
    <row r="28" spans="2:10" ht="14.45" customHeight="1" thickBot="1" x14ac:dyDescent="0.25">
      <c r="B28" s="336" t="s">
        <v>578</v>
      </c>
      <c r="D28" s="182"/>
      <c r="E28" s="158"/>
      <c r="F28" s="453"/>
      <c r="G28" s="157"/>
      <c r="H28" s="10"/>
      <c r="I28" s="10"/>
      <c r="J28" s="191"/>
    </row>
    <row r="29" spans="2:10" ht="14.45" customHeight="1" thickBot="1" x14ac:dyDescent="0.25">
      <c r="B29" s="1104" t="s">
        <v>579</v>
      </c>
      <c r="C29" s="463" t="s">
        <v>180</v>
      </c>
      <c r="D29" s="307"/>
      <c r="E29" s="307">
        <f>SUM(E28)</f>
        <v>0</v>
      </c>
      <c r="F29" s="959">
        <f>SUM(F28)</f>
        <v>0</v>
      </c>
      <c r="G29" s="157"/>
      <c r="H29" s="10"/>
      <c r="I29" s="10"/>
      <c r="J29" s="191"/>
    </row>
    <row r="30" spans="2:10" ht="14.45" customHeight="1" thickBot="1" x14ac:dyDescent="0.25">
      <c r="B30" s="336" t="s">
        <v>580</v>
      </c>
      <c r="C30" s="208"/>
      <c r="D30" s="182"/>
      <c r="E30" s="182"/>
      <c r="F30" s="456"/>
      <c r="G30" s="157"/>
      <c r="H30" s="10"/>
      <c r="I30" s="10"/>
      <c r="J30" s="191"/>
    </row>
    <row r="31" spans="2:10" ht="14.45" customHeight="1" thickBot="1" x14ac:dyDescent="0.25">
      <c r="B31" s="1104" t="s">
        <v>581</v>
      </c>
      <c r="C31" s="463" t="s">
        <v>167</v>
      </c>
      <c r="D31" s="307">
        <f>D25+D29</f>
        <v>0</v>
      </c>
      <c r="E31" s="307">
        <f t="shared" ref="E31:F31" si="2">E25+E29</f>
        <v>93253</v>
      </c>
      <c r="F31" s="307">
        <f t="shared" si="2"/>
        <v>93253</v>
      </c>
      <c r="G31" s="157"/>
      <c r="H31" s="10"/>
      <c r="I31" s="10"/>
      <c r="J31" s="191"/>
    </row>
    <row r="32" spans="2:10" ht="14.45" customHeight="1" x14ac:dyDescent="0.2">
      <c r="B32" s="336" t="s">
        <v>601</v>
      </c>
      <c r="C32" s="208"/>
      <c r="D32" s="182"/>
      <c r="E32" s="182"/>
      <c r="F32" s="182"/>
      <c r="G32" s="157"/>
      <c r="H32" s="10"/>
      <c r="I32" s="10"/>
      <c r="J32" s="191"/>
    </row>
    <row r="33" spans="2:10" s="12" customFormat="1" ht="14.45" customHeight="1" x14ac:dyDescent="0.2">
      <c r="B33" s="336" t="s">
        <v>602</v>
      </c>
      <c r="C33" s="210" t="s">
        <v>110</v>
      </c>
      <c r="D33" s="174"/>
      <c r="E33" s="174"/>
      <c r="F33" s="461"/>
      <c r="G33" s="174"/>
      <c r="J33" s="556"/>
    </row>
    <row r="34" spans="2:10" s="12" customFormat="1" ht="14.45" customHeight="1" thickBot="1" x14ac:dyDescent="0.25">
      <c r="B34" s="336" t="s">
        <v>603</v>
      </c>
      <c r="C34" s="14" t="s">
        <v>111</v>
      </c>
      <c r="D34" s="174"/>
      <c r="E34" s="158">
        <v>2870</v>
      </c>
      <c r="F34" s="453">
        <f>SUM(E34)</f>
        <v>2870</v>
      </c>
      <c r="G34" s="174"/>
      <c r="J34" s="556"/>
    </row>
    <row r="35" spans="2:10" s="12" customFormat="1" ht="14.45" customHeight="1" thickBot="1" x14ac:dyDescent="0.25">
      <c r="B35" s="1104" t="s">
        <v>604</v>
      </c>
      <c r="C35" s="463" t="s">
        <v>112</v>
      </c>
      <c r="D35" s="307">
        <f>SUM(D34:D34)</f>
        <v>0</v>
      </c>
      <c r="E35" s="307">
        <f>SUM(E34:E34)</f>
        <v>2870</v>
      </c>
      <c r="F35" s="959">
        <f>SUM(F34:F34)</f>
        <v>2870</v>
      </c>
      <c r="G35" s="204"/>
      <c r="J35" s="556"/>
    </row>
    <row r="36" spans="2:10" s="12" customFormat="1" ht="15.75" customHeight="1" thickBot="1" x14ac:dyDescent="0.25">
      <c r="B36" s="336" t="s">
        <v>605</v>
      </c>
      <c r="C36" s="208"/>
      <c r="D36" s="174"/>
      <c r="E36" s="174"/>
      <c r="F36" s="461"/>
      <c r="G36" s="174"/>
      <c r="J36" s="556"/>
    </row>
    <row r="37" spans="2:10" s="12" customFormat="1" ht="14.45" customHeight="1" thickBot="1" x14ac:dyDescent="0.25">
      <c r="B37" s="1104" t="s">
        <v>606</v>
      </c>
      <c r="C37" s="463" t="s">
        <v>113</v>
      </c>
      <c r="D37" s="307">
        <f>D17+D25+D29+D35</f>
        <v>0</v>
      </c>
      <c r="E37" s="307">
        <f t="shared" ref="E37:F37" si="3">E17+E25+E29+E35</f>
        <v>102863</v>
      </c>
      <c r="F37" s="307">
        <f t="shared" si="3"/>
        <v>102863</v>
      </c>
      <c r="G37" s="307" t="e">
        <f>G35+G31+G17+G21+#REF!</f>
        <v>#REF!</v>
      </c>
      <c r="H37" s="307" t="e">
        <f>H35+H31+H17+H21+#REF!</f>
        <v>#REF!</v>
      </c>
      <c r="I37" s="307" t="e">
        <f>I35+I31+I17+I21+#REF!</f>
        <v>#REF!</v>
      </c>
      <c r="J37" s="556"/>
    </row>
    <row r="38" spans="2:10" ht="14.45" customHeight="1" x14ac:dyDescent="0.2">
      <c r="B38" s="336" t="s">
        <v>607</v>
      </c>
      <c r="C38" s="797"/>
      <c r="D38" s="183"/>
      <c r="E38" s="183"/>
      <c r="F38" s="183"/>
      <c r="J38" s="191"/>
    </row>
    <row r="39" spans="2:10" ht="14.45" customHeight="1" thickBot="1" x14ac:dyDescent="0.25">
      <c r="B39" s="336" t="s">
        <v>608</v>
      </c>
      <c r="J39" s="191"/>
    </row>
    <row r="40" spans="2:10" ht="14.45" customHeight="1" thickBot="1" x14ac:dyDescent="0.25">
      <c r="B40" s="1104" t="s">
        <v>609</v>
      </c>
      <c r="C40" s="463" t="s">
        <v>1074</v>
      </c>
      <c r="D40" s="307">
        <f>D37+D38</f>
        <v>0</v>
      </c>
      <c r="E40" s="307">
        <f>E37+E38</f>
        <v>102863</v>
      </c>
      <c r="F40" s="959">
        <f>F37+F38</f>
        <v>102863</v>
      </c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9</vt:i4>
      </vt:variant>
    </vt:vector>
  </HeadingPairs>
  <TitlesOfParts>
    <vt:vector size="40" baseType="lpstr">
      <vt:lpstr>Össz.önkor.mérleg.</vt:lpstr>
      <vt:lpstr>működ. mérleg </vt:lpstr>
      <vt:lpstr>felhalm. mérleg</vt:lpstr>
      <vt:lpstr>2018 évi állami tám</vt:lpstr>
      <vt:lpstr>2016 állami tám </vt:lpstr>
      <vt:lpstr>közhatalmi bevételek</vt:lpstr>
      <vt:lpstr>tám, végl. pe.átv  </vt:lpstr>
      <vt:lpstr>állami támog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Munka2</vt:lpstr>
      <vt:lpstr>likvid</vt:lpstr>
      <vt:lpstr>Munka1</vt:lpstr>
      <vt:lpstr>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2018-04-17T08:48:00Z</cp:lastPrinted>
  <dcterms:created xsi:type="dcterms:W3CDTF">2013-12-16T15:47:29Z</dcterms:created>
  <dcterms:modified xsi:type="dcterms:W3CDTF">2018-04-17T08:49:01Z</dcterms:modified>
</cp:coreProperties>
</file>