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4805" windowHeight="7590" activeTab="0"/>
  </bookViews>
  <sheets>
    <sheet name="8. SZ MELLÉKLET" sheetId="1" r:id="rId1"/>
  </sheets>
  <definedNames/>
  <calcPr fullCalcOnLoad="1"/>
</workbook>
</file>

<file path=xl/sharedStrings.xml><?xml version="1.0" encoding="utf-8"?>
<sst xmlns="http://schemas.openxmlformats.org/spreadsheetml/2006/main" count="625" uniqueCount="188">
  <si>
    <t>011130</t>
  </si>
  <si>
    <t>Önkorm és önkorm hivatalok jogalkotó ás ált ig tev</t>
  </si>
  <si>
    <t>011140</t>
  </si>
  <si>
    <t>013350</t>
  </si>
  <si>
    <t>016080</t>
  </si>
  <si>
    <t>Kiemelt állami és önkorm rendezvények</t>
  </si>
  <si>
    <t>018010</t>
  </si>
  <si>
    <t>018030</t>
  </si>
  <si>
    <t>Támogatási célú finanszírozási műveletek</t>
  </si>
  <si>
    <t>045120</t>
  </si>
  <si>
    <t>Út, autgópálya építés</t>
  </si>
  <si>
    <t>045160</t>
  </si>
  <si>
    <t>Közutak, hidak, alagutak üzemeltetése, fenntartása</t>
  </si>
  <si>
    <t>045170</t>
  </si>
  <si>
    <t>Parkoló, garázs üzemeltetése, fenntartása</t>
  </si>
  <si>
    <t>046020</t>
  </si>
  <si>
    <t>Vezetékes műsorelosztás, városi és kábeltévés rend</t>
  </si>
  <si>
    <t>047120</t>
  </si>
  <si>
    <t>Piac üzemeltetése</t>
  </si>
  <si>
    <t>061030</t>
  </si>
  <si>
    <t>Lakáshoz jutást segítő támogatások</t>
  </si>
  <si>
    <t>062020</t>
  </si>
  <si>
    <t>Településfejlesztési projektek és támogatásuk</t>
  </si>
  <si>
    <t>066010</t>
  </si>
  <si>
    <t>Zölterület- kezelés</t>
  </si>
  <si>
    <t>082092</t>
  </si>
  <si>
    <t>084031</t>
  </si>
  <si>
    <t>Civil szervezetek működési támogatása</t>
  </si>
  <si>
    <t>086010</t>
  </si>
  <si>
    <t>Határon túli magyarok egyéb támogatása</t>
  </si>
  <si>
    <t>091240</t>
  </si>
  <si>
    <t>092111</t>
  </si>
  <si>
    <t>094260</t>
  </si>
  <si>
    <t>Hallgatói és oktatói ösztöndíj, egyéb juttatások</t>
  </si>
  <si>
    <t>Iskolai intézményi étkeztetés</t>
  </si>
  <si>
    <t>101150</t>
  </si>
  <si>
    <t>Betegséggel kapcs pénzbeli ellátások, támogatások</t>
  </si>
  <si>
    <t>103010</t>
  </si>
  <si>
    <t>Elhunyt személyek hátramaradottainak pénzbeli ell</t>
  </si>
  <si>
    <t>104012</t>
  </si>
  <si>
    <t>Gyermekek átmeneti ellátása</t>
  </si>
  <si>
    <t>104030</t>
  </si>
  <si>
    <t>Gyermekek napközbeni ellátása</t>
  </si>
  <si>
    <t>104051</t>
  </si>
  <si>
    <t>Gyermekvédelmi pénzbeli és természetbeni ell</t>
  </si>
  <si>
    <t>104060</t>
  </si>
  <si>
    <t>A gyermekek, fiatalok és családok életmin jav pr</t>
  </si>
  <si>
    <t>106020</t>
  </si>
  <si>
    <t>Lakásfenntartással, lakhatással összefüggő ellátás</t>
  </si>
  <si>
    <t>107015</t>
  </si>
  <si>
    <t>Hajléktalanok nappali ellátása</t>
  </si>
  <si>
    <t>107016</t>
  </si>
  <si>
    <t>Utcai szociális munka</t>
  </si>
  <si>
    <t>Családsegítés</t>
  </si>
  <si>
    <t>107060</t>
  </si>
  <si>
    <t>Egyéb szociális pénzbeli és természetbeni ell tám</t>
  </si>
  <si>
    <t>Önkorm vagyonnal való gazd kapcs felad</t>
  </si>
  <si>
    <t>Országos és helyi nemzetiségi önk ig tev</t>
  </si>
  <si>
    <t>Önkorm elszámolása központi ktgvetéssel</t>
  </si>
  <si>
    <t>szakfeladat</t>
  </si>
  <si>
    <t>korm funk</t>
  </si>
  <si>
    <t>Építményüzemeltetés</t>
  </si>
  <si>
    <t>092120</t>
  </si>
  <si>
    <t>BEVÉTEL</t>
  </si>
  <si>
    <t>KIADÁS</t>
  </si>
  <si>
    <t>Szakfeladatok el nem számolt tételek</t>
  </si>
  <si>
    <t>Kulturális musorok, rendezvények, kiáll.</t>
  </si>
  <si>
    <t>Alapfokú muvészatoktatás</t>
  </si>
  <si>
    <t>Köznev.int. tan.nap.rendsz.nev.okt. sz.f. 5-8 évf.</t>
  </si>
  <si>
    <t>Köznev.int. 5-8.évf. tan.nev.okt. összef. muk.fel.</t>
  </si>
  <si>
    <t>címszám</t>
  </si>
  <si>
    <t>Gyermekek átmeneti otthonában elh.ellát.</t>
  </si>
  <si>
    <t>Családok átmeneti otthonában elhely.ell.</t>
  </si>
  <si>
    <t>Nappali melegedo</t>
  </si>
  <si>
    <t>Zöldterület-kezelés</t>
  </si>
  <si>
    <t>Nem lakóingatlan bérbeadása, üzemeltetés</t>
  </si>
  <si>
    <t>Lakóingatlan bérbeadása, üzemeltetése</t>
  </si>
  <si>
    <t>Parkoló, garázs üzemeltetése, fenntartás</t>
  </si>
  <si>
    <t>Üdüloi szálláshely-szolgáltatás</t>
  </si>
  <si>
    <t>Vezetékes musorelo. városi és kábelt.ren</t>
  </si>
  <si>
    <t>Közmuvelodési intézm.közösségi szint.muk</t>
  </si>
  <si>
    <t>Idosek nappali ellátása</t>
  </si>
  <si>
    <t>Gyermekjóléti szolgáltatás</t>
  </si>
  <si>
    <t>Szociális étkeztetés</t>
  </si>
  <si>
    <t>Házi segítségnyújtás</t>
  </si>
  <si>
    <t>Gyermekétkeztetés köznevelési intézményben</t>
  </si>
  <si>
    <t>096015</t>
  </si>
  <si>
    <t>(e Ft- ban)</t>
  </si>
  <si>
    <t>ÖNKORMÁNYZAT</t>
  </si>
  <si>
    <t>szakfeladat megnevezése</t>
  </si>
  <si>
    <t>kormányzati funkció megnevezpése</t>
  </si>
  <si>
    <t>8. sz melléklet</t>
  </si>
  <si>
    <t>POLGÁRMESTERI HIVATAL</t>
  </si>
  <si>
    <t>BL KÖZTERÜLET- FELÜGYELET</t>
  </si>
  <si>
    <t>BLESZ</t>
  </si>
  <si>
    <t>031030</t>
  </si>
  <si>
    <t>GAZDASÁGI SZERVEZETTEL RENDELKEZŐ KÖLTSÉGVETÉSI SZERVEK</t>
  </si>
  <si>
    <t>GAZDASÁGI SZERVEZETTEL NEM RENDELKEZŐ KÖLTSÉGVETÉSI SZERVEK</t>
  </si>
  <si>
    <t>Bölcsödei ellátás</t>
  </si>
  <si>
    <t>104035</t>
  </si>
  <si>
    <t>091110</t>
  </si>
  <si>
    <t>Óvodai nevelés, ellátás szakmai feladatai</t>
  </si>
  <si>
    <t>091140</t>
  </si>
  <si>
    <t>Óvodai nevelés, ellátás működési feladatai</t>
  </si>
  <si>
    <t>Óvodai intézményi étkeztetés</t>
  </si>
  <si>
    <t>Idősek nappali ellátás</t>
  </si>
  <si>
    <t>107052</t>
  </si>
  <si>
    <t>Időskorúak átmeneti ellátása</t>
  </si>
  <si>
    <t>Közösségi szolgáltatások</t>
  </si>
  <si>
    <t>101143</t>
  </si>
  <si>
    <t>Pszichiátriai betegek közösségi alapellátása</t>
  </si>
  <si>
    <t>Jelzőrendszeres házi segítségnyújtás</t>
  </si>
  <si>
    <t>107053</t>
  </si>
  <si>
    <t>107051</t>
  </si>
  <si>
    <t>041233</t>
  </si>
  <si>
    <t>Hosszabb időtartamú közfoglalkoztatás</t>
  </si>
  <si>
    <t>Gyermekétkeztetés bölcsődében, fogy. napp. int.</t>
  </si>
  <si>
    <t>Gyermekétkeztetés bölcsődében, fogy.napp</t>
  </si>
  <si>
    <t>Közterület rendjének fenntartása</t>
  </si>
  <si>
    <t>072111</t>
  </si>
  <si>
    <t>Háziorvosi alapellátás</t>
  </si>
  <si>
    <t>072112</t>
  </si>
  <si>
    <t>Háziorvosi ügyeleti ellátás</t>
  </si>
  <si>
    <t>072210</t>
  </si>
  <si>
    <t>Járóbetegek gyógyító szakellátása</t>
  </si>
  <si>
    <t>072230</t>
  </si>
  <si>
    <t>Járóbetegek gyógyító gondozása</t>
  </si>
  <si>
    <t>073160</t>
  </si>
  <si>
    <t>Egynapos sebészeti ellátás</t>
  </si>
  <si>
    <t>074011</t>
  </si>
  <si>
    <t>Foglalkozás-egészségügyi ellátás</t>
  </si>
  <si>
    <t>072313</t>
  </si>
  <si>
    <t>Fogorvosi szakellátás</t>
  </si>
  <si>
    <t>072420</t>
  </si>
  <si>
    <t>Egészségügyi laboratóriumi szolgáltatások</t>
  </si>
  <si>
    <t>072430</t>
  </si>
  <si>
    <t>Képalkotó diagnosztikai szolgáltatások</t>
  </si>
  <si>
    <t>074031</t>
  </si>
  <si>
    <t>Család-és nővédelmi egészségügyi gondozás</t>
  </si>
  <si>
    <t>074032</t>
  </si>
  <si>
    <t>Ifjúság-egészségügyi gondozás</t>
  </si>
  <si>
    <t>MŰKÖDÉSI CÉLÚ PÉNZESZKÖZÁTADÁSOK ÖSSZESEN:</t>
  </si>
  <si>
    <t>KÖLTSÉGVETÉSI SZERVEK ÉS NEMZETISÉGI ÖNKORM. TÁMOGATÁS ÖSSZESEN:</t>
  </si>
  <si>
    <t>ÖNKORMÁNYZATI MŰKÖDÉSI KIADÁSOK ÖSSZESEN:</t>
  </si>
  <si>
    <t>ÖNKORMÁNYZAT FELHALMOZÁSI KIADÁSAI ÖSSZESEN:</t>
  </si>
  <si>
    <t>FELHALMOZÁSI CÉLÚ KÖLCSÖNÖK ÖSSZESEN:</t>
  </si>
  <si>
    <t>TARTALÉKOK ÖSSZESEN:</t>
  </si>
  <si>
    <t>ÖNKORMÁNYZAT MŰKÖDÉSI BEVÉTELEI ÖSSZESEN:</t>
  </si>
  <si>
    <t>ÖNKORMÁNYZAT KIADÁSAI ÖSSZESEN:</t>
  </si>
  <si>
    <t>ÖNKORMÁNYZAT FELHALMOZÁSI BEVÉTELEI ÖSSZESEN:</t>
  </si>
  <si>
    <t>KÖLCSÖNÖK BEVÉTELE ÖSSZESEN:</t>
  </si>
  <si>
    <t>ÖNKORMÁNYZAT BEVÉTELEI ÖSSZESEN:</t>
  </si>
  <si>
    <t>GAZDASÁGI SZERVEZETTEL RENDELKEZŐ KÖLTSÉGVETÉSI SZERVEK KIADÁSAI ÖSSZESEN:</t>
  </si>
  <si>
    <t>GAZDASÁGI SZERVEZETTEL RENDELKEZŐ KÖLTSÉGVETÉSI SZERVEK BEVÉTELEI ÖSSZESEN:</t>
  </si>
  <si>
    <t>GAZDASÁGI SZERVEZETTEL NEM RENDELKEZŐ KÖLTSÉGVETÉSI SZERVEK KIADÁSAI ÖSSZESEN:</t>
  </si>
  <si>
    <t>GAZDASÁGI SZERVEZETTEL NEM RENDELKEZŐ KÖLTSÉGVETÉSI SZERVEK BEVÉTELEI ÖSSZESEN:</t>
  </si>
  <si>
    <t>ÖNKORMÁNYZATI KIADÁS MINDÖSSZESEN:</t>
  </si>
  <si>
    <t>ÖNKORMÁNYZATI BEVÉTELEK MINDÖSSZESEN:</t>
  </si>
  <si>
    <t>KÖLTSÉGVETÉSI SZERVEKNEK NYÚJTOTT TÁMOGATÁS MIATTI KIADÁS KORREKCIÓ</t>
  </si>
  <si>
    <t>KÖLTSÉGVETÉSI SZERVEKNEK NYÚJTOTT TÁMOGATÁS MIATTI BEVÉTEL KORREKCIÓ</t>
  </si>
  <si>
    <t>PARKOLÁSI TEVÉKENYSÉG TOVÁBBSZÁMLÁZOTT KIADÁSAI MIATTI KORREKCIÓ</t>
  </si>
  <si>
    <t>PARKOLÁSI TEVÉKENYSÉG TOVÁBBSZÁMLÁZOTT BEVÉTELEI MIATTI KORREKCIÓ</t>
  </si>
  <si>
    <t>ÖNKORMÁNYZAT KIADÁSAI MINDÖSSZESEN:</t>
  </si>
  <si>
    <t>ÖNKORMÁNYZAT BEVÉTELEI MINDÖSSZESEN:</t>
  </si>
  <si>
    <t>Általános járóbeteg ellátás</t>
  </si>
  <si>
    <t>Időskorúak nappali ellátása</t>
  </si>
  <si>
    <t>Közművelődés- hagyományos köz kult ért gond</t>
  </si>
  <si>
    <t>Szakfeladatokra el nem számolt tételek</t>
  </si>
  <si>
    <t>000000</t>
  </si>
  <si>
    <t>104031</t>
  </si>
  <si>
    <t>Gyermekek bölcsödei ellátása</t>
  </si>
  <si>
    <t>Adminisztratív kiegészítő szolgáltatások</t>
  </si>
  <si>
    <t>013390</t>
  </si>
  <si>
    <t>Egyéb kiegészítő szolgáltatások</t>
  </si>
  <si>
    <t>104042</t>
  </si>
  <si>
    <t>104043</t>
  </si>
  <si>
    <t>Családi és gyermekjóléti szolgáltatások</t>
  </si>
  <si>
    <t>Családi és gyermekjóléti központ</t>
  </si>
  <si>
    <t>086090</t>
  </si>
  <si>
    <t>Mindenféle egyéb szabadidos szolgáltatás</t>
  </si>
  <si>
    <t>084040</t>
  </si>
  <si>
    <t>084060</t>
  </si>
  <si>
    <t>Érdekképviseleti, szakszervezeti tevékenységek támogatása</t>
  </si>
  <si>
    <t>Egyházak közösségi és hitéleti tevékenységének támogatása</t>
  </si>
  <si>
    <t>900020</t>
  </si>
  <si>
    <t>Önkormányzatok funkcióra nem sorolható bevételei államháztartáson kívülről</t>
  </si>
  <si>
    <t>031060</t>
  </si>
  <si>
    <t>Bűnmegelőzés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</si>
</sst>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49" fontId="37" fillId="0" borderId="0" xfId="0" applyNumberFormat="1" applyFont="1" applyFill="1" applyAlignment="1">
      <alignment horizontal="center"/>
    </xf>
    <xf numFmtId="0" fontId="37" fillId="0" borderId="0" xfId="0" applyFont="1" applyAlignment="1">
      <alignment horizontal="right"/>
    </xf>
    <xf numFmtId="3" fontId="37" fillId="0" borderId="0" xfId="0" applyNumberFormat="1" applyFont="1" applyFill="1" applyAlignment="1">
      <alignment/>
    </xf>
    <xf numFmtId="0" fontId="38" fillId="0" borderId="0" xfId="0" applyFont="1" applyBorder="1" applyAlignment="1">
      <alignment horizontal="center"/>
    </xf>
    <xf numFmtId="0" fontId="38" fillId="0" borderId="0" xfId="0" applyFont="1" applyAlignment="1">
      <alignment horizontal="center"/>
    </xf>
    <xf numFmtId="49" fontId="38" fillId="0" borderId="0" xfId="0" applyNumberFormat="1" applyFont="1" applyFill="1" applyAlignment="1">
      <alignment horizontal="center"/>
    </xf>
    <xf numFmtId="3" fontId="38" fillId="0" borderId="0" xfId="0" applyNumberFormat="1" applyFont="1" applyFill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49" fontId="37" fillId="0" borderId="10" xfId="0" applyNumberFormat="1" applyFont="1" applyFill="1" applyBorder="1" applyAlignment="1">
      <alignment horizontal="center"/>
    </xf>
    <xf numFmtId="3" fontId="37" fillId="0" borderId="10" xfId="0" applyNumberFormat="1" applyFont="1" applyFill="1" applyBorder="1" applyAlignment="1">
      <alignment/>
    </xf>
    <xf numFmtId="0" fontId="37" fillId="0" borderId="0" xfId="0" applyFont="1" applyBorder="1" applyAlignment="1">
      <alignment/>
    </xf>
    <xf numFmtId="3" fontId="37" fillId="0" borderId="0" xfId="0" applyNumberFormat="1" applyFont="1" applyBorder="1" applyAlignment="1">
      <alignment/>
    </xf>
    <xf numFmtId="0" fontId="37" fillId="0" borderId="10" xfId="0" applyFont="1" applyFill="1" applyBorder="1" applyAlignment="1">
      <alignment horizontal="center"/>
    </xf>
    <xf numFmtId="0" fontId="37" fillId="0" borderId="1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7" fillId="0" borderId="11" xfId="0" applyFont="1" applyBorder="1" applyAlignment="1">
      <alignment horizontal="center"/>
    </xf>
    <xf numFmtId="0" fontId="37" fillId="0" borderId="11" xfId="0" applyFont="1" applyBorder="1" applyAlignment="1">
      <alignment/>
    </xf>
    <xf numFmtId="49" fontId="37" fillId="0" borderId="11" xfId="0" applyNumberFormat="1" applyFont="1" applyFill="1" applyBorder="1" applyAlignment="1">
      <alignment horizontal="center"/>
    </xf>
    <xf numFmtId="0" fontId="37" fillId="0" borderId="11" xfId="0" applyFont="1" applyFill="1" applyBorder="1" applyAlignment="1">
      <alignment/>
    </xf>
    <xf numFmtId="3" fontId="37" fillId="0" borderId="11" xfId="0" applyNumberFormat="1" applyFont="1" applyFill="1" applyBorder="1" applyAlignment="1">
      <alignment/>
    </xf>
    <xf numFmtId="3" fontId="38" fillId="0" borderId="0" xfId="0" applyNumberFormat="1" applyFont="1" applyFill="1" applyBorder="1" applyAlignment="1">
      <alignment/>
    </xf>
    <xf numFmtId="0" fontId="37" fillId="0" borderId="12" xfId="0" applyFont="1" applyBorder="1" applyAlignment="1">
      <alignment horizontal="center"/>
    </xf>
    <xf numFmtId="0" fontId="37" fillId="0" borderId="12" xfId="0" applyFont="1" applyBorder="1" applyAlignment="1">
      <alignment/>
    </xf>
    <xf numFmtId="49" fontId="37" fillId="0" borderId="12" xfId="0" applyNumberFormat="1" applyFont="1" applyFill="1" applyBorder="1" applyAlignment="1">
      <alignment horizontal="center"/>
    </xf>
    <xf numFmtId="0" fontId="37" fillId="0" borderId="12" xfId="0" applyFont="1" applyFill="1" applyBorder="1" applyAlignment="1">
      <alignment/>
    </xf>
    <xf numFmtId="3" fontId="37" fillId="0" borderId="12" xfId="0" applyNumberFormat="1" applyFont="1" applyFill="1" applyBorder="1" applyAlignment="1">
      <alignment/>
    </xf>
    <xf numFmtId="0" fontId="37" fillId="0" borderId="13" xfId="0" applyFont="1" applyBorder="1" applyAlignment="1">
      <alignment horizontal="center"/>
    </xf>
    <xf numFmtId="49" fontId="37" fillId="0" borderId="13" xfId="0" applyNumberFormat="1" applyFont="1" applyFill="1" applyBorder="1" applyAlignment="1">
      <alignment horizontal="center"/>
    </xf>
    <xf numFmtId="0" fontId="37" fillId="0" borderId="13" xfId="0" applyFont="1" applyFill="1" applyBorder="1" applyAlignment="1">
      <alignment/>
    </xf>
    <xf numFmtId="3" fontId="37" fillId="0" borderId="13" xfId="0" applyNumberFormat="1" applyFont="1" applyFill="1" applyBorder="1" applyAlignment="1">
      <alignment/>
    </xf>
    <xf numFmtId="0" fontId="37" fillId="0" borderId="14" xfId="0" applyFont="1" applyBorder="1" applyAlignment="1">
      <alignment horizontal="center"/>
    </xf>
    <xf numFmtId="0" fontId="37" fillId="0" borderId="11" xfId="0" applyFont="1" applyFill="1" applyBorder="1" applyAlignment="1">
      <alignment horizontal="center"/>
    </xf>
    <xf numFmtId="3" fontId="38" fillId="0" borderId="11" xfId="0" applyNumberFormat="1" applyFont="1" applyFill="1" applyBorder="1" applyAlignment="1">
      <alignment/>
    </xf>
    <xf numFmtId="0" fontId="37" fillId="0" borderId="0" xfId="0" applyFont="1" applyBorder="1" applyAlignment="1">
      <alignment horizontal="center"/>
    </xf>
    <xf numFmtId="49" fontId="37" fillId="0" borderId="0" xfId="0" applyNumberFormat="1" applyFont="1" applyFill="1" applyBorder="1" applyAlignment="1">
      <alignment horizontal="center"/>
    </xf>
    <xf numFmtId="3" fontId="37" fillId="0" borderId="0" xfId="0" applyNumberFormat="1" applyFont="1" applyFill="1" applyBorder="1" applyAlignment="1">
      <alignment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horizontal="center"/>
    </xf>
    <xf numFmtId="3" fontId="38" fillId="0" borderId="0" xfId="0" applyNumberFormat="1" applyFont="1" applyFill="1" applyAlignment="1">
      <alignment/>
    </xf>
    <xf numFmtId="0" fontId="38" fillId="0" borderId="0" xfId="0" applyFont="1" applyFill="1" applyAlignment="1">
      <alignment horizontal="center"/>
    </xf>
    <xf numFmtId="49" fontId="37" fillId="33" borderId="10" xfId="0" applyNumberFormat="1" applyFont="1" applyFill="1" applyBorder="1" applyAlignment="1">
      <alignment horizontal="center"/>
    </xf>
    <xf numFmtId="3" fontId="37" fillId="0" borderId="10" xfId="0" applyNumberFormat="1" applyFont="1" applyBorder="1" applyAlignment="1">
      <alignment/>
    </xf>
    <xf numFmtId="49" fontId="37" fillId="33" borderId="0" xfId="0" applyNumberFormat="1" applyFont="1" applyFill="1" applyBorder="1" applyAlignment="1">
      <alignment horizontal="center"/>
    </xf>
    <xf numFmtId="3" fontId="38" fillId="0" borderId="0" xfId="0" applyNumberFormat="1" applyFont="1" applyBorder="1" applyAlignment="1">
      <alignment/>
    </xf>
    <xf numFmtId="3" fontId="37" fillId="33" borderId="10" xfId="0" applyNumberFormat="1" applyFont="1" applyFill="1" applyBorder="1" applyAlignment="1">
      <alignment/>
    </xf>
    <xf numFmtId="49" fontId="37" fillId="0" borderId="0" xfId="0" applyNumberFormat="1" applyFont="1" applyAlignment="1">
      <alignment horizontal="center"/>
    </xf>
    <xf numFmtId="0" fontId="37" fillId="0" borderId="0" xfId="0" applyFont="1" applyFill="1" applyBorder="1" applyAlignment="1">
      <alignment horizontal="center"/>
    </xf>
    <xf numFmtId="3" fontId="38" fillId="0" borderId="0" xfId="0" applyNumberFormat="1" applyFont="1" applyAlignment="1">
      <alignment/>
    </xf>
    <xf numFmtId="0" fontId="39" fillId="0" borderId="0" xfId="0" applyFont="1" applyFill="1" applyBorder="1" applyAlignment="1">
      <alignment horizontal="center"/>
    </xf>
    <xf numFmtId="3" fontId="38" fillId="0" borderId="11" xfId="0" applyNumberFormat="1" applyFont="1" applyBorder="1" applyAlignment="1">
      <alignment/>
    </xf>
    <xf numFmtId="0" fontId="38" fillId="0" borderId="0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3" fontId="37" fillId="0" borderId="12" xfId="0" applyNumberFormat="1" applyFont="1" applyBorder="1" applyAlignment="1">
      <alignment/>
    </xf>
    <xf numFmtId="0" fontId="38" fillId="0" borderId="12" xfId="0" applyFont="1" applyBorder="1" applyAlignment="1">
      <alignment horizontal="center"/>
    </xf>
    <xf numFmtId="0" fontId="38" fillId="0" borderId="15" xfId="0" applyFont="1" applyFill="1" applyBorder="1" applyAlignment="1">
      <alignment/>
    </xf>
    <xf numFmtId="3" fontId="38" fillId="0" borderId="16" xfId="0" applyNumberFormat="1" applyFont="1" applyFill="1" applyBorder="1" applyAlignment="1">
      <alignment/>
    </xf>
    <xf numFmtId="0" fontId="38" fillId="0" borderId="0" xfId="0" applyFont="1" applyFill="1" applyAlignment="1">
      <alignment/>
    </xf>
    <xf numFmtId="1" fontId="37" fillId="0" borderId="0" xfId="0" applyNumberFormat="1" applyFont="1" applyFill="1" applyBorder="1" applyAlignment="1">
      <alignment horizontal="center"/>
    </xf>
    <xf numFmtId="3" fontId="37" fillId="0" borderId="0" xfId="0" applyNumberFormat="1" applyFont="1" applyAlignment="1">
      <alignment/>
    </xf>
    <xf numFmtId="0" fontId="38" fillId="0" borderId="0" xfId="0" applyFont="1" applyFill="1" applyBorder="1" applyAlignment="1">
      <alignment horizontal="left"/>
    </xf>
    <xf numFmtId="3" fontId="38" fillId="0" borderId="17" xfId="0" applyNumberFormat="1" applyFont="1" applyFill="1" applyBorder="1" applyAlignment="1">
      <alignment/>
    </xf>
    <xf numFmtId="0" fontId="38" fillId="0" borderId="15" xfId="0" applyFont="1" applyFill="1" applyBorder="1" applyAlignment="1">
      <alignment/>
    </xf>
    <xf numFmtId="0" fontId="38" fillId="0" borderId="16" xfId="0" applyFont="1" applyFill="1" applyBorder="1" applyAlignment="1">
      <alignment/>
    </xf>
    <xf numFmtId="0" fontId="38" fillId="0" borderId="17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7" xfId="0" applyFont="1" applyBorder="1" applyAlignment="1">
      <alignment horizontal="left"/>
    </xf>
    <xf numFmtId="0" fontId="38" fillId="0" borderId="15" xfId="0" applyFont="1" applyBorder="1" applyAlignment="1">
      <alignment horizontal="left"/>
    </xf>
    <xf numFmtId="0" fontId="39" fillId="34" borderId="0" xfId="0" applyFont="1" applyFill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Fill="1" applyAlignment="1">
      <alignment horizontal="center"/>
    </xf>
    <xf numFmtId="0" fontId="38" fillId="0" borderId="17" xfId="0" applyFont="1" applyFill="1" applyBorder="1" applyAlignment="1">
      <alignment horizontal="left"/>
    </xf>
    <xf numFmtId="0" fontId="38" fillId="0" borderId="15" xfId="0" applyFont="1" applyFill="1" applyBorder="1" applyAlignment="1">
      <alignment horizontal="left"/>
    </xf>
    <xf numFmtId="0" fontId="38" fillId="0" borderId="17" xfId="0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6"/>
  <sheetViews>
    <sheetView tabSelected="1" zoomScale="80" zoomScaleNormal="80" zoomScalePageLayoutView="0" workbookViewId="0" topLeftCell="A265">
      <selection activeCell="F311" sqref="F311"/>
    </sheetView>
  </sheetViews>
  <sheetFormatPr defaultColWidth="9.140625" defaultRowHeight="15"/>
  <cols>
    <col min="1" max="1" width="11.28125" style="1" bestFit="1" customWidth="1"/>
    <col min="2" max="2" width="11.8515625" style="1" bestFit="1" customWidth="1"/>
    <col min="3" max="3" width="40.28125" style="2" bestFit="1" customWidth="1"/>
    <col min="4" max="4" width="10.8515625" style="3" bestFit="1" customWidth="1"/>
    <col min="5" max="5" width="46.7109375" style="2" bestFit="1" customWidth="1"/>
    <col min="6" max="6" width="12.28125" style="5" bestFit="1" customWidth="1"/>
    <col min="7" max="7" width="5.00390625" style="2" customWidth="1"/>
    <col min="8" max="8" width="11.28125" style="2" bestFit="1" customWidth="1"/>
    <col min="9" max="9" width="11.28125" style="62" bestFit="1" customWidth="1"/>
    <col min="10" max="16384" width="9.140625" style="2" customWidth="1"/>
  </cols>
  <sheetData>
    <row r="1" ht="15.75">
      <c r="E1" s="4" t="s">
        <v>91</v>
      </c>
    </row>
    <row r="2" ht="6" customHeight="1">
      <c r="D2" s="1"/>
    </row>
    <row r="3" spans="1:6" ht="15.75">
      <c r="A3" s="72" t="s">
        <v>88</v>
      </c>
      <c r="B3" s="72"/>
      <c r="C3" s="72"/>
      <c r="D3" s="72"/>
      <c r="E3" s="72"/>
      <c r="F3" s="72"/>
    </row>
    <row r="4" spans="1:6" ht="14.25" customHeight="1">
      <c r="A4" s="6"/>
      <c r="B4" s="6"/>
      <c r="C4" s="6"/>
      <c r="D4" s="6"/>
      <c r="E4" s="6"/>
      <c r="F4" s="5" t="s">
        <v>87</v>
      </c>
    </row>
    <row r="5" spans="1:6" ht="15.75">
      <c r="A5" s="7" t="s">
        <v>70</v>
      </c>
      <c r="B5" s="7" t="s">
        <v>59</v>
      </c>
      <c r="C5" s="7" t="s">
        <v>89</v>
      </c>
      <c r="D5" s="8" t="s">
        <v>60</v>
      </c>
      <c r="E5" s="7" t="s">
        <v>90</v>
      </c>
      <c r="F5" s="9"/>
    </row>
    <row r="6" ht="15.75">
      <c r="A6" s="7" t="s">
        <v>64</v>
      </c>
    </row>
    <row r="7" spans="1:9" s="14" customFormat="1" ht="15.75">
      <c r="A7" s="10">
        <v>1003</v>
      </c>
      <c r="B7" s="10">
        <v>9990001</v>
      </c>
      <c r="C7" s="11" t="s">
        <v>167</v>
      </c>
      <c r="D7" s="12" t="s">
        <v>32</v>
      </c>
      <c r="E7" s="11" t="s">
        <v>33</v>
      </c>
      <c r="F7" s="13">
        <f>5856+171</f>
        <v>6027</v>
      </c>
      <c r="I7" s="15"/>
    </row>
    <row r="8" spans="1:9" s="14" customFormat="1" ht="15.75">
      <c r="A8" s="10"/>
      <c r="B8" s="10">
        <v>9990001</v>
      </c>
      <c r="C8" s="11" t="s">
        <v>167</v>
      </c>
      <c r="D8" s="12" t="s">
        <v>35</v>
      </c>
      <c r="E8" s="11" t="s">
        <v>36</v>
      </c>
      <c r="F8" s="13">
        <f>27780+12312+1169</f>
        <v>41261</v>
      </c>
      <c r="I8" s="15"/>
    </row>
    <row r="9" spans="1:9" s="14" customFormat="1" ht="15.75">
      <c r="A9" s="10"/>
      <c r="B9" s="10">
        <v>9990001</v>
      </c>
      <c r="C9" s="11" t="s">
        <v>167</v>
      </c>
      <c r="D9" s="12" t="s">
        <v>37</v>
      </c>
      <c r="E9" s="11" t="s">
        <v>38</v>
      </c>
      <c r="F9" s="13">
        <f>1710+3000+137</f>
        <v>4847</v>
      </c>
      <c r="I9" s="15"/>
    </row>
    <row r="10" spans="1:9" s="14" customFormat="1" ht="15.75">
      <c r="A10" s="10"/>
      <c r="B10" s="10">
        <v>8790181</v>
      </c>
      <c r="C10" s="11" t="s">
        <v>71</v>
      </c>
      <c r="D10" s="12" t="s">
        <v>39</v>
      </c>
      <c r="E10" s="11" t="s">
        <v>40</v>
      </c>
      <c r="F10" s="13">
        <f>1100+91+35</f>
        <v>1226</v>
      </c>
      <c r="I10" s="15"/>
    </row>
    <row r="11" spans="1:9" s="14" customFormat="1" ht="15.75">
      <c r="A11" s="10"/>
      <c r="B11" s="10">
        <v>8790191</v>
      </c>
      <c r="C11" s="11" t="s">
        <v>72</v>
      </c>
      <c r="D11" s="12" t="s">
        <v>39</v>
      </c>
      <c r="E11" s="11" t="s">
        <v>40</v>
      </c>
      <c r="F11" s="13">
        <f>500+15</f>
        <v>515</v>
      </c>
      <c r="I11" s="15"/>
    </row>
    <row r="12" spans="1:9" s="14" customFormat="1" ht="15.75">
      <c r="A12" s="10"/>
      <c r="B12" s="10">
        <v>9990001</v>
      </c>
      <c r="C12" s="11" t="s">
        <v>167</v>
      </c>
      <c r="D12" s="12" t="s">
        <v>43</v>
      </c>
      <c r="E12" s="11" t="s">
        <v>44</v>
      </c>
      <c r="F12" s="13">
        <f>6000+12000+525</f>
        <v>18525</v>
      </c>
      <c r="I12" s="15"/>
    </row>
    <row r="13" spans="1:9" s="14" customFormat="1" ht="15.75">
      <c r="A13" s="10"/>
      <c r="B13" s="10">
        <v>9990001</v>
      </c>
      <c r="C13" s="11" t="s">
        <v>167</v>
      </c>
      <c r="D13" s="12" t="s">
        <v>45</v>
      </c>
      <c r="E13" s="11" t="s">
        <v>46</v>
      </c>
      <c r="F13" s="13">
        <f>1600+37950+1153</f>
        <v>40703</v>
      </c>
      <c r="I13" s="15"/>
    </row>
    <row r="14" spans="1:9" s="14" customFormat="1" ht="15.75">
      <c r="A14" s="10"/>
      <c r="B14" s="10">
        <v>9990001</v>
      </c>
      <c r="C14" s="11" t="s">
        <v>167</v>
      </c>
      <c r="D14" s="12" t="s">
        <v>47</v>
      </c>
      <c r="E14" s="11" t="s">
        <v>48</v>
      </c>
      <c r="F14" s="13">
        <f>4925+147+11700+167+5664+545+675</f>
        <v>23823</v>
      </c>
      <c r="I14" s="15"/>
    </row>
    <row r="15" spans="1:9" s="14" customFormat="1" ht="15.75">
      <c r="A15" s="10"/>
      <c r="B15" s="10">
        <v>8899131</v>
      </c>
      <c r="C15" s="11" t="s">
        <v>73</v>
      </c>
      <c r="D15" s="12" t="s">
        <v>49</v>
      </c>
      <c r="E15" s="11" t="s">
        <v>50</v>
      </c>
      <c r="F15" s="13">
        <f>5000+146</f>
        <v>5146</v>
      </c>
      <c r="I15" s="15"/>
    </row>
    <row r="16" spans="1:9" s="14" customFormat="1" ht="15.75">
      <c r="A16" s="10"/>
      <c r="B16" s="10">
        <v>8899291</v>
      </c>
      <c r="C16" s="11" t="s">
        <v>52</v>
      </c>
      <c r="D16" s="12" t="s">
        <v>51</v>
      </c>
      <c r="E16" s="11" t="s">
        <v>52</v>
      </c>
      <c r="F16" s="13">
        <f>5000+146</f>
        <v>5146</v>
      </c>
      <c r="I16" s="15"/>
    </row>
    <row r="17" spans="1:10" s="14" customFormat="1" ht="15.75">
      <c r="A17" s="10"/>
      <c r="B17" s="10">
        <v>9990001</v>
      </c>
      <c r="C17" s="11" t="s">
        <v>167</v>
      </c>
      <c r="D17" s="12" t="s">
        <v>54</v>
      </c>
      <c r="E17" s="11" t="s">
        <v>55</v>
      </c>
      <c r="F17" s="13">
        <f>474408-22100+66180+15117+10000-1-38182+43223+18</f>
        <v>548663</v>
      </c>
      <c r="G17" s="15"/>
      <c r="H17" s="15"/>
      <c r="I17" s="15"/>
      <c r="J17" s="15"/>
    </row>
    <row r="18" spans="1:9" s="14" customFormat="1" ht="15.75">
      <c r="A18" s="10">
        <v>1004</v>
      </c>
      <c r="B18" s="10">
        <v>9990001</v>
      </c>
      <c r="C18" s="11" t="s">
        <v>167</v>
      </c>
      <c r="D18" s="12" t="s">
        <v>43</v>
      </c>
      <c r="E18" s="11" t="s">
        <v>44</v>
      </c>
      <c r="F18" s="13">
        <v>15000</v>
      </c>
      <c r="I18" s="15"/>
    </row>
    <row r="19" spans="1:9" s="14" customFormat="1" ht="15.75">
      <c r="A19" s="10">
        <v>1005</v>
      </c>
      <c r="B19" s="10">
        <v>8130001</v>
      </c>
      <c r="C19" s="11" t="s">
        <v>74</v>
      </c>
      <c r="D19" s="12" t="s">
        <v>23</v>
      </c>
      <c r="E19" s="11" t="s">
        <v>24</v>
      </c>
      <c r="F19" s="13">
        <v>148703</v>
      </c>
      <c r="I19" s="15"/>
    </row>
    <row r="20" spans="1:9" s="14" customFormat="1" ht="15.75">
      <c r="A20" s="10">
        <v>1006</v>
      </c>
      <c r="B20" s="10">
        <v>9990001</v>
      </c>
      <c r="C20" s="11" t="s">
        <v>167</v>
      </c>
      <c r="D20" s="12" t="s">
        <v>11</v>
      </c>
      <c r="E20" s="11" t="s">
        <v>12</v>
      </c>
      <c r="F20" s="13">
        <f>794165-635000+2734</f>
        <v>161899</v>
      </c>
      <c r="I20" s="15"/>
    </row>
    <row r="21" spans="1:10" s="18" customFormat="1" ht="15.75">
      <c r="A21" s="16"/>
      <c r="B21" s="16">
        <v>6800021</v>
      </c>
      <c r="C21" s="17" t="s">
        <v>75</v>
      </c>
      <c r="D21" s="12" t="s">
        <v>3</v>
      </c>
      <c r="E21" s="11" t="s">
        <v>56</v>
      </c>
      <c r="F21" s="13">
        <f>500000*1.27+191862</f>
        <v>826862</v>
      </c>
      <c r="H21" s="39"/>
      <c r="I21" s="39"/>
      <c r="J21" s="39"/>
    </row>
    <row r="22" spans="1:9" s="14" customFormat="1" ht="15.75">
      <c r="A22" s="10">
        <v>1007</v>
      </c>
      <c r="B22" s="10">
        <v>9990001</v>
      </c>
      <c r="C22" s="11" t="s">
        <v>167</v>
      </c>
      <c r="D22" s="12" t="s">
        <v>41</v>
      </c>
      <c r="E22" s="11" t="s">
        <v>42</v>
      </c>
      <c r="F22" s="13">
        <v>29610</v>
      </c>
      <c r="I22" s="15"/>
    </row>
    <row r="23" spans="1:9" s="14" customFormat="1" ht="15.75">
      <c r="A23" s="10"/>
      <c r="B23" s="10">
        <v>9990001</v>
      </c>
      <c r="C23" s="11" t="s">
        <v>167</v>
      </c>
      <c r="D23" s="12" t="s">
        <v>11</v>
      </c>
      <c r="E23" s="11" t="s">
        <v>12</v>
      </c>
      <c r="F23" s="13">
        <f>284044+11000</f>
        <v>295044</v>
      </c>
      <c r="I23" s="15"/>
    </row>
    <row r="24" spans="1:9" s="18" customFormat="1" ht="15.75">
      <c r="A24" s="16"/>
      <c r="B24" s="16">
        <v>5520011</v>
      </c>
      <c r="C24" s="17" t="s">
        <v>78</v>
      </c>
      <c r="D24" s="12" t="s">
        <v>3</v>
      </c>
      <c r="E24" s="11" t="s">
        <v>56</v>
      </c>
      <c r="F24" s="13">
        <f>30131</f>
        <v>30131</v>
      </c>
      <c r="I24" s="39"/>
    </row>
    <row r="25" spans="1:10" s="18" customFormat="1" ht="15.75">
      <c r="A25" s="16"/>
      <c r="B25" s="16">
        <v>8110001</v>
      </c>
      <c r="C25" s="2" t="s">
        <v>61</v>
      </c>
      <c r="D25" s="12" t="s">
        <v>3</v>
      </c>
      <c r="E25" s="11" t="s">
        <v>56</v>
      </c>
      <c r="F25" s="13">
        <f>52330+12878+23317+6126+11125-53442</f>
        <v>52334</v>
      </c>
      <c r="H25" s="39"/>
      <c r="I25" s="39"/>
      <c r="J25" s="39"/>
    </row>
    <row r="26" spans="1:9" s="14" customFormat="1" ht="15.75">
      <c r="A26" s="10">
        <v>1009</v>
      </c>
      <c r="B26" s="10">
        <v>6800011</v>
      </c>
      <c r="C26" s="11" t="s">
        <v>76</v>
      </c>
      <c r="D26" s="12" t="s">
        <v>3</v>
      </c>
      <c r="E26" s="11" t="s">
        <v>56</v>
      </c>
      <c r="F26" s="13">
        <f>8452+66859+1078+285000+2500</f>
        <v>363889</v>
      </c>
      <c r="I26" s="15"/>
    </row>
    <row r="27" spans="1:9" s="14" customFormat="1" ht="15.75">
      <c r="A27" s="10"/>
      <c r="B27" s="10">
        <v>6800021</v>
      </c>
      <c r="C27" s="17" t="s">
        <v>75</v>
      </c>
      <c r="D27" s="12" t="s">
        <v>3</v>
      </c>
      <c r="E27" s="11" t="s">
        <v>56</v>
      </c>
      <c r="F27" s="13">
        <f>7742+129829+35933+400000</f>
        <v>573504</v>
      </c>
      <c r="I27" s="15"/>
    </row>
    <row r="28" spans="1:9" s="14" customFormat="1" ht="15.75">
      <c r="A28" s="10"/>
      <c r="B28" s="10">
        <v>8110001</v>
      </c>
      <c r="C28" s="2" t="s">
        <v>61</v>
      </c>
      <c r="D28" s="12" t="s">
        <v>3</v>
      </c>
      <c r="E28" s="11" t="s">
        <v>56</v>
      </c>
      <c r="F28" s="13">
        <f>457200+791954+242430</f>
        <v>1491584</v>
      </c>
      <c r="I28" s="15"/>
    </row>
    <row r="29" spans="1:9" s="14" customFormat="1" ht="15.75">
      <c r="A29" s="10"/>
      <c r="B29" s="10">
        <v>9990001</v>
      </c>
      <c r="C29" s="11" t="s">
        <v>167</v>
      </c>
      <c r="D29" s="12" t="s">
        <v>3</v>
      </c>
      <c r="E29" s="11" t="s">
        <v>56</v>
      </c>
      <c r="F29" s="13">
        <f>405473+68834+49786+3000+14000+13176+10506+250000-998+44824</f>
        <v>858601</v>
      </c>
      <c r="I29" s="15"/>
    </row>
    <row r="30" spans="1:9" s="14" customFormat="1" ht="15.75">
      <c r="A30" s="10"/>
      <c r="B30" s="10">
        <v>9990001</v>
      </c>
      <c r="C30" s="11" t="s">
        <v>167</v>
      </c>
      <c r="D30" s="12" t="s">
        <v>0</v>
      </c>
      <c r="E30" s="11" t="s">
        <v>1</v>
      </c>
      <c r="F30" s="13">
        <v>99218</v>
      </c>
      <c r="I30" s="15"/>
    </row>
    <row r="31" spans="1:9" s="14" customFormat="1" ht="15.75">
      <c r="A31" s="10"/>
      <c r="B31" s="10">
        <v>9990001</v>
      </c>
      <c r="C31" s="11" t="s">
        <v>167</v>
      </c>
      <c r="D31" s="12" t="s">
        <v>2</v>
      </c>
      <c r="E31" s="11" t="s">
        <v>57</v>
      </c>
      <c r="F31" s="13">
        <v>6126</v>
      </c>
      <c r="I31" s="15"/>
    </row>
    <row r="32" spans="1:10" s="14" customFormat="1" ht="15.75">
      <c r="A32" s="10"/>
      <c r="B32" s="10">
        <v>8110001</v>
      </c>
      <c r="C32" s="11" t="s">
        <v>61</v>
      </c>
      <c r="D32" s="12" t="s">
        <v>17</v>
      </c>
      <c r="E32" s="11" t="s">
        <v>18</v>
      </c>
      <c r="F32" s="13">
        <v>6095</v>
      </c>
      <c r="H32" s="15"/>
      <c r="J32" s="15"/>
    </row>
    <row r="33" spans="1:10" s="14" customFormat="1" ht="15.75">
      <c r="A33" s="10">
        <v>1010</v>
      </c>
      <c r="B33" s="10">
        <v>9990001</v>
      </c>
      <c r="C33" s="11" t="s">
        <v>167</v>
      </c>
      <c r="D33" s="12" t="s">
        <v>186</v>
      </c>
      <c r="E33" s="11" t="s">
        <v>187</v>
      </c>
      <c r="F33" s="13">
        <v>5800</v>
      </c>
      <c r="H33" s="15"/>
      <c r="J33" s="15"/>
    </row>
    <row r="34" spans="1:10" s="14" customFormat="1" ht="15.75">
      <c r="A34" s="10">
        <v>1014</v>
      </c>
      <c r="B34" s="10">
        <v>9990001</v>
      </c>
      <c r="C34" s="11" t="s">
        <v>167</v>
      </c>
      <c r="D34" s="12" t="s">
        <v>178</v>
      </c>
      <c r="E34" s="11" t="s">
        <v>179</v>
      </c>
      <c r="F34" s="13">
        <f>1358+34</f>
        <v>1392</v>
      </c>
      <c r="H34" s="15"/>
      <c r="I34" s="15"/>
      <c r="J34" s="15"/>
    </row>
    <row r="35" spans="1:10" s="14" customFormat="1" ht="15.75">
      <c r="A35" s="10">
        <v>1016</v>
      </c>
      <c r="B35" s="10">
        <v>9004001</v>
      </c>
      <c r="C35" s="11" t="s">
        <v>66</v>
      </c>
      <c r="D35" s="12" t="s">
        <v>0</v>
      </c>
      <c r="E35" s="11" t="s">
        <v>1</v>
      </c>
      <c r="F35" s="13">
        <v>3524</v>
      </c>
      <c r="I35" s="15"/>
      <c r="J35" s="15"/>
    </row>
    <row r="36" spans="1:9" s="14" customFormat="1" ht="15.75">
      <c r="A36" s="10">
        <v>1017</v>
      </c>
      <c r="B36" s="10">
        <v>9990001</v>
      </c>
      <c r="C36" s="11" t="s">
        <v>167</v>
      </c>
      <c r="D36" s="12" t="s">
        <v>0</v>
      </c>
      <c r="E36" s="11" t="s">
        <v>1</v>
      </c>
      <c r="F36" s="13">
        <f>234319-1000+71095+70834+2190+32+1269</f>
        <v>378739</v>
      </c>
      <c r="I36" s="15"/>
    </row>
    <row r="37" spans="1:10" s="14" customFormat="1" ht="15.75">
      <c r="A37" s="10"/>
      <c r="B37" s="10">
        <v>9990001</v>
      </c>
      <c r="C37" s="11" t="s">
        <v>167</v>
      </c>
      <c r="D37" s="12" t="s">
        <v>6</v>
      </c>
      <c r="E37" s="17" t="s">
        <v>58</v>
      </c>
      <c r="F37" s="13">
        <v>93157</v>
      </c>
      <c r="H37" s="15"/>
      <c r="I37" s="15"/>
      <c r="J37" s="15"/>
    </row>
    <row r="38" spans="1:9" s="14" customFormat="1" ht="15.75">
      <c r="A38" s="10">
        <v>1018</v>
      </c>
      <c r="B38" s="10">
        <v>9990001</v>
      </c>
      <c r="C38" s="11" t="s">
        <v>167</v>
      </c>
      <c r="D38" s="12" t="s">
        <v>30</v>
      </c>
      <c r="E38" s="11" t="s">
        <v>67</v>
      </c>
      <c r="F38" s="13">
        <v>3000</v>
      </c>
      <c r="I38" s="15"/>
    </row>
    <row r="39" spans="1:9" s="14" customFormat="1" ht="15.75">
      <c r="A39" s="10"/>
      <c r="B39" s="10">
        <v>9990001</v>
      </c>
      <c r="C39" s="11" t="s">
        <v>167</v>
      </c>
      <c r="D39" s="12" t="s">
        <v>31</v>
      </c>
      <c r="E39" s="11" t="s">
        <v>68</v>
      </c>
      <c r="F39" s="13">
        <f>250000-1916+73231+696</f>
        <v>322011</v>
      </c>
      <c r="I39" s="15"/>
    </row>
    <row r="40" spans="1:9" s="14" customFormat="1" ht="15.75">
      <c r="A40" s="10"/>
      <c r="B40" s="10">
        <v>9990001</v>
      </c>
      <c r="C40" s="11" t="s">
        <v>167</v>
      </c>
      <c r="D40" s="12" t="s">
        <v>62</v>
      </c>
      <c r="E40" s="17" t="s">
        <v>69</v>
      </c>
      <c r="F40" s="13">
        <v>1000</v>
      </c>
      <c r="I40" s="15"/>
    </row>
    <row r="41" spans="1:10" s="14" customFormat="1" ht="15.75">
      <c r="A41" s="10"/>
      <c r="B41" s="10">
        <v>5629131</v>
      </c>
      <c r="C41" s="11" t="s">
        <v>34</v>
      </c>
      <c r="D41" s="12" t="s">
        <v>86</v>
      </c>
      <c r="E41" s="17" t="s">
        <v>85</v>
      </c>
      <c r="F41" s="13">
        <v>127000</v>
      </c>
      <c r="H41" s="15"/>
      <c r="I41" s="15"/>
      <c r="J41" s="15"/>
    </row>
    <row r="42" spans="1:9" s="14" customFormat="1" ht="15.75">
      <c r="A42" s="10">
        <v>1020</v>
      </c>
      <c r="B42" s="10">
        <v>5220031</v>
      </c>
      <c r="C42" s="11" t="s">
        <v>77</v>
      </c>
      <c r="D42" s="12" t="s">
        <v>13</v>
      </c>
      <c r="E42" s="17" t="s">
        <v>14</v>
      </c>
      <c r="F42" s="13">
        <v>1094963</v>
      </c>
      <c r="I42" s="15"/>
    </row>
    <row r="43" spans="1:9" s="14" customFormat="1" ht="15.75">
      <c r="A43" s="10">
        <v>1021</v>
      </c>
      <c r="B43" s="10">
        <v>9004001</v>
      </c>
      <c r="C43" s="11" t="s">
        <v>66</v>
      </c>
      <c r="D43" s="12" t="s">
        <v>0</v>
      </c>
      <c r="E43" s="11" t="s">
        <v>1</v>
      </c>
      <c r="F43" s="13">
        <f>565+120</f>
        <v>685</v>
      </c>
      <c r="I43" s="15"/>
    </row>
    <row r="44" spans="1:10" s="14" customFormat="1" ht="15.75">
      <c r="A44" s="10">
        <v>1022</v>
      </c>
      <c r="B44" s="10">
        <v>9004001</v>
      </c>
      <c r="C44" s="2" t="s">
        <v>66</v>
      </c>
      <c r="D44" s="12" t="s">
        <v>0</v>
      </c>
      <c r="E44" s="11" t="s">
        <v>1</v>
      </c>
      <c r="F44" s="13">
        <f>7835+4977+1124</f>
        <v>13936</v>
      </c>
      <c r="I44" s="15"/>
      <c r="J44" s="15"/>
    </row>
    <row r="45" spans="1:9" s="14" customFormat="1" ht="5.25" customHeight="1" thickBot="1">
      <c r="A45" s="19"/>
      <c r="B45" s="19"/>
      <c r="C45" s="20"/>
      <c r="D45" s="21"/>
      <c r="E45" s="22"/>
      <c r="F45" s="23"/>
      <c r="I45" s="15"/>
    </row>
    <row r="46" spans="1:10" s="14" customFormat="1" ht="16.5" thickBot="1">
      <c r="A46" s="69" t="s">
        <v>143</v>
      </c>
      <c r="B46" s="70"/>
      <c r="C46" s="70"/>
      <c r="D46" s="70"/>
      <c r="E46" s="58"/>
      <c r="F46" s="59">
        <f>SUM(F7:F45)</f>
        <v>7699689</v>
      </c>
      <c r="I46" s="15"/>
      <c r="J46" s="15"/>
    </row>
    <row r="47" spans="1:9" s="14" customFormat="1" ht="8.25" customHeight="1">
      <c r="A47" s="25"/>
      <c r="B47" s="25"/>
      <c r="C47" s="26"/>
      <c r="D47" s="27"/>
      <c r="E47" s="28"/>
      <c r="F47" s="29"/>
      <c r="I47" s="15"/>
    </row>
    <row r="48" spans="1:9" s="14" customFormat="1" ht="15.75">
      <c r="A48" s="10">
        <v>1051</v>
      </c>
      <c r="B48" s="10">
        <v>6100011</v>
      </c>
      <c r="C48" s="11" t="s">
        <v>79</v>
      </c>
      <c r="D48" s="12" t="s">
        <v>15</v>
      </c>
      <c r="E48" s="17" t="s">
        <v>16</v>
      </c>
      <c r="F48" s="13">
        <v>82113</v>
      </c>
      <c r="I48" s="15"/>
    </row>
    <row r="49" spans="1:9" s="14" customFormat="1" ht="15.75">
      <c r="A49" s="10">
        <v>1052</v>
      </c>
      <c r="B49" s="10">
        <v>9105021</v>
      </c>
      <c r="C49" s="11" t="s">
        <v>80</v>
      </c>
      <c r="D49" s="12" t="s">
        <v>25</v>
      </c>
      <c r="E49" s="17" t="s">
        <v>166</v>
      </c>
      <c r="F49" s="13">
        <v>265000</v>
      </c>
      <c r="I49" s="15"/>
    </row>
    <row r="50" spans="1:9" s="14" customFormat="1" ht="15.75">
      <c r="A50" s="10">
        <v>1053</v>
      </c>
      <c r="B50" s="10">
        <v>5220031</v>
      </c>
      <c r="C50" s="11" t="s">
        <v>77</v>
      </c>
      <c r="D50" s="12" t="s">
        <v>13</v>
      </c>
      <c r="E50" s="17" t="s">
        <v>14</v>
      </c>
      <c r="F50" s="13">
        <v>17973</v>
      </c>
      <c r="I50" s="15"/>
    </row>
    <row r="51" spans="1:9" s="14" customFormat="1" ht="15.75">
      <c r="A51" s="10">
        <v>1055</v>
      </c>
      <c r="B51" s="10">
        <v>9990001</v>
      </c>
      <c r="C51" s="11" t="s">
        <v>167</v>
      </c>
      <c r="D51" s="12" t="s">
        <v>26</v>
      </c>
      <c r="E51" s="17" t="s">
        <v>27</v>
      </c>
      <c r="F51" s="13">
        <v>3400</v>
      </c>
      <c r="I51" s="15"/>
    </row>
    <row r="52" spans="1:9" s="14" customFormat="1" ht="15.75">
      <c r="A52" s="10">
        <v>1058</v>
      </c>
      <c r="B52" s="10">
        <v>6100011</v>
      </c>
      <c r="C52" s="11" t="s">
        <v>79</v>
      </c>
      <c r="D52" s="12" t="s">
        <v>25</v>
      </c>
      <c r="E52" s="17" t="s">
        <v>166</v>
      </c>
      <c r="F52" s="13">
        <v>26420</v>
      </c>
      <c r="I52" s="15"/>
    </row>
    <row r="53" spans="1:9" s="14" customFormat="1" ht="15.75">
      <c r="A53" s="10">
        <v>1059</v>
      </c>
      <c r="B53" s="10">
        <v>9990001</v>
      </c>
      <c r="C53" s="11" t="s">
        <v>167</v>
      </c>
      <c r="D53" s="12" t="s">
        <v>26</v>
      </c>
      <c r="E53" s="17" t="s">
        <v>27</v>
      </c>
      <c r="F53" s="13">
        <f>43290-2000-150</f>
        <v>41140</v>
      </c>
      <c r="I53" s="15"/>
    </row>
    <row r="54" spans="1:9" s="14" customFormat="1" ht="15.75">
      <c r="A54" s="10"/>
      <c r="B54" s="10">
        <v>9990001</v>
      </c>
      <c r="C54" s="11" t="s">
        <v>167</v>
      </c>
      <c r="D54" s="12" t="s">
        <v>180</v>
      </c>
      <c r="E54" s="17" t="s">
        <v>183</v>
      </c>
      <c r="F54" s="13">
        <v>2000</v>
      </c>
      <c r="I54" s="15"/>
    </row>
    <row r="55" spans="1:9" s="14" customFormat="1" ht="15.75">
      <c r="A55" s="10"/>
      <c r="B55" s="10">
        <v>9990001</v>
      </c>
      <c r="C55" s="11" t="s">
        <v>167</v>
      </c>
      <c r="D55" s="12" t="s">
        <v>181</v>
      </c>
      <c r="E55" s="17" t="s">
        <v>182</v>
      </c>
      <c r="F55" s="13">
        <v>150</v>
      </c>
      <c r="I55" s="15"/>
    </row>
    <row r="56" spans="1:9" s="14" customFormat="1" ht="15.75">
      <c r="A56" s="10">
        <v>1060</v>
      </c>
      <c r="B56" s="10">
        <v>9990001</v>
      </c>
      <c r="C56" s="11" t="s">
        <v>167</v>
      </c>
      <c r="D56" s="12" t="s">
        <v>0</v>
      </c>
      <c r="E56" s="11" t="s">
        <v>1</v>
      </c>
      <c r="F56" s="13">
        <f>583+458</f>
        <v>1041</v>
      </c>
      <c r="I56" s="15"/>
    </row>
    <row r="57" spans="1:9" s="14" customFormat="1" ht="15.75">
      <c r="A57" s="10">
        <v>1061</v>
      </c>
      <c r="B57" s="10">
        <v>9990001</v>
      </c>
      <c r="C57" s="11" t="s">
        <v>167</v>
      </c>
      <c r="D57" s="12" t="s">
        <v>26</v>
      </c>
      <c r="E57" s="17" t="s">
        <v>27</v>
      </c>
      <c r="F57" s="13">
        <f>1000+580</f>
        <v>1580</v>
      </c>
      <c r="I57" s="15"/>
    </row>
    <row r="58" spans="1:9" s="14" customFormat="1" ht="15.75">
      <c r="A58" s="10"/>
      <c r="B58" s="10">
        <v>9990001</v>
      </c>
      <c r="C58" s="11" t="s">
        <v>167</v>
      </c>
      <c r="D58" s="12" t="s">
        <v>178</v>
      </c>
      <c r="E58" s="11" t="s">
        <v>179</v>
      </c>
      <c r="F58" s="13">
        <v>210</v>
      </c>
      <c r="I58" s="15"/>
    </row>
    <row r="59" spans="1:9" s="14" customFormat="1" ht="15.75">
      <c r="A59" s="10">
        <v>1062</v>
      </c>
      <c r="B59" s="10">
        <v>9990001</v>
      </c>
      <c r="C59" s="11" t="s">
        <v>167</v>
      </c>
      <c r="D59" s="12" t="s">
        <v>26</v>
      </c>
      <c r="E59" s="17" t="s">
        <v>27</v>
      </c>
      <c r="F59" s="13">
        <f>940+830</f>
        <v>1770</v>
      </c>
      <c r="I59" s="15"/>
    </row>
    <row r="60" spans="1:9" s="14" customFormat="1" ht="15.75">
      <c r="A60" s="10">
        <v>1063</v>
      </c>
      <c r="B60" s="10">
        <v>9990001</v>
      </c>
      <c r="C60" s="11" t="s">
        <v>167</v>
      </c>
      <c r="D60" s="31" t="s">
        <v>28</v>
      </c>
      <c r="E60" s="32" t="s">
        <v>29</v>
      </c>
      <c r="F60" s="13">
        <v>2500</v>
      </c>
      <c r="I60" s="15"/>
    </row>
    <row r="61" spans="1:9" s="14" customFormat="1" ht="15.75">
      <c r="A61" s="10"/>
      <c r="B61" s="10">
        <v>9990001</v>
      </c>
      <c r="C61" s="11" t="s">
        <v>167</v>
      </c>
      <c r="D61" s="12" t="s">
        <v>178</v>
      </c>
      <c r="E61" s="11" t="s">
        <v>179</v>
      </c>
      <c r="F61" s="13">
        <f>2253+115</f>
        <v>2368</v>
      </c>
      <c r="I61" s="15"/>
    </row>
    <row r="62" spans="1:9" s="14" customFormat="1" ht="15.75">
      <c r="A62" s="10">
        <v>1065</v>
      </c>
      <c r="B62" s="10">
        <v>9990001</v>
      </c>
      <c r="C62" s="11" t="s">
        <v>167</v>
      </c>
      <c r="D62" s="12" t="s">
        <v>180</v>
      </c>
      <c r="E62" s="17" t="s">
        <v>183</v>
      </c>
      <c r="F62" s="13">
        <f>80+300</f>
        <v>380</v>
      </c>
      <c r="I62" s="15"/>
    </row>
    <row r="63" spans="1:9" s="14" customFormat="1" ht="15.75">
      <c r="A63" s="10">
        <v>1067</v>
      </c>
      <c r="B63" s="10">
        <v>9990001</v>
      </c>
      <c r="C63" s="11" t="s">
        <v>167</v>
      </c>
      <c r="D63" s="12" t="s">
        <v>32</v>
      </c>
      <c r="E63" s="17" t="s">
        <v>33</v>
      </c>
      <c r="F63" s="13">
        <v>5000</v>
      </c>
      <c r="I63" s="15"/>
    </row>
    <row r="64" spans="1:9" s="14" customFormat="1" ht="15.75">
      <c r="A64" s="10">
        <v>1069</v>
      </c>
      <c r="B64" s="10">
        <v>9990001</v>
      </c>
      <c r="C64" s="11" t="s">
        <v>167</v>
      </c>
      <c r="D64" s="12" t="s">
        <v>178</v>
      </c>
      <c r="E64" s="11" t="s">
        <v>179</v>
      </c>
      <c r="F64" s="13">
        <v>3800</v>
      </c>
      <c r="I64" s="15"/>
    </row>
    <row r="65" spans="1:9" s="14" customFormat="1" ht="15.75">
      <c r="A65" s="10">
        <v>1070</v>
      </c>
      <c r="B65" s="10">
        <v>5220031</v>
      </c>
      <c r="C65" s="11" t="s">
        <v>77</v>
      </c>
      <c r="D65" s="12" t="s">
        <v>13</v>
      </c>
      <c r="E65" s="17" t="s">
        <v>14</v>
      </c>
      <c r="F65" s="13">
        <v>300000</v>
      </c>
      <c r="I65" s="15"/>
    </row>
    <row r="66" spans="1:9" s="14" customFormat="1" ht="15.75">
      <c r="A66" s="10">
        <v>1077</v>
      </c>
      <c r="B66" s="10">
        <v>9990001</v>
      </c>
      <c r="C66" s="11" t="s">
        <v>167</v>
      </c>
      <c r="D66" s="12" t="s">
        <v>26</v>
      </c>
      <c r="E66" s="17" t="s">
        <v>27</v>
      </c>
      <c r="F66" s="13">
        <v>126304</v>
      </c>
      <c r="I66" s="15"/>
    </row>
    <row r="67" spans="1:9" s="14" customFormat="1" ht="15.75">
      <c r="A67" s="10">
        <v>1079</v>
      </c>
      <c r="B67" s="10">
        <v>9990001</v>
      </c>
      <c r="C67" s="11" t="s">
        <v>167</v>
      </c>
      <c r="D67" s="12" t="s">
        <v>25</v>
      </c>
      <c r="E67" s="17" t="s">
        <v>166</v>
      </c>
      <c r="F67" s="13">
        <v>18690</v>
      </c>
      <c r="I67" s="15"/>
    </row>
    <row r="68" spans="1:9" s="14" customFormat="1" ht="15.75">
      <c r="A68" s="19">
        <v>1080</v>
      </c>
      <c r="B68" s="10">
        <v>9004001</v>
      </c>
      <c r="C68" s="2" t="s">
        <v>66</v>
      </c>
      <c r="D68" s="12" t="s">
        <v>25</v>
      </c>
      <c r="E68" s="17" t="s">
        <v>166</v>
      </c>
      <c r="F68" s="13">
        <f>14118+24515</f>
        <v>38633</v>
      </c>
      <c r="I68" s="15"/>
    </row>
    <row r="69" spans="1:9" s="14" customFormat="1" ht="15.75">
      <c r="A69" s="10">
        <v>1081</v>
      </c>
      <c r="B69" s="10">
        <v>9990001</v>
      </c>
      <c r="C69" s="11" t="s">
        <v>167</v>
      </c>
      <c r="D69" s="12" t="s">
        <v>26</v>
      </c>
      <c r="E69" s="17" t="s">
        <v>27</v>
      </c>
      <c r="F69" s="13">
        <f>3730+740</f>
        <v>4470</v>
      </c>
      <c r="I69" s="15"/>
    </row>
    <row r="70" spans="1:9" s="14" customFormat="1" ht="15.75">
      <c r="A70" s="10">
        <v>1082</v>
      </c>
      <c r="B70" s="10">
        <v>9990001</v>
      </c>
      <c r="C70" s="11" t="s">
        <v>167</v>
      </c>
      <c r="D70" s="12" t="s">
        <v>25</v>
      </c>
      <c r="E70" s="17" t="s">
        <v>166</v>
      </c>
      <c r="F70" s="13">
        <v>13774</v>
      </c>
      <c r="I70" s="15"/>
    </row>
    <row r="71" spans="1:9" s="14" customFormat="1" ht="4.5" customHeight="1" thickBot="1">
      <c r="A71" s="19"/>
      <c r="B71" s="19"/>
      <c r="C71" s="20"/>
      <c r="D71" s="21"/>
      <c r="E71" s="22"/>
      <c r="F71" s="23"/>
      <c r="I71" s="15"/>
    </row>
    <row r="72" spans="1:10" s="14" customFormat="1" ht="16.5" thickBot="1">
      <c r="A72" s="69" t="s">
        <v>141</v>
      </c>
      <c r="B72" s="70"/>
      <c r="C72" s="70"/>
      <c r="D72" s="70"/>
      <c r="E72" s="58"/>
      <c r="F72" s="59">
        <f>SUM(F48:F71)</f>
        <v>958716</v>
      </c>
      <c r="I72" s="15"/>
      <c r="J72" s="15"/>
    </row>
    <row r="73" spans="1:9" s="14" customFormat="1" ht="5.25" customHeight="1">
      <c r="A73" s="25"/>
      <c r="B73" s="25"/>
      <c r="C73" s="26"/>
      <c r="D73" s="27"/>
      <c r="E73" s="28"/>
      <c r="F73" s="29"/>
      <c r="I73" s="15"/>
    </row>
    <row r="74" spans="1:6" ht="15.75">
      <c r="A74" s="10">
        <v>1091</v>
      </c>
      <c r="B74" s="10">
        <v>9990001</v>
      </c>
      <c r="C74" s="11" t="s">
        <v>167</v>
      </c>
      <c r="D74" s="12" t="s">
        <v>7</v>
      </c>
      <c r="E74" s="17" t="s">
        <v>8</v>
      </c>
      <c r="F74" s="13">
        <f>569822+2417</f>
        <v>572239</v>
      </c>
    </row>
    <row r="75" spans="1:6" ht="15.75">
      <c r="A75" s="10">
        <v>1092</v>
      </c>
      <c r="B75" s="10">
        <v>9990001</v>
      </c>
      <c r="C75" s="11" t="s">
        <v>167</v>
      </c>
      <c r="D75" s="12" t="s">
        <v>7</v>
      </c>
      <c r="E75" s="17" t="s">
        <v>8</v>
      </c>
      <c r="F75" s="13">
        <f>629131+168</f>
        <v>629299</v>
      </c>
    </row>
    <row r="76" spans="1:6" ht="15.75">
      <c r="A76" s="10">
        <v>1093</v>
      </c>
      <c r="B76" s="10">
        <v>9990001</v>
      </c>
      <c r="C76" s="11" t="s">
        <v>167</v>
      </c>
      <c r="D76" s="12" t="s">
        <v>7</v>
      </c>
      <c r="E76" s="17" t="s">
        <v>8</v>
      </c>
      <c r="F76" s="13">
        <f>2390182+24302</f>
        <v>2414484</v>
      </c>
    </row>
    <row r="77" spans="1:6" ht="15.75">
      <c r="A77" s="10">
        <v>1094</v>
      </c>
      <c r="B77" s="10">
        <v>9990001</v>
      </c>
      <c r="C77" s="11" t="s">
        <v>167</v>
      </c>
      <c r="D77" s="12" t="s">
        <v>7</v>
      </c>
      <c r="E77" s="17" t="s">
        <v>8</v>
      </c>
      <c r="F77" s="13">
        <f>1372817+6630</f>
        <v>1379447</v>
      </c>
    </row>
    <row r="78" spans="1:6" ht="15.75">
      <c r="A78" s="10">
        <v>1095</v>
      </c>
      <c r="B78" s="10">
        <v>9990001</v>
      </c>
      <c r="C78" s="11" t="s">
        <v>167</v>
      </c>
      <c r="D78" s="12" t="s">
        <v>7</v>
      </c>
      <c r="E78" s="17" t="s">
        <v>8</v>
      </c>
      <c r="F78" s="13">
        <v>48399</v>
      </c>
    </row>
    <row r="79" spans="1:9" s="14" customFormat="1" ht="5.25" customHeight="1" thickBot="1">
      <c r="A79" s="19"/>
      <c r="B79" s="19"/>
      <c r="C79" s="20"/>
      <c r="D79" s="21"/>
      <c r="E79" s="22"/>
      <c r="F79" s="23"/>
      <c r="I79" s="15"/>
    </row>
    <row r="80" spans="1:10" s="14" customFormat="1" ht="16.5" thickBot="1">
      <c r="A80" s="69" t="s">
        <v>142</v>
      </c>
      <c r="B80" s="70"/>
      <c r="C80" s="70"/>
      <c r="D80" s="70"/>
      <c r="E80" s="70"/>
      <c r="F80" s="59">
        <f>SUM(F74:F79)</f>
        <v>5043868</v>
      </c>
      <c r="I80" s="15"/>
      <c r="J80" s="15"/>
    </row>
    <row r="81" spans="1:9" s="14" customFormat="1" ht="4.5" customHeight="1">
      <c r="A81" s="25"/>
      <c r="B81" s="25"/>
      <c r="C81" s="26"/>
      <c r="D81" s="27"/>
      <c r="E81" s="28"/>
      <c r="F81" s="29"/>
      <c r="I81" s="15"/>
    </row>
    <row r="82" spans="1:6" ht="15.75">
      <c r="A82" s="10">
        <v>1101</v>
      </c>
      <c r="B82" s="10">
        <v>9990001</v>
      </c>
      <c r="C82" s="11" t="s">
        <v>167</v>
      </c>
      <c r="D82" s="12" t="s">
        <v>9</v>
      </c>
      <c r="E82" s="17" t="s">
        <v>10</v>
      </c>
      <c r="F82" s="13">
        <f>664940+1270+148742</f>
        <v>814952</v>
      </c>
    </row>
    <row r="83" spans="1:6" ht="15.75">
      <c r="A83" s="10"/>
      <c r="B83" s="10">
        <v>6800021</v>
      </c>
      <c r="C83" s="17" t="s">
        <v>75</v>
      </c>
      <c r="D83" s="12" t="s">
        <v>3</v>
      </c>
      <c r="E83" s="17" t="s">
        <v>56</v>
      </c>
      <c r="F83" s="13">
        <f>705731+21971+2019+5000-205</f>
        <v>734516</v>
      </c>
    </row>
    <row r="84" spans="1:6" ht="15.75">
      <c r="A84" s="10"/>
      <c r="B84" s="10">
        <v>6800011</v>
      </c>
      <c r="C84" s="11" t="s">
        <v>76</v>
      </c>
      <c r="D84" s="12" t="s">
        <v>3</v>
      </c>
      <c r="E84" s="17" t="s">
        <v>56</v>
      </c>
      <c r="F84" s="13">
        <f>28698+5000+28600+200</f>
        <v>62498</v>
      </c>
    </row>
    <row r="85" spans="1:6" ht="15.75">
      <c r="A85" s="10"/>
      <c r="B85" s="10">
        <v>9990001</v>
      </c>
      <c r="C85" s="11" t="s">
        <v>167</v>
      </c>
      <c r="D85" s="12" t="s">
        <v>3</v>
      </c>
      <c r="E85" s="17" t="s">
        <v>56</v>
      </c>
      <c r="F85" s="13">
        <f>2484+11172+25400+1651+16510+180000</f>
        <v>237217</v>
      </c>
    </row>
    <row r="86" spans="1:10" ht="15.75">
      <c r="A86" s="10"/>
      <c r="B86" s="10">
        <v>5220031</v>
      </c>
      <c r="C86" s="11" t="s">
        <v>77</v>
      </c>
      <c r="D86" s="12" t="s">
        <v>13</v>
      </c>
      <c r="E86" s="17" t="s">
        <v>14</v>
      </c>
      <c r="F86" s="13">
        <f>47253+8353</f>
        <v>55606</v>
      </c>
      <c r="H86" s="62"/>
      <c r="J86" s="62"/>
    </row>
    <row r="87" spans="1:6" ht="15.75">
      <c r="A87" s="10">
        <v>1102</v>
      </c>
      <c r="B87" s="10">
        <v>6800021</v>
      </c>
      <c r="C87" s="17" t="s">
        <v>75</v>
      </c>
      <c r="D87" s="12" t="s">
        <v>3</v>
      </c>
      <c r="E87" s="17" t="s">
        <v>56</v>
      </c>
      <c r="F87" s="13">
        <f>249082+3810+87846+16508+85038</f>
        <v>442284</v>
      </c>
    </row>
    <row r="88" spans="1:10" ht="15.75">
      <c r="A88" s="10"/>
      <c r="B88" s="10">
        <v>6800011</v>
      </c>
      <c r="C88" s="11" t="s">
        <v>76</v>
      </c>
      <c r="D88" s="12" t="s">
        <v>3</v>
      </c>
      <c r="E88" s="17" t="s">
        <v>56</v>
      </c>
      <c r="F88" s="13">
        <f>209396+3135+4613+3915+1879+244+587</f>
        <v>223769</v>
      </c>
      <c r="H88" s="62"/>
      <c r="J88" s="62"/>
    </row>
    <row r="89" spans="1:6" ht="15.75">
      <c r="A89" s="10">
        <v>1103</v>
      </c>
      <c r="B89" s="10">
        <v>9990001</v>
      </c>
      <c r="C89" s="11" t="s">
        <v>167</v>
      </c>
      <c r="D89" s="12" t="s">
        <v>21</v>
      </c>
      <c r="E89" s="17" t="s">
        <v>22</v>
      </c>
      <c r="F89" s="13">
        <f>497843+260000+21503-800+500</f>
        <v>779046</v>
      </c>
    </row>
    <row r="90" spans="1:6" ht="15.75">
      <c r="A90" s="10"/>
      <c r="B90" s="10">
        <v>9990001</v>
      </c>
      <c r="C90" s="11" t="s">
        <v>167</v>
      </c>
      <c r="D90" s="12" t="s">
        <v>26</v>
      </c>
      <c r="E90" s="17" t="s">
        <v>27</v>
      </c>
      <c r="F90" s="13">
        <f>29750+1845</f>
        <v>31595</v>
      </c>
    </row>
    <row r="91" spans="1:6" ht="15.75">
      <c r="A91" s="10"/>
      <c r="B91" s="30">
        <v>9990001</v>
      </c>
      <c r="C91" s="11" t="s">
        <v>167</v>
      </c>
      <c r="D91" s="31" t="s">
        <v>28</v>
      </c>
      <c r="E91" s="32" t="s">
        <v>29</v>
      </c>
      <c r="F91" s="33">
        <v>10000</v>
      </c>
    </row>
    <row r="92" spans="1:6" ht="15.75">
      <c r="A92" s="34"/>
      <c r="B92" s="10">
        <v>9105021</v>
      </c>
      <c r="C92" s="11" t="s">
        <v>80</v>
      </c>
      <c r="D92" s="12" t="s">
        <v>25</v>
      </c>
      <c r="E92" s="17" t="s">
        <v>166</v>
      </c>
      <c r="F92" s="13">
        <v>2000</v>
      </c>
    </row>
    <row r="93" spans="1:10" ht="15.75">
      <c r="A93" s="10"/>
      <c r="B93" s="10">
        <v>6800011</v>
      </c>
      <c r="C93" s="11" t="s">
        <v>76</v>
      </c>
      <c r="D93" s="12" t="s">
        <v>3</v>
      </c>
      <c r="E93" s="17" t="s">
        <v>56</v>
      </c>
      <c r="F93" s="13">
        <f>25000+6136</f>
        <v>31136</v>
      </c>
      <c r="H93" s="62"/>
      <c r="J93" s="62"/>
    </row>
    <row r="94" spans="1:9" s="14" customFormat="1" ht="6.75" customHeight="1" thickBot="1">
      <c r="A94" s="19"/>
      <c r="B94" s="19"/>
      <c r="C94" s="20"/>
      <c r="D94" s="21"/>
      <c r="E94" s="22"/>
      <c r="F94" s="23"/>
      <c r="I94" s="15"/>
    </row>
    <row r="95" spans="1:10" s="14" customFormat="1" ht="16.5" thickBot="1">
      <c r="A95" s="69" t="s">
        <v>144</v>
      </c>
      <c r="B95" s="70"/>
      <c r="C95" s="70"/>
      <c r="D95" s="70"/>
      <c r="E95" s="70"/>
      <c r="F95" s="59">
        <f>SUM(F82:F94)</f>
        <v>3424619</v>
      </c>
      <c r="I95" s="15"/>
      <c r="J95" s="15"/>
    </row>
    <row r="96" spans="1:9" s="14" customFormat="1" ht="6" customHeight="1">
      <c r="A96" s="25"/>
      <c r="B96" s="25"/>
      <c r="C96" s="26"/>
      <c r="D96" s="27"/>
      <c r="E96" s="28"/>
      <c r="F96" s="29"/>
      <c r="I96" s="15"/>
    </row>
    <row r="97" spans="1:6" ht="15.75">
      <c r="A97" s="10">
        <v>1203</v>
      </c>
      <c r="B97" s="10">
        <v>9990001</v>
      </c>
      <c r="C97" s="11" t="s">
        <v>65</v>
      </c>
      <c r="D97" s="12" t="s">
        <v>19</v>
      </c>
      <c r="E97" s="17" t="s">
        <v>20</v>
      </c>
      <c r="F97" s="13">
        <f>18000+1250</f>
        <v>19250</v>
      </c>
    </row>
    <row r="98" spans="1:9" s="14" customFormat="1" ht="3.75" customHeight="1" thickBot="1">
      <c r="A98" s="19"/>
      <c r="B98" s="19"/>
      <c r="C98" s="20"/>
      <c r="D98" s="21"/>
      <c r="E98" s="22"/>
      <c r="F98" s="23"/>
      <c r="I98" s="15"/>
    </row>
    <row r="99" spans="1:9" s="14" customFormat="1" ht="16.5" thickBot="1">
      <c r="A99" s="69" t="s">
        <v>145</v>
      </c>
      <c r="B99" s="70"/>
      <c r="C99" s="70"/>
      <c r="D99" s="70"/>
      <c r="E99" s="70"/>
      <c r="F99" s="59">
        <f>SUM(F97:F98)</f>
        <v>19250</v>
      </c>
      <c r="I99" s="15"/>
    </row>
    <row r="100" spans="1:9" s="14" customFormat="1" ht="8.25" customHeight="1">
      <c r="A100" s="25"/>
      <c r="B100" s="25"/>
      <c r="C100" s="26"/>
      <c r="D100" s="27"/>
      <c r="E100" s="28"/>
      <c r="F100" s="29"/>
      <c r="I100" s="15"/>
    </row>
    <row r="101" spans="1:9" s="14" customFormat="1" ht="15.75">
      <c r="A101" s="10">
        <v>1301</v>
      </c>
      <c r="B101" s="10">
        <v>9990001</v>
      </c>
      <c r="C101" s="11" t="s">
        <v>167</v>
      </c>
      <c r="D101" s="12" t="s">
        <v>168</v>
      </c>
      <c r="E101" s="17"/>
      <c r="F101" s="13">
        <v>100000</v>
      </c>
      <c r="I101" s="15"/>
    </row>
    <row r="102" spans="1:9" s="14" customFormat="1" ht="15.75">
      <c r="A102" s="16">
        <v>1302</v>
      </c>
      <c r="B102" s="10">
        <v>9990001</v>
      </c>
      <c r="C102" s="11" t="s">
        <v>167</v>
      </c>
      <c r="D102" s="12" t="s">
        <v>168</v>
      </c>
      <c r="E102" s="17"/>
      <c r="F102" s="13">
        <v>10350</v>
      </c>
      <c r="I102" s="15"/>
    </row>
    <row r="103" spans="1:9" s="14" customFormat="1" ht="15.75">
      <c r="A103" s="10">
        <v>1303</v>
      </c>
      <c r="B103" s="10">
        <v>9990001</v>
      </c>
      <c r="C103" s="11" t="s">
        <v>167</v>
      </c>
      <c r="D103" s="12" t="s">
        <v>168</v>
      </c>
      <c r="E103" s="17"/>
      <c r="F103" s="13">
        <v>0</v>
      </c>
      <c r="I103" s="15"/>
    </row>
    <row r="104" spans="1:9" s="14" customFormat="1" ht="15.75">
      <c r="A104" s="16">
        <v>1304</v>
      </c>
      <c r="B104" s="10">
        <v>9990001</v>
      </c>
      <c r="C104" s="11" t="s">
        <v>167</v>
      </c>
      <c r="D104" s="12" t="s">
        <v>168</v>
      </c>
      <c r="E104" s="17"/>
      <c r="F104" s="13">
        <v>5488</v>
      </c>
      <c r="I104" s="15"/>
    </row>
    <row r="105" spans="1:9" s="14" customFormat="1" ht="15.75">
      <c r="A105" s="10">
        <v>1305</v>
      </c>
      <c r="B105" s="10">
        <v>9990001</v>
      </c>
      <c r="C105" s="11" t="s">
        <v>167</v>
      </c>
      <c r="D105" s="12" t="s">
        <v>168</v>
      </c>
      <c r="E105" s="17"/>
      <c r="F105" s="13">
        <v>5753</v>
      </c>
      <c r="I105" s="15"/>
    </row>
    <row r="106" spans="1:9" s="14" customFormat="1" ht="15.75">
      <c r="A106" s="16">
        <v>1306</v>
      </c>
      <c r="B106" s="10">
        <v>9990001</v>
      </c>
      <c r="C106" s="11" t="s">
        <v>167</v>
      </c>
      <c r="D106" s="12" t="s">
        <v>168</v>
      </c>
      <c r="E106" s="17"/>
      <c r="F106" s="13">
        <v>3397361</v>
      </c>
      <c r="I106" s="15"/>
    </row>
    <row r="107" spans="1:9" s="14" customFormat="1" ht="15.75">
      <c r="A107" s="10">
        <v>1307</v>
      </c>
      <c r="B107" s="10">
        <v>9990001</v>
      </c>
      <c r="C107" s="11" t="s">
        <v>167</v>
      </c>
      <c r="D107" s="12" t="s">
        <v>168</v>
      </c>
      <c r="E107" s="17"/>
      <c r="F107" s="13">
        <v>0</v>
      </c>
      <c r="I107" s="15"/>
    </row>
    <row r="108" spans="1:9" s="14" customFormat="1" ht="15.75">
      <c r="A108" s="16">
        <v>1308</v>
      </c>
      <c r="B108" s="10">
        <v>9990001</v>
      </c>
      <c r="C108" s="11" t="s">
        <v>167</v>
      </c>
      <c r="D108" s="12" t="s">
        <v>168</v>
      </c>
      <c r="E108" s="17"/>
      <c r="F108" s="13">
        <v>149200</v>
      </c>
      <c r="I108" s="15"/>
    </row>
    <row r="109" spans="1:9" s="14" customFormat="1" ht="15.75">
      <c r="A109" s="10">
        <v>1309</v>
      </c>
      <c r="B109" s="10">
        <v>9990001</v>
      </c>
      <c r="C109" s="11" t="s">
        <v>167</v>
      </c>
      <c r="D109" s="12" t="s">
        <v>168</v>
      </c>
      <c r="E109" s="17"/>
      <c r="F109" s="13">
        <v>0</v>
      </c>
      <c r="I109" s="15"/>
    </row>
    <row r="110" spans="1:9" s="14" customFormat="1" ht="15.75">
      <c r="A110" s="16">
        <v>1310</v>
      </c>
      <c r="B110" s="10">
        <v>9990001</v>
      </c>
      <c r="C110" s="11" t="s">
        <v>167</v>
      </c>
      <c r="D110" s="12" t="s">
        <v>168</v>
      </c>
      <c r="E110" s="17"/>
      <c r="F110" s="13">
        <v>4077</v>
      </c>
      <c r="I110" s="15"/>
    </row>
    <row r="111" spans="1:9" s="14" customFormat="1" ht="15.75">
      <c r="A111" s="10">
        <v>1311</v>
      </c>
      <c r="B111" s="10">
        <v>9990001</v>
      </c>
      <c r="C111" s="11" t="s">
        <v>167</v>
      </c>
      <c r="D111" s="12" t="s">
        <v>168</v>
      </c>
      <c r="E111" s="17"/>
      <c r="F111" s="13">
        <v>5090</v>
      </c>
      <c r="I111" s="15"/>
    </row>
    <row r="112" spans="1:9" s="14" customFormat="1" ht="15.75">
      <c r="A112" s="16">
        <v>1312</v>
      </c>
      <c r="B112" s="10">
        <v>9990001</v>
      </c>
      <c r="C112" s="11" t="s">
        <v>167</v>
      </c>
      <c r="D112" s="12" t="s">
        <v>168</v>
      </c>
      <c r="E112" s="17"/>
      <c r="F112" s="13">
        <v>2470</v>
      </c>
      <c r="I112" s="15"/>
    </row>
    <row r="113" spans="1:9" s="14" customFormat="1" ht="15.75">
      <c r="A113" s="16">
        <v>1314</v>
      </c>
      <c r="B113" s="10">
        <v>9990001</v>
      </c>
      <c r="C113" s="11" t="s">
        <v>167</v>
      </c>
      <c r="D113" s="12" t="s">
        <v>168</v>
      </c>
      <c r="E113" s="17"/>
      <c r="F113" s="13">
        <v>358376</v>
      </c>
      <c r="I113" s="15"/>
    </row>
    <row r="114" spans="1:9" s="14" customFormat="1" ht="15.75">
      <c r="A114" s="16">
        <v>1316</v>
      </c>
      <c r="B114" s="10">
        <v>9990001</v>
      </c>
      <c r="C114" s="11" t="s">
        <v>167</v>
      </c>
      <c r="D114" s="12" t="s">
        <v>168</v>
      </c>
      <c r="E114" s="17"/>
      <c r="F114" s="13">
        <v>0</v>
      </c>
      <c r="I114" s="15"/>
    </row>
    <row r="115" spans="1:9" s="14" customFormat="1" ht="15.75">
      <c r="A115" s="10">
        <v>1317</v>
      </c>
      <c r="B115" s="10">
        <v>9990001</v>
      </c>
      <c r="C115" s="11" t="s">
        <v>167</v>
      </c>
      <c r="D115" s="12" t="s">
        <v>168</v>
      </c>
      <c r="E115" s="17"/>
      <c r="F115" s="13">
        <v>50000</v>
      </c>
      <c r="I115" s="15"/>
    </row>
    <row r="116" spans="1:9" s="14" customFormat="1" ht="15.75">
      <c r="A116" s="16">
        <v>1320</v>
      </c>
      <c r="B116" s="10">
        <v>9990001</v>
      </c>
      <c r="C116" s="11" t="s">
        <v>167</v>
      </c>
      <c r="D116" s="12" t="s">
        <v>168</v>
      </c>
      <c r="E116" s="17"/>
      <c r="F116" s="13">
        <v>9344</v>
      </c>
      <c r="I116" s="15"/>
    </row>
    <row r="117" spans="1:9" s="14" customFormat="1" ht="9.75" customHeight="1" thickBot="1">
      <c r="A117" s="35"/>
      <c r="B117" s="19"/>
      <c r="C117" s="20"/>
      <c r="D117" s="21"/>
      <c r="E117" s="22"/>
      <c r="F117" s="23"/>
      <c r="I117" s="15"/>
    </row>
    <row r="118" spans="1:10" s="14" customFormat="1" ht="16.5" thickBot="1">
      <c r="A118" s="75" t="s">
        <v>146</v>
      </c>
      <c r="B118" s="76"/>
      <c r="C118" s="76"/>
      <c r="D118" s="76"/>
      <c r="E118" s="76"/>
      <c r="F118" s="59">
        <f>SUM(F101:F117)</f>
        <v>4097509</v>
      </c>
      <c r="H118" s="15"/>
      <c r="I118" s="15"/>
      <c r="J118" s="15"/>
    </row>
    <row r="119" spans="1:10" s="14" customFormat="1" ht="15.75">
      <c r="A119" s="63"/>
      <c r="B119" s="63"/>
      <c r="C119" s="63"/>
      <c r="D119" s="63"/>
      <c r="E119" s="63"/>
      <c r="F119" s="24"/>
      <c r="H119" s="15"/>
      <c r="I119" s="15"/>
      <c r="J119" s="15"/>
    </row>
    <row r="120" spans="1:10" s="14" customFormat="1" ht="15.75">
      <c r="A120" s="16">
        <v>1403</v>
      </c>
      <c r="B120" s="10">
        <v>9990001</v>
      </c>
      <c r="C120" s="11" t="s">
        <v>167</v>
      </c>
      <c r="D120" s="12" t="s">
        <v>7</v>
      </c>
      <c r="E120" s="17" t="s">
        <v>8</v>
      </c>
      <c r="F120" s="13">
        <v>5800000</v>
      </c>
      <c r="H120" s="15"/>
      <c r="I120" s="15"/>
      <c r="J120" s="15"/>
    </row>
    <row r="121" spans="1:9" s="14" customFormat="1" ht="16.5" customHeight="1" thickBot="1">
      <c r="A121" s="50"/>
      <c r="B121" s="37"/>
      <c r="D121" s="38"/>
      <c r="E121" s="18"/>
      <c r="F121" s="39"/>
      <c r="I121" s="15"/>
    </row>
    <row r="122" spans="1:10" s="14" customFormat="1" ht="16.5" thickBot="1">
      <c r="A122" s="75" t="s">
        <v>148</v>
      </c>
      <c r="B122" s="76"/>
      <c r="C122" s="76"/>
      <c r="D122" s="76"/>
      <c r="E122" s="76"/>
      <c r="F122" s="59">
        <f>+F46+F72+F80+F95+F99+F118+F120</f>
        <v>27043651</v>
      </c>
      <c r="I122" s="15"/>
      <c r="J122" s="15"/>
    </row>
    <row r="123" spans="1:9" s="14" customFormat="1" ht="8.25" customHeight="1">
      <c r="A123" s="50"/>
      <c r="B123" s="37"/>
      <c r="D123" s="38"/>
      <c r="E123" s="18"/>
      <c r="F123" s="24"/>
      <c r="I123" s="15"/>
    </row>
    <row r="124" spans="1:9" s="14" customFormat="1" ht="15.75">
      <c r="A124" s="6" t="s">
        <v>63</v>
      </c>
      <c r="B124" s="37"/>
      <c r="D124" s="38"/>
      <c r="E124" s="18"/>
      <c r="F124" s="39"/>
      <c r="I124" s="15"/>
    </row>
    <row r="125" spans="1:9" s="14" customFormat="1" ht="4.5" customHeight="1">
      <c r="A125" s="25"/>
      <c r="B125" s="25"/>
      <c r="C125" s="26"/>
      <c r="D125" s="27"/>
      <c r="E125" s="28"/>
      <c r="F125" s="29"/>
      <c r="I125" s="15"/>
    </row>
    <row r="126" spans="1:6" ht="15.75">
      <c r="A126" s="10">
        <v>1501</v>
      </c>
      <c r="B126" s="10">
        <v>8810111</v>
      </c>
      <c r="C126" s="11" t="s">
        <v>81</v>
      </c>
      <c r="D126" s="12" t="s">
        <v>6</v>
      </c>
      <c r="E126" s="17" t="s">
        <v>58</v>
      </c>
      <c r="F126" s="13">
        <v>31065</v>
      </c>
    </row>
    <row r="127" spans="1:6" ht="15.75">
      <c r="A127" s="10"/>
      <c r="B127" s="10">
        <v>8891011</v>
      </c>
      <c r="C127" s="11" t="s">
        <v>98</v>
      </c>
      <c r="D127" s="12" t="s">
        <v>6</v>
      </c>
      <c r="E127" s="17" t="s">
        <v>58</v>
      </c>
      <c r="F127" s="13">
        <v>48422</v>
      </c>
    </row>
    <row r="128" spans="1:6" ht="15.75">
      <c r="A128" s="10"/>
      <c r="B128" s="10">
        <v>8892011</v>
      </c>
      <c r="C128" s="11" t="s">
        <v>82</v>
      </c>
      <c r="D128" s="12" t="s">
        <v>6</v>
      </c>
      <c r="E128" s="17" t="s">
        <v>58</v>
      </c>
      <c r="F128" s="13">
        <v>13200</v>
      </c>
    </row>
    <row r="129" spans="1:6" ht="15.75">
      <c r="A129" s="10"/>
      <c r="B129" s="10">
        <v>8899211</v>
      </c>
      <c r="C129" s="11" t="s">
        <v>83</v>
      </c>
      <c r="D129" s="12" t="s">
        <v>6</v>
      </c>
      <c r="E129" s="17" t="s">
        <v>58</v>
      </c>
      <c r="F129" s="13">
        <v>27680</v>
      </c>
    </row>
    <row r="130" spans="1:6" ht="15.75">
      <c r="A130" s="10"/>
      <c r="B130" s="10">
        <v>8899221</v>
      </c>
      <c r="C130" s="11" t="s">
        <v>84</v>
      </c>
      <c r="D130" s="12" t="s">
        <v>6</v>
      </c>
      <c r="E130" s="17" t="s">
        <v>58</v>
      </c>
      <c r="F130" s="13">
        <v>12325</v>
      </c>
    </row>
    <row r="131" spans="1:6" ht="15.75">
      <c r="A131" s="10"/>
      <c r="B131" s="10">
        <v>9105021</v>
      </c>
      <c r="C131" s="11" t="s">
        <v>80</v>
      </c>
      <c r="D131" s="12" t="s">
        <v>6</v>
      </c>
      <c r="E131" s="17" t="s">
        <v>58</v>
      </c>
      <c r="F131" s="13">
        <v>10561</v>
      </c>
    </row>
    <row r="132" spans="1:10" ht="15.75">
      <c r="A132" s="10"/>
      <c r="B132" s="10">
        <v>9990001</v>
      </c>
      <c r="C132" s="11" t="s">
        <v>167</v>
      </c>
      <c r="D132" s="12" t="s">
        <v>6</v>
      </c>
      <c r="E132" s="17" t="s">
        <v>58</v>
      </c>
      <c r="F132" s="13">
        <f>1902013+392433+30022+18465</f>
        <v>2342933</v>
      </c>
      <c r="H132" s="62"/>
      <c r="J132" s="62"/>
    </row>
    <row r="133" spans="1:6" ht="15.75">
      <c r="A133" s="10">
        <v>1502</v>
      </c>
      <c r="B133" s="10">
        <v>9990001</v>
      </c>
      <c r="C133" s="11" t="s">
        <v>167</v>
      </c>
      <c r="D133" s="12" t="s">
        <v>0</v>
      </c>
      <c r="E133" s="17" t="s">
        <v>1</v>
      </c>
      <c r="F133" s="13">
        <v>500150</v>
      </c>
    </row>
    <row r="134" spans="1:9" ht="15.75">
      <c r="A134" s="10">
        <v>1503</v>
      </c>
      <c r="B134" s="10">
        <v>9990001</v>
      </c>
      <c r="C134" s="11" t="s">
        <v>167</v>
      </c>
      <c r="D134" s="12" t="s">
        <v>0</v>
      </c>
      <c r="E134" s="17" t="s">
        <v>1</v>
      </c>
      <c r="F134" s="13">
        <f>275100+267807</f>
        <v>542907</v>
      </c>
      <c r="H134" s="40"/>
      <c r="I134" s="5"/>
    </row>
    <row r="135" spans="1:9" ht="15.75">
      <c r="A135" s="10"/>
      <c r="B135" s="10">
        <v>9990001</v>
      </c>
      <c r="C135" s="11" t="s">
        <v>167</v>
      </c>
      <c r="D135" s="12" t="s">
        <v>184</v>
      </c>
      <c r="E135" s="17" t="s">
        <v>185</v>
      </c>
      <c r="F135" s="13">
        <f>5037848+23628+4013</f>
        <v>5065489</v>
      </c>
      <c r="H135" s="40"/>
      <c r="I135" s="5"/>
    </row>
    <row r="136" spans="1:9" ht="15.75">
      <c r="A136" s="10"/>
      <c r="B136" s="10">
        <v>6800011</v>
      </c>
      <c r="C136" s="11" t="s">
        <v>76</v>
      </c>
      <c r="D136" s="12" t="s">
        <v>3</v>
      </c>
      <c r="E136" s="17" t="s">
        <v>56</v>
      </c>
      <c r="F136" s="13">
        <f>313497+4000</f>
        <v>317497</v>
      </c>
      <c r="H136" s="40"/>
      <c r="I136" s="5"/>
    </row>
    <row r="137" spans="1:9" ht="15.75">
      <c r="A137" s="10"/>
      <c r="B137" s="10">
        <v>6800021</v>
      </c>
      <c r="C137" s="17" t="s">
        <v>75</v>
      </c>
      <c r="D137" s="12" t="s">
        <v>3</v>
      </c>
      <c r="E137" s="17" t="s">
        <v>56</v>
      </c>
      <c r="F137" s="13">
        <f>1581380+86000</f>
        <v>1667380</v>
      </c>
      <c r="H137" s="40"/>
      <c r="I137" s="5"/>
    </row>
    <row r="138" spans="1:9" s="40" customFormat="1" ht="15.75">
      <c r="A138" s="16"/>
      <c r="B138" s="16">
        <v>5220031</v>
      </c>
      <c r="C138" s="11" t="s">
        <v>77</v>
      </c>
      <c r="D138" s="12" t="s">
        <v>13</v>
      </c>
      <c r="E138" s="17" t="s">
        <v>14</v>
      </c>
      <c r="F138" s="13">
        <v>2779039</v>
      </c>
      <c r="I138" s="5"/>
    </row>
    <row r="139" spans="1:10" ht="15.75">
      <c r="A139" s="10"/>
      <c r="B139" s="10">
        <v>5629131</v>
      </c>
      <c r="C139" s="11" t="s">
        <v>34</v>
      </c>
      <c r="D139" s="12" t="s">
        <v>86</v>
      </c>
      <c r="E139" s="17" t="s">
        <v>85</v>
      </c>
      <c r="F139" s="13">
        <f>57500-1814-20000</f>
        <v>35686</v>
      </c>
      <c r="H139" s="5"/>
      <c r="I139" s="5"/>
      <c r="J139" s="62"/>
    </row>
    <row r="140" spans="1:10" ht="15.75">
      <c r="A140" s="19">
        <v>1506</v>
      </c>
      <c r="B140" s="10">
        <v>9990001</v>
      </c>
      <c r="C140" s="11" t="s">
        <v>167</v>
      </c>
      <c r="D140" s="12" t="s">
        <v>0</v>
      </c>
      <c r="E140" s="17" t="s">
        <v>1</v>
      </c>
      <c r="F140" s="13">
        <v>136811</v>
      </c>
      <c r="H140" s="5"/>
      <c r="I140" s="5"/>
      <c r="J140" s="62"/>
    </row>
    <row r="141" spans="1:10" ht="15.75">
      <c r="A141" s="19">
        <v>1507</v>
      </c>
      <c r="B141" s="10">
        <v>9990001</v>
      </c>
      <c r="C141" s="11" t="s">
        <v>167</v>
      </c>
      <c r="D141" s="12" t="s">
        <v>0</v>
      </c>
      <c r="E141" s="17" t="s">
        <v>1</v>
      </c>
      <c r="F141" s="13">
        <v>289771</v>
      </c>
      <c r="H141" s="5"/>
      <c r="I141" s="5"/>
      <c r="J141" s="62"/>
    </row>
    <row r="142" spans="1:9" s="14" customFormat="1" ht="6.75" customHeight="1" thickBot="1">
      <c r="A142" s="19"/>
      <c r="B142" s="19"/>
      <c r="C142" s="20"/>
      <c r="D142" s="21"/>
      <c r="E142" s="22"/>
      <c r="F142" s="23"/>
      <c r="H142" s="18"/>
      <c r="I142" s="39"/>
    </row>
    <row r="143" spans="1:10" s="14" customFormat="1" ht="16.5" thickBot="1">
      <c r="A143" s="69" t="s">
        <v>147</v>
      </c>
      <c r="B143" s="70"/>
      <c r="C143" s="70"/>
      <c r="D143" s="70"/>
      <c r="E143" s="70"/>
      <c r="F143" s="59">
        <f>SUM(F126:F142)</f>
        <v>13820916</v>
      </c>
      <c r="H143" s="18"/>
      <c r="I143" s="39"/>
      <c r="J143" s="15"/>
    </row>
    <row r="144" spans="1:9" s="14" customFormat="1" ht="6.75" customHeight="1">
      <c r="A144" s="25"/>
      <c r="B144" s="25"/>
      <c r="C144" s="26"/>
      <c r="D144" s="27"/>
      <c r="E144" s="28"/>
      <c r="F144" s="29"/>
      <c r="H144" s="18"/>
      <c r="I144" s="39"/>
    </row>
    <row r="145" spans="1:9" ht="15.75">
      <c r="A145" s="10">
        <v>1601</v>
      </c>
      <c r="B145" s="10">
        <v>9990001</v>
      </c>
      <c r="C145" s="11" t="s">
        <v>167</v>
      </c>
      <c r="D145" s="12" t="s">
        <v>3</v>
      </c>
      <c r="E145" s="11" t="s">
        <v>56</v>
      </c>
      <c r="F145" s="13">
        <v>1943099</v>
      </c>
      <c r="H145" s="40"/>
      <c r="I145" s="5"/>
    </row>
    <row r="146" spans="1:9" ht="15.75">
      <c r="A146" s="10">
        <v>1602</v>
      </c>
      <c r="B146" s="10">
        <v>9990001</v>
      </c>
      <c r="C146" s="11" t="s">
        <v>167</v>
      </c>
      <c r="D146" s="12" t="s">
        <v>9</v>
      </c>
      <c r="E146" s="11" t="s">
        <v>10</v>
      </c>
      <c r="F146" s="13">
        <v>80046</v>
      </c>
      <c r="H146" s="40"/>
      <c r="I146" s="5"/>
    </row>
    <row r="147" spans="1:9" ht="15.75">
      <c r="A147" s="19">
        <v>1605</v>
      </c>
      <c r="B147" s="10">
        <v>9990001</v>
      </c>
      <c r="C147" s="11" t="s">
        <v>167</v>
      </c>
      <c r="D147" s="12" t="s">
        <v>0</v>
      </c>
      <c r="E147" s="17" t="s">
        <v>1</v>
      </c>
      <c r="F147" s="13">
        <v>1662659</v>
      </c>
      <c r="H147" s="40"/>
      <c r="I147" s="5"/>
    </row>
    <row r="148" spans="1:9" s="14" customFormat="1" ht="6.75" customHeight="1" thickBot="1">
      <c r="A148" s="19"/>
      <c r="B148" s="19"/>
      <c r="C148" s="20"/>
      <c r="D148" s="21"/>
      <c r="E148" s="20"/>
      <c r="F148" s="23"/>
      <c r="H148" s="18"/>
      <c r="I148" s="39"/>
    </row>
    <row r="149" spans="1:10" s="14" customFormat="1" ht="16.5" thickBot="1">
      <c r="A149" s="67" t="s">
        <v>149</v>
      </c>
      <c r="B149" s="68"/>
      <c r="C149" s="68"/>
      <c r="D149" s="68"/>
      <c r="E149" s="68"/>
      <c r="F149" s="59">
        <f>SUM(F145:F148)</f>
        <v>3685804</v>
      </c>
      <c r="H149" s="18"/>
      <c r="I149" s="39"/>
      <c r="J149" s="15"/>
    </row>
    <row r="150" spans="1:9" s="14" customFormat="1" ht="7.5" customHeight="1">
      <c r="A150" s="25"/>
      <c r="B150" s="25"/>
      <c r="C150" s="26"/>
      <c r="D150" s="27"/>
      <c r="E150" s="26"/>
      <c r="F150" s="29"/>
      <c r="H150" s="18"/>
      <c r="I150" s="39"/>
    </row>
    <row r="151" spans="1:9" s="14" customFormat="1" ht="15" customHeight="1">
      <c r="A151" s="10">
        <v>1701</v>
      </c>
      <c r="B151" s="16">
        <v>9990001</v>
      </c>
      <c r="C151" s="11" t="s">
        <v>167</v>
      </c>
      <c r="D151" s="12" t="s">
        <v>0</v>
      </c>
      <c r="E151" s="17" t="s">
        <v>1</v>
      </c>
      <c r="F151" s="13">
        <v>360</v>
      </c>
      <c r="H151" s="18"/>
      <c r="I151" s="39"/>
    </row>
    <row r="152" spans="1:9" s="40" customFormat="1" ht="15.75">
      <c r="A152" s="16">
        <v>1702</v>
      </c>
      <c r="B152" s="16">
        <v>9990001</v>
      </c>
      <c r="C152" s="11" t="s">
        <v>167</v>
      </c>
      <c r="D152" s="12" t="s">
        <v>19</v>
      </c>
      <c r="E152" s="11" t="s">
        <v>20</v>
      </c>
      <c r="F152" s="13">
        <v>24450</v>
      </c>
      <c r="I152" s="5"/>
    </row>
    <row r="153" spans="1:9" s="40" customFormat="1" ht="6" customHeight="1" thickBot="1">
      <c r="A153" s="50"/>
      <c r="B153" s="50"/>
      <c r="C153" s="14"/>
      <c r="D153" s="38"/>
      <c r="E153" s="14"/>
      <c r="F153" s="39"/>
      <c r="I153" s="5"/>
    </row>
    <row r="154" spans="1:10" s="40" customFormat="1" ht="16.5" thickBot="1">
      <c r="A154" s="75" t="s">
        <v>150</v>
      </c>
      <c r="B154" s="76"/>
      <c r="C154" s="76"/>
      <c r="D154" s="76"/>
      <c r="E154" s="76"/>
      <c r="F154" s="59">
        <f>SUM(F151:F153)</f>
        <v>24810</v>
      </c>
      <c r="I154" s="5"/>
      <c r="J154" s="5"/>
    </row>
    <row r="155" spans="1:9" s="40" customFormat="1" ht="8.25" customHeight="1">
      <c r="A155" s="50"/>
      <c r="B155" s="50"/>
      <c r="C155" s="14"/>
      <c r="D155" s="38"/>
      <c r="E155" s="14"/>
      <c r="F155" s="39"/>
      <c r="I155" s="5"/>
    </row>
    <row r="156" spans="1:9" s="40" customFormat="1" ht="15.75">
      <c r="A156" s="16">
        <v>1802</v>
      </c>
      <c r="B156" s="10">
        <v>9990001</v>
      </c>
      <c r="C156" s="11" t="s">
        <v>167</v>
      </c>
      <c r="D156" s="12" t="s">
        <v>7</v>
      </c>
      <c r="E156" s="17" t="s">
        <v>8</v>
      </c>
      <c r="F156" s="13">
        <f>1849246+1862875+5800000</f>
        <v>9512121</v>
      </c>
      <c r="I156" s="5"/>
    </row>
    <row r="157" spans="1:9" s="40" customFormat="1" ht="16.5" thickBot="1">
      <c r="A157" s="50"/>
      <c r="B157" s="50"/>
      <c r="C157" s="14"/>
      <c r="D157" s="38"/>
      <c r="E157" s="14"/>
      <c r="F157" s="39"/>
      <c r="I157" s="5"/>
    </row>
    <row r="158" spans="1:10" s="40" customFormat="1" ht="16.5" thickBot="1">
      <c r="A158" s="64">
        <f>+F156</f>
        <v>9512121</v>
      </c>
      <c r="B158" s="65"/>
      <c r="C158" s="65"/>
      <c r="D158" s="65"/>
      <c r="E158" s="65"/>
      <c r="F158" s="66"/>
      <c r="I158" s="5"/>
      <c r="J158" s="5"/>
    </row>
    <row r="159" spans="1:9" s="40" customFormat="1" ht="16.5" thickBot="1">
      <c r="A159" s="50"/>
      <c r="B159" s="50"/>
      <c r="C159" s="14"/>
      <c r="D159" s="38"/>
      <c r="E159" s="14"/>
      <c r="F159" s="39"/>
      <c r="I159" s="5"/>
    </row>
    <row r="160" spans="1:12" s="40" customFormat="1" ht="16.5" thickBot="1">
      <c r="A160" s="77" t="s">
        <v>151</v>
      </c>
      <c r="B160" s="65"/>
      <c r="C160" s="65"/>
      <c r="D160" s="65"/>
      <c r="E160" s="65"/>
      <c r="F160" s="59">
        <f>+F143+F149+F154+F156</f>
        <v>27043651</v>
      </c>
      <c r="I160" s="5"/>
      <c r="J160" s="5"/>
      <c r="L160" s="5"/>
    </row>
    <row r="161" spans="1:9" s="40" customFormat="1" ht="6.75" customHeight="1">
      <c r="A161" s="60"/>
      <c r="B161" s="60"/>
      <c r="C161" s="60"/>
      <c r="D161" s="60"/>
      <c r="E161" s="60"/>
      <c r="F161" s="42"/>
      <c r="I161" s="5"/>
    </row>
    <row r="162" spans="1:9" s="40" customFormat="1" ht="6.75" customHeight="1">
      <c r="A162" s="41"/>
      <c r="B162" s="41"/>
      <c r="D162" s="3"/>
      <c r="E162" s="2"/>
      <c r="F162" s="42"/>
      <c r="I162" s="5"/>
    </row>
    <row r="163" spans="1:9" s="40" customFormat="1" ht="15.75">
      <c r="A163" s="71" t="s">
        <v>96</v>
      </c>
      <c r="B163" s="71"/>
      <c r="C163" s="71"/>
      <c r="D163" s="71"/>
      <c r="E163" s="71"/>
      <c r="F163" s="71"/>
      <c r="I163" s="5"/>
    </row>
    <row r="164" spans="1:9" s="40" customFormat="1" ht="6" customHeight="1">
      <c r="A164" s="41"/>
      <c r="B164" s="41"/>
      <c r="D164" s="3"/>
      <c r="E164" s="2"/>
      <c r="F164" s="5"/>
      <c r="I164" s="5"/>
    </row>
    <row r="165" spans="1:9" s="40" customFormat="1" ht="15.75">
      <c r="A165" s="74" t="s">
        <v>94</v>
      </c>
      <c r="B165" s="74"/>
      <c r="C165" s="74"/>
      <c r="D165" s="74"/>
      <c r="E165" s="2"/>
      <c r="F165" s="5"/>
      <c r="I165" s="5"/>
    </row>
    <row r="166" spans="1:9" s="40" customFormat="1" ht="15.75">
      <c r="A166" s="7" t="s">
        <v>64</v>
      </c>
      <c r="B166" s="41"/>
      <c r="D166" s="3"/>
      <c r="E166" s="2"/>
      <c r="F166" s="5"/>
      <c r="I166" s="5"/>
    </row>
    <row r="167" spans="1:9" s="40" customFormat="1" ht="15.75">
      <c r="A167" s="16">
        <v>2</v>
      </c>
      <c r="B167" s="16">
        <v>8621001</v>
      </c>
      <c r="C167" s="11" t="s">
        <v>164</v>
      </c>
      <c r="D167" s="12" t="s">
        <v>119</v>
      </c>
      <c r="E167" s="11" t="s">
        <v>120</v>
      </c>
      <c r="F167" s="13">
        <v>41877</v>
      </c>
      <c r="I167" s="5"/>
    </row>
    <row r="168" spans="1:9" s="40" customFormat="1" ht="15.75">
      <c r="A168" s="16"/>
      <c r="B168" s="16">
        <v>8621001</v>
      </c>
      <c r="C168" s="11" t="s">
        <v>164</v>
      </c>
      <c r="D168" s="12" t="s">
        <v>121</v>
      </c>
      <c r="E168" s="11" t="s">
        <v>122</v>
      </c>
      <c r="F168" s="13">
        <v>32108</v>
      </c>
      <c r="I168" s="5"/>
    </row>
    <row r="169" spans="1:9" s="40" customFormat="1" ht="15.75">
      <c r="A169" s="16"/>
      <c r="B169" s="16">
        <v>8622111</v>
      </c>
      <c r="C169" s="11" t="s">
        <v>124</v>
      </c>
      <c r="D169" s="12" t="s">
        <v>123</v>
      </c>
      <c r="E169" s="11" t="s">
        <v>124</v>
      </c>
      <c r="F169" s="13">
        <f>694966+8000+13100+114390+27839+68848+2417</f>
        <v>929560</v>
      </c>
      <c r="I169" s="5"/>
    </row>
    <row r="170" spans="1:9" s="40" customFormat="1" ht="15.75">
      <c r="A170" s="16"/>
      <c r="B170" s="16">
        <v>8622131</v>
      </c>
      <c r="C170" s="11" t="s">
        <v>126</v>
      </c>
      <c r="D170" s="12" t="s">
        <v>125</v>
      </c>
      <c r="E170" s="11" t="s">
        <v>126</v>
      </c>
      <c r="F170" s="13">
        <f>85042+1200</f>
        <v>86242</v>
      </c>
      <c r="I170" s="5"/>
    </row>
    <row r="171" spans="1:9" s="40" customFormat="1" ht="15.75">
      <c r="A171" s="16"/>
      <c r="B171" s="16">
        <v>8622201</v>
      </c>
      <c r="C171" s="11" t="s">
        <v>128</v>
      </c>
      <c r="D171" s="12" t="s">
        <v>127</v>
      </c>
      <c r="E171" s="11" t="s">
        <v>128</v>
      </c>
      <c r="F171" s="13">
        <v>71065</v>
      </c>
      <c r="I171" s="5"/>
    </row>
    <row r="172" spans="1:9" s="40" customFormat="1" ht="15.75">
      <c r="A172" s="16"/>
      <c r="B172" s="16">
        <v>8622311</v>
      </c>
      <c r="C172" s="11" t="s">
        <v>130</v>
      </c>
      <c r="D172" s="12" t="s">
        <v>129</v>
      </c>
      <c r="E172" s="11" t="s">
        <v>130</v>
      </c>
      <c r="F172" s="13">
        <v>35262</v>
      </c>
      <c r="I172" s="5"/>
    </row>
    <row r="173" spans="1:9" s="40" customFormat="1" ht="15.75">
      <c r="A173" s="16"/>
      <c r="B173" s="16">
        <v>8623031</v>
      </c>
      <c r="C173" s="11" t="s">
        <v>132</v>
      </c>
      <c r="D173" s="12" t="s">
        <v>131</v>
      </c>
      <c r="E173" s="11" t="s">
        <v>132</v>
      </c>
      <c r="F173" s="13">
        <f>53631+4000</f>
        <v>57631</v>
      </c>
      <c r="I173" s="5"/>
    </row>
    <row r="174" spans="1:9" s="40" customFormat="1" ht="15.75">
      <c r="A174" s="16"/>
      <c r="B174" s="16">
        <v>8690311</v>
      </c>
      <c r="C174" s="11" t="s">
        <v>134</v>
      </c>
      <c r="D174" s="12" t="s">
        <v>133</v>
      </c>
      <c r="E174" s="11" t="s">
        <v>134</v>
      </c>
      <c r="F174" s="13">
        <v>60978</v>
      </c>
      <c r="I174" s="5"/>
    </row>
    <row r="175" spans="1:9" s="40" customFormat="1" ht="15.75">
      <c r="A175" s="16"/>
      <c r="B175" s="16">
        <v>8690321</v>
      </c>
      <c r="C175" s="11" t="s">
        <v>136</v>
      </c>
      <c r="D175" s="12" t="s">
        <v>135</v>
      </c>
      <c r="E175" s="11" t="s">
        <v>136</v>
      </c>
      <c r="F175" s="13">
        <f>104795+16487</f>
        <v>121282</v>
      </c>
      <c r="I175" s="5"/>
    </row>
    <row r="176" spans="1:9" s="40" customFormat="1" ht="15.75">
      <c r="A176" s="16"/>
      <c r="B176" s="16">
        <v>9990001</v>
      </c>
      <c r="C176" s="11" t="s">
        <v>167</v>
      </c>
      <c r="D176" s="12" t="s">
        <v>137</v>
      </c>
      <c r="E176" s="11" t="s">
        <v>138</v>
      </c>
      <c r="F176" s="13">
        <v>61569</v>
      </c>
      <c r="I176" s="5"/>
    </row>
    <row r="177" spans="1:9" s="40" customFormat="1" ht="15.75">
      <c r="A177" s="16"/>
      <c r="B177" s="16">
        <v>9990001</v>
      </c>
      <c r="C177" s="11" t="s">
        <v>167</v>
      </c>
      <c r="D177" s="12" t="s">
        <v>139</v>
      </c>
      <c r="E177" s="11" t="s">
        <v>140</v>
      </c>
      <c r="F177" s="13">
        <v>23469</v>
      </c>
      <c r="I177" s="5"/>
    </row>
    <row r="178" spans="1:10" s="40" customFormat="1" ht="15.75">
      <c r="A178" s="41"/>
      <c r="B178" s="41"/>
      <c r="D178" s="3"/>
      <c r="E178" s="2"/>
      <c r="F178" s="42">
        <f>SUM(F167:F177)</f>
        <v>1521043</v>
      </c>
      <c r="I178" s="5"/>
      <c r="J178" s="5"/>
    </row>
    <row r="179" spans="1:9" s="40" customFormat="1" ht="6" customHeight="1">
      <c r="A179" s="41"/>
      <c r="B179" s="41"/>
      <c r="D179" s="3"/>
      <c r="E179" s="2"/>
      <c r="F179" s="5"/>
      <c r="I179" s="5"/>
    </row>
    <row r="180" spans="1:9" s="40" customFormat="1" ht="15.75">
      <c r="A180" s="43" t="s">
        <v>63</v>
      </c>
      <c r="B180" s="41"/>
      <c r="D180" s="3"/>
      <c r="E180" s="2"/>
      <c r="F180" s="5"/>
      <c r="I180" s="5"/>
    </row>
    <row r="181" spans="1:9" s="40" customFormat="1" ht="15.75">
      <c r="A181" s="16">
        <v>2</v>
      </c>
      <c r="B181" s="16">
        <v>9990001</v>
      </c>
      <c r="C181" s="11" t="s">
        <v>167</v>
      </c>
      <c r="D181" s="12" t="s">
        <v>7</v>
      </c>
      <c r="E181" s="17" t="s">
        <v>8</v>
      </c>
      <c r="F181" s="13">
        <f>536749+68848+2417</f>
        <v>608014</v>
      </c>
      <c r="I181" s="5"/>
    </row>
    <row r="182" spans="1:9" s="40" customFormat="1" ht="15.75">
      <c r="A182" s="16"/>
      <c r="B182" s="16">
        <v>8621001</v>
      </c>
      <c r="C182" s="11" t="s">
        <v>164</v>
      </c>
      <c r="D182" s="12" t="s">
        <v>119</v>
      </c>
      <c r="E182" s="11" t="s">
        <v>120</v>
      </c>
      <c r="F182" s="13">
        <v>3282</v>
      </c>
      <c r="I182" s="5"/>
    </row>
    <row r="183" spans="1:9" s="40" customFormat="1" ht="15.75">
      <c r="A183" s="16"/>
      <c r="B183" s="16">
        <v>8621001</v>
      </c>
      <c r="C183" s="11" t="s">
        <v>164</v>
      </c>
      <c r="D183" s="12" t="s">
        <v>121</v>
      </c>
      <c r="E183" s="11" t="s">
        <v>122</v>
      </c>
      <c r="F183" s="13">
        <v>21041</v>
      </c>
      <c r="I183" s="5"/>
    </row>
    <row r="184" spans="1:9" s="40" customFormat="1" ht="15.75">
      <c r="A184" s="16"/>
      <c r="B184" s="16">
        <v>8622111</v>
      </c>
      <c r="C184" s="11" t="s">
        <v>124</v>
      </c>
      <c r="D184" s="12" t="s">
        <v>123</v>
      </c>
      <c r="E184" s="11" t="s">
        <v>124</v>
      </c>
      <c r="F184" s="13">
        <f>49322+484488+15412+24839-27839</f>
        <v>546222</v>
      </c>
      <c r="I184" s="5"/>
    </row>
    <row r="185" spans="1:9" s="40" customFormat="1" ht="15.75">
      <c r="A185" s="16"/>
      <c r="B185" s="16">
        <v>8622131</v>
      </c>
      <c r="C185" s="11" t="s">
        <v>126</v>
      </c>
      <c r="D185" s="12" t="s">
        <v>125</v>
      </c>
      <c r="E185" s="11" t="s">
        <v>126</v>
      </c>
      <c r="F185" s="13">
        <f>683+3968</f>
        <v>4651</v>
      </c>
      <c r="I185" s="5"/>
    </row>
    <row r="186" spans="1:9" s="40" customFormat="1" ht="15.75">
      <c r="A186" s="16"/>
      <c r="B186" s="16">
        <v>8622201</v>
      </c>
      <c r="C186" s="11" t="s">
        <v>128</v>
      </c>
      <c r="D186" s="12" t="s">
        <v>127</v>
      </c>
      <c r="E186" s="11" t="s">
        <v>128</v>
      </c>
      <c r="F186" s="13">
        <f>1726+60887</f>
        <v>62613</v>
      </c>
      <c r="I186" s="5"/>
    </row>
    <row r="187" spans="1:9" s="40" customFormat="1" ht="15.75">
      <c r="A187" s="16"/>
      <c r="B187" s="16">
        <v>8622311</v>
      </c>
      <c r="C187" s="11" t="s">
        <v>130</v>
      </c>
      <c r="D187" s="12" t="s">
        <v>129</v>
      </c>
      <c r="E187" s="11" t="s">
        <v>130</v>
      </c>
      <c r="F187" s="13">
        <v>38000</v>
      </c>
      <c r="I187" s="5"/>
    </row>
    <row r="188" spans="1:9" s="40" customFormat="1" ht="15.75">
      <c r="A188" s="16"/>
      <c r="B188" s="16">
        <v>8623031</v>
      </c>
      <c r="C188" s="11" t="s">
        <v>132</v>
      </c>
      <c r="D188" s="12" t="s">
        <v>131</v>
      </c>
      <c r="E188" s="11" t="s">
        <v>132</v>
      </c>
      <c r="F188" s="13">
        <f>600+22327</f>
        <v>22927</v>
      </c>
      <c r="I188" s="5"/>
    </row>
    <row r="189" spans="1:9" s="40" customFormat="1" ht="15.75">
      <c r="A189" s="16"/>
      <c r="B189" s="16">
        <v>8690311</v>
      </c>
      <c r="C189" s="11" t="s">
        <v>134</v>
      </c>
      <c r="D189" s="12" t="s">
        <v>133</v>
      </c>
      <c r="E189" s="11" t="s">
        <v>134</v>
      </c>
      <c r="F189" s="13">
        <f>8731+59447</f>
        <v>68178</v>
      </c>
      <c r="I189" s="5"/>
    </row>
    <row r="190" spans="1:9" s="40" customFormat="1" ht="15.75">
      <c r="A190" s="16"/>
      <c r="B190" s="16">
        <v>8690321</v>
      </c>
      <c r="C190" s="11" t="s">
        <v>136</v>
      </c>
      <c r="D190" s="12" t="s">
        <v>135</v>
      </c>
      <c r="E190" s="11" t="s">
        <v>136</v>
      </c>
      <c r="F190" s="13">
        <f>8096+81289</f>
        <v>89385</v>
      </c>
      <c r="I190" s="5"/>
    </row>
    <row r="191" spans="1:9" s="40" customFormat="1" ht="15.75">
      <c r="A191" s="16"/>
      <c r="B191" s="16">
        <v>9990001</v>
      </c>
      <c r="C191" s="11" t="s">
        <v>167</v>
      </c>
      <c r="D191" s="12" t="s">
        <v>137</v>
      </c>
      <c r="E191" s="11" t="s">
        <v>138</v>
      </c>
      <c r="F191" s="13">
        <v>40975</v>
      </c>
      <c r="I191" s="5"/>
    </row>
    <row r="192" spans="1:9" s="40" customFormat="1" ht="15.75">
      <c r="A192" s="16"/>
      <c r="B192" s="16">
        <v>9990001</v>
      </c>
      <c r="C192" s="11" t="s">
        <v>167</v>
      </c>
      <c r="D192" s="12" t="s">
        <v>139</v>
      </c>
      <c r="E192" s="11" t="s">
        <v>140</v>
      </c>
      <c r="F192" s="13">
        <v>15755</v>
      </c>
      <c r="I192" s="5"/>
    </row>
    <row r="193" spans="1:10" s="40" customFormat="1" ht="15.75">
      <c r="A193" s="41"/>
      <c r="B193" s="41"/>
      <c r="D193" s="3"/>
      <c r="E193" s="2"/>
      <c r="F193" s="42">
        <f>SUM(F181:F192)</f>
        <v>1521043</v>
      </c>
      <c r="I193" s="5"/>
      <c r="J193" s="5"/>
    </row>
    <row r="194" spans="1:10" s="40" customFormat="1" ht="15.75">
      <c r="A194" s="41"/>
      <c r="B194" s="41"/>
      <c r="D194" s="3"/>
      <c r="E194" s="2"/>
      <c r="F194" s="42"/>
      <c r="I194" s="5"/>
      <c r="J194" s="5"/>
    </row>
    <row r="195" spans="1:9" s="40" customFormat="1" ht="14.25" customHeight="1">
      <c r="A195" s="41"/>
      <c r="B195" s="41"/>
      <c r="D195" s="3"/>
      <c r="E195" s="2"/>
      <c r="F195" s="5"/>
      <c r="I195" s="5"/>
    </row>
    <row r="196" spans="1:9" s="40" customFormat="1" ht="15.75">
      <c r="A196" s="74" t="s">
        <v>93</v>
      </c>
      <c r="B196" s="74"/>
      <c r="C196" s="74"/>
      <c r="D196" s="74"/>
      <c r="E196" s="2"/>
      <c r="F196" s="5"/>
      <c r="I196" s="5"/>
    </row>
    <row r="197" spans="1:9" s="40" customFormat="1" ht="15.75">
      <c r="A197" s="7" t="s">
        <v>64</v>
      </c>
      <c r="B197" s="41"/>
      <c r="D197" s="3"/>
      <c r="E197" s="2"/>
      <c r="F197" s="5"/>
      <c r="I197" s="5"/>
    </row>
    <row r="198" spans="1:9" s="40" customFormat="1" ht="15.75">
      <c r="A198" s="16">
        <v>3</v>
      </c>
      <c r="B198" s="16">
        <v>9990001</v>
      </c>
      <c r="C198" s="11" t="s">
        <v>167</v>
      </c>
      <c r="D198" s="44" t="s">
        <v>95</v>
      </c>
      <c r="E198" s="11" t="s">
        <v>118</v>
      </c>
      <c r="F198" s="45">
        <f>429771+14210+50596+31912+168</f>
        <v>526657</v>
      </c>
      <c r="I198" s="5"/>
    </row>
    <row r="199" spans="1:9" s="40" customFormat="1" ht="15.75">
      <c r="A199" s="16"/>
      <c r="B199" s="16">
        <v>5220031</v>
      </c>
      <c r="C199" s="11" t="s">
        <v>14</v>
      </c>
      <c r="D199" s="44" t="s">
        <v>13</v>
      </c>
      <c r="E199" s="11" t="s">
        <v>14</v>
      </c>
      <c r="F199" s="45">
        <f>628779+20790</f>
        <v>649569</v>
      </c>
      <c r="I199" s="5"/>
    </row>
    <row r="200" spans="1:10" s="40" customFormat="1" ht="15.75">
      <c r="A200" s="41"/>
      <c r="B200" s="50"/>
      <c r="C200" s="14"/>
      <c r="D200" s="46"/>
      <c r="E200" s="14"/>
      <c r="F200" s="47">
        <f>SUM(F198:F199)</f>
        <v>1176226</v>
      </c>
      <c r="I200" s="5"/>
      <c r="J200" s="5"/>
    </row>
    <row r="201" spans="1:9" s="40" customFormat="1" ht="15.75">
      <c r="A201" s="41"/>
      <c r="B201" s="50"/>
      <c r="C201" s="14"/>
      <c r="D201" s="46"/>
      <c r="E201" s="14"/>
      <c r="F201" s="15"/>
      <c r="I201" s="5"/>
    </row>
    <row r="202" spans="1:9" s="40" customFormat="1" ht="15.75">
      <c r="A202" s="43" t="s">
        <v>63</v>
      </c>
      <c r="B202" s="41"/>
      <c r="D202" s="3"/>
      <c r="E202" s="2"/>
      <c r="F202" s="5"/>
      <c r="I202" s="5"/>
    </row>
    <row r="203" spans="1:9" s="40" customFormat="1" ht="15.75">
      <c r="A203" s="16">
        <v>3</v>
      </c>
      <c r="B203" s="16">
        <v>9990001</v>
      </c>
      <c r="C203" s="11" t="s">
        <v>167</v>
      </c>
      <c r="D203" s="44" t="s">
        <v>95</v>
      </c>
      <c r="E203" s="11" t="s">
        <v>118</v>
      </c>
      <c r="F203" s="48">
        <f>178640+75596-30596</f>
        <v>223640</v>
      </c>
      <c r="I203" s="5"/>
    </row>
    <row r="204" spans="1:9" s="40" customFormat="1" ht="15.75">
      <c r="A204" s="16"/>
      <c r="B204" s="16">
        <v>5220031</v>
      </c>
      <c r="C204" s="11" t="s">
        <v>14</v>
      </c>
      <c r="D204" s="44" t="s">
        <v>13</v>
      </c>
      <c r="E204" s="11" t="s">
        <v>14</v>
      </c>
      <c r="F204" s="48">
        <v>261360</v>
      </c>
      <c r="I204" s="5"/>
    </row>
    <row r="205" spans="1:9" s="40" customFormat="1" ht="15.75">
      <c r="A205" s="16"/>
      <c r="B205" s="16">
        <v>9990001</v>
      </c>
      <c r="C205" s="45" t="s">
        <v>167</v>
      </c>
      <c r="D205" s="44" t="s">
        <v>7</v>
      </c>
      <c r="E205" s="11" t="s">
        <v>8</v>
      </c>
      <c r="F205" s="45">
        <f>659146+31912+168</f>
        <v>691226</v>
      </c>
      <c r="I205" s="5"/>
    </row>
    <row r="206" spans="1:10" s="40" customFormat="1" ht="15.75">
      <c r="A206" s="41"/>
      <c r="B206" s="41"/>
      <c r="D206" s="3"/>
      <c r="E206" s="2"/>
      <c r="F206" s="42">
        <f>SUM(F203:F205)</f>
        <v>1176226</v>
      </c>
      <c r="I206" s="5"/>
      <c r="J206" s="5"/>
    </row>
    <row r="207" spans="1:9" s="40" customFormat="1" ht="8.25" customHeight="1">
      <c r="A207" s="41"/>
      <c r="B207" s="41"/>
      <c r="D207" s="3"/>
      <c r="F207" s="5"/>
      <c r="I207" s="5"/>
    </row>
    <row r="208" spans="1:4" ht="15.75">
      <c r="A208" s="73" t="s">
        <v>92</v>
      </c>
      <c r="B208" s="73"/>
      <c r="C208" s="73"/>
      <c r="D208" s="73"/>
    </row>
    <row r="209" ht="6" customHeight="1"/>
    <row r="210" spans="1:4" ht="15.75">
      <c r="A210" s="7" t="s">
        <v>64</v>
      </c>
      <c r="D210" s="49"/>
    </row>
    <row r="211" spans="1:7" ht="15.75">
      <c r="A211" s="10">
        <v>4001</v>
      </c>
      <c r="B211" s="10">
        <v>8110001</v>
      </c>
      <c r="C211" s="11" t="s">
        <v>61</v>
      </c>
      <c r="D211" s="12" t="s">
        <v>0</v>
      </c>
      <c r="E211" s="17" t="s">
        <v>1</v>
      </c>
      <c r="F211" s="13">
        <v>13000</v>
      </c>
      <c r="G211" s="18"/>
    </row>
    <row r="212" spans="1:7" ht="15.75">
      <c r="A212" s="10"/>
      <c r="B212" s="10">
        <v>9990001</v>
      </c>
      <c r="C212" s="11" t="s">
        <v>167</v>
      </c>
      <c r="D212" s="12" t="s">
        <v>0</v>
      </c>
      <c r="E212" s="17" t="s">
        <v>1</v>
      </c>
      <c r="F212" s="13">
        <f>2465632-2000-13000-235999-2550+50820+126830+24302</f>
        <v>2414035</v>
      </c>
      <c r="G212" s="18"/>
    </row>
    <row r="213" spans="1:7" ht="15.75">
      <c r="A213" s="10"/>
      <c r="B213" s="10">
        <v>5220031</v>
      </c>
      <c r="C213" s="11" t="s">
        <v>77</v>
      </c>
      <c r="D213" s="12" t="s">
        <v>13</v>
      </c>
      <c r="E213" s="17" t="s">
        <v>14</v>
      </c>
      <c r="F213" s="13">
        <v>2000</v>
      </c>
      <c r="G213" s="18"/>
    </row>
    <row r="214" spans="1:7" ht="15.75">
      <c r="A214" s="10"/>
      <c r="B214" s="10">
        <v>9004001</v>
      </c>
      <c r="C214" s="11" t="s">
        <v>66</v>
      </c>
      <c r="D214" s="12" t="s">
        <v>4</v>
      </c>
      <c r="E214" s="17" t="s">
        <v>5</v>
      </c>
      <c r="F214" s="13">
        <v>2000</v>
      </c>
      <c r="G214" s="18"/>
    </row>
    <row r="215" spans="1:7" ht="15.75">
      <c r="A215" s="10">
        <v>4002</v>
      </c>
      <c r="B215" s="10">
        <v>9990001</v>
      </c>
      <c r="C215" s="11" t="s">
        <v>167</v>
      </c>
      <c r="D215" s="12" t="s">
        <v>0</v>
      </c>
      <c r="E215" s="17" t="s">
        <v>1</v>
      </c>
      <c r="F215" s="13">
        <v>202387</v>
      </c>
      <c r="G215" s="18"/>
    </row>
    <row r="216" spans="1:9" s="40" customFormat="1" ht="15.75">
      <c r="A216" s="16">
        <v>4003</v>
      </c>
      <c r="B216" s="10">
        <v>9990001</v>
      </c>
      <c r="C216" s="11" t="s">
        <v>167</v>
      </c>
      <c r="D216" s="12" t="s">
        <v>0</v>
      </c>
      <c r="E216" s="17" t="s">
        <v>1</v>
      </c>
      <c r="F216" s="13">
        <v>2550</v>
      </c>
      <c r="G216" s="18"/>
      <c r="I216" s="5"/>
    </row>
    <row r="217" spans="1:10" s="40" customFormat="1" ht="15.75">
      <c r="A217" s="50"/>
      <c r="B217" s="37"/>
      <c r="C217" s="14"/>
      <c r="D217" s="38"/>
      <c r="E217" s="18"/>
      <c r="F217" s="24">
        <f>SUM(F211:F216)</f>
        <v>2635972</v>
      </c>
      <c r="G217" s="18"/>
      <c r="I217" s="5"/>
      <c r="J217" s="5"/>
    </row>
    <row r="218" spans="1:9" s="40" customFormat="1" ht="8.25" customHeight="1">
      <c r="A218" s="50"/>
      <c r="B218" s="37"/>
      <c r="C218" s="14"/>
      <c r="D218" s="38"/>
      <c r="E218" s="18"/>
      <c r="G218" s="18"/>
      <c r="I218" s="5"/>
    </row>
    <row r="219" spans="1:9" s="40" customFormat="1" ht="8.25" customHeight="1">
      <c r="A219" s="41"/>
      <c r="B219" s="41"/>
      <c r="D219" s="38"/>
      <c r="E219" s="18"/>
      <c r="F219" s="5"/>
      <c r="G219" s="18"/>
      <c r="I219" s="5"/>
    </row>
    <row r="220" spans="1:9" s="40" customFormat="1" ht="15.75">
      <c r="A220" s="43" t="s">
        <v>63</v>
      </c>
      <c r="B220" s="41"/>
      <c r="D220" s="38"/>
      <c r="E220" s="18"/>
      <c r="F220" s="5"/>
      <c r="G220" s="18"/>
      <c r="I220" s="5"/>
    </row>
    <row r="221" spans="1:7" ht="15.75">
      <c r="A221" s="10">
        <v>4001</v>
      </c>
      <c r="B221" s="10">
        <v>9990001</v>
      </c>
      <c r="C221" s="11" t="s">
        <v>167</v>
      </c>
      <c r="D221" s="12" t="s">
        <v>7</v>
      </c>
      <c r="E221" s="17" t="s">
        <v>8</v>
      </c>
      <c r="F221" s="13">
        <f>2210765+108818+24302</f>
        <v>2343885</v>
      </c>
      <c r="G221" s="18"/>
    </row>
    <row r="222" spans="1:7" ht="15.75">
      <c r="A222" s="10"/>
      <c r="B222" s="10">
        <v>9990001</v>
      </c>
      <c r="C222" s="11" t="s">
        <v>167</v>
      </c>
      <c r="D222" s="12" t="s">
        <v>0</v>
      </c>
      <c r="E222" s="17" t="s">
        <v>1</v>
      </c>
      <c r="F222" s="13">
        <f>58620+54048-45532+2+20012</f>
        <v>87150</v>
      </c>
      <c r="G222" s="18"/>
    </row>
    <row r="223" spans="1:7" ht="15.75">
      <c r="A223" s="10">
        <v>4002</v>
      </c>
      <c r="B223" s="10">
        <v>9990001</v>
      </c>
      <c r="C223" s="11" t="s">
        <v>167</v>
      </c>
      <c r="D223" s="12" t="s">
        <v>7</v>
      </c>
      <c r="E223" s="17" t="s">
        <v>8</v>
      </c>
      <c r="F223" s="13">
        <v>202387</v>
      </c>
      <c r="G223" s="18"/>
    </row>
    <row r="224" spans="1:7" ht="15.75">
      <c r="A224" s="10">
        <v>4003</v>
      </c>
      <c r="B224" s="10">
        <v>9990001</v>
      </c>
      <c r="C224" s="11" t="s">
        <v>167</v>
      </c>
      <c r="D224" s="12" t="s">
        <v>7</v>
      </c>
      <c r="E224" s="17" t="s">
        <v>8</v>
      </c>
      <c r="F224" s="13">
        <v>2550</v>
      </c>
      <c r="G224" s="18"/>
    </row>
    <row r="225" spans="4:10" ht="15.75">
      <c r="D225" s="38"/>
      <c r="E225" s="18"/>
      <c r="F225" s="51">
        <f>SUM(F221:F224)</f>
        <v>2635972</v>
      </c>
      <c r="G225" s="40"/>
      <c r="J225" s="62"/>
    </row>
    <row r="226" spans="4:6" ht="8.25" customHeight="1" thickBot="1">
      <c r="D226" s="38"/>
      <c r="E226" s="18"/>
      <c r="F226" s="51"/>
    </row>
    <row r="227" spans="1:10" ht="16.5" thickBot="1">
      <c r="A227" s="67" t="s">
        <v>152</v>
      </c>
      <c r="B227" s="68"/>
      <c r="C227" s="68"/>
      <c r="D227" s="68"/>
      <c r="E227" s="68"/>
      <c r="F227" s="59">
        <f>+F178+F200+F217</f>
        <v>5333241</v>
      </c>
      <c r="J227" s="62"/>
    </row>
    <row r="228" spans="1:10" ht="16.5" thickBot="1">
      <c r="A228" s="67" t="s">
        <v>153</v>
      </c>
      <c r="B228" s="68"/>
      <c r="C228" s="68"/>
      <c r="D228" s="68"/>
      <c r="E228" s="68"/>
      <c r="F228" s="59">
        <f>+F193+F206+F225</f>
        <v>5333241</v>
      </c>
      <c r="J228" s="62"/>
    </row>
    <row r="229" ht="6.75" customHeight="1">
      <c r="D229" s="49"/>
    </row>
    <row r="230" spans="1:6" ht="15.75">
      <c r="A230" s="71" t="s">
        <v>97</v>
      </c>
      <c r="B230" s="71"/>
      <c r="C230" s="71"/>
      <c r="D230" s="71"/>
      <c r="E230" s="71"/>
      <c r="F230" s="71"/>
    </row>
    <row r="231" spans="1:6" ht="8.25" customHeight="1">
      <c r="A231" s="52"/>
      <c r="B231" s="52"/>
      <c r="C231" s="52"/>
      <c r="D231" s="52"/>
      <c r="E231" s="52"/>
      <c r="F231" s="52"/>
    </row>
    <row r="232" spans="1:4" ht="15.75">
      <c r="A232" s="7" t="s">
        <v>64</v>
      </c>
      <c r="D232" s="49"/>
    </row>
    <row r="233" spans="1:7" ht="15.75">
      <c r="A233" s="10">
        <v>5001</v>
      </c>
      <c r="B233" s="10">
        <v>8891011</v>
      </c>
      <c r="C233" s="11" t="s">
        <v>98</v>
      </c>
      <c r="D233" s="12" t="s">
        <v>41</v>
      </c>
      <c r="E233" s="11" t="s">
        <v>42</v>
      </c>
      <c r="F233" s="45">
        <f>164732+2828</f>
        <v>167560</v>
      </c>
      <c r="G233" s="14"/>
    </row>
    <row r="234" spans="1:7" ht="15.75">
      <c r="A234" s="10"/>
      <c r="B234" s="10">
        <v>8891011</v>
      </c>
      <c r="C234" s="11" t="s">
        <v>98</v>
      </c>
      <c r="D234" s="12" t="s">
        <v>169</v>
      </c>
      <c r="E234" s="11" t="s">
        <v>170</v>
      </c>
      <c r="F234" s="45">
        <v>15639</v>
      </c>
      <c r="G234" s="14"/>
    </row>
    <row r="235" spans="1:7" ht="15.75">
      <c r="A235" s="10"/>
      <c r="B235" s="10">
        <v>8891031</v>
      </c>
      <c r="C235" s="11" t="s">
        <v>117</v>
      </c>
      <c r="D235" s="12" t="s">
        <v>99</v>
      </c>
      <c r="E235" s="11" t="s">
        <v>116</v>
      </c>
      <c r="F235" s="45">
        <v>11000</v>
      </c>
      <c r="G235" s="14"/>
    </row>
    <row r="236" spans="1:10" ht="15.75">
      <c r="A236" s="19"/>
      <c r="B236" s="19"/>
      <c r="C236" s="20"/>
      <c r="D236" s="21"/>
      <c r="E236" s="20"/>
      <c r="F236" s="53">
        <f>SUM(F233:F235)</f>
        <v>194199</v>
      </c>
      <c r="G236" s="14"/>
      <c r="J236" s="62"/>
    </row>
    <row r="237" spans="1:7" ht="15.75">
      <c r="A237" s="54" t="s">
        <v>63</v>
      </c>
      <c r="B237" s="37"/>
      <c r="C237" s="14"/>
      <c r="D237" s="38"/>
      <c r="E237" s="14"/>
      <c r="F237" s="15"/>
      <c r="G237" s="14"/>
    </row>
    <row r="238" spans="1:7" ht="15.75">
      <c r="A238" s="10">
        <v>5001</v>
      </c>
      <c r="B238" s="10">
        <v>9990001</v>
      </c>
      <c r="C238" s="11" t="s">
        <v>167</v>
      </c>
      <c r="D238" s="12" t="s">
        <v>7</v>
      </c>
      <c r="E238" s="17" t="s">
        <v>8</v>
      </c>
      <c r="F238" s="45">
        <f>171532+12260+2828</f>
        <v>186620</v>
      </c>
      <c r="G238" s="14"/>
    </row>
    <row r="239" spans="1:7" ht="15.75">
      <c r="A239" s="55"/>
      <c r="B239" s="10">
        <v>8891031</v>
      </c>
      <c r="C239" s="11" t="s">
        <v>117</v>
      </c>
      <c r="D239" s="12" t="s">
        <v>99</v>
      </c>
      <c r="E239" s="11" t="s">
        <v>116</v>
      </c>
      <c r="F239" s="45">
        <f>4200+3379</f>
        <v>7579</v>
      </c>
      <c r="G239" s="14"/>
    </row>
    <row r="240" spans="1:10" ht="15.75">
      <c r="A240" s="54"/>
      <c r="B240" s="37"/>
      <c r="C240" s="14"/>
      <c r="D240" s="38"/>
      <c r="E240" s="14"/>
      <c r="F240" s="47">
        <f>SUM(F238:F239)</f>
        <v>194199</v>
      </c>
      <c r="G240" s="14"/>
      <c r="J240" s="62"/>
    </row>
    <row r="241" spans="1:7" ht="7.5" customHeight="1">
      <c r="A241" s="54"/>
      <c r="B241" s="37"/>
      <c r="C241" s="14"/>
      <c r="D241" s="38"/>
      <c r="E241" s="14"/>
      <c r="F241" s="15"/>
      <c r="G241" s="14"/>
    </row>
    <row r="242" spans="1:7" ht="15.75">
      <c r="A242" s="7" t="s">
        <v>64</v>
      </c>
      <c r="B242" s="25"/>
      <c r="C242" s="26"/>
      <c r="D242" s="27"/>
      <c r="E242" s="26"/>
      <c r="F242" s="56"/>
      <c r="G242" s="14"/>
    </row>
    <row r="243" spans="1:7" ht="15.75">
      <c r="A243" s="10">
        <v>5002</v>
      </c>
      <c r="B243" s="16">
        <v>8810111</v>
      </c>
      <c r="C243" s="17" t="s">
        <v>105</v>
      </c>
      <c r="D243" s="61">
        <v>102031</v>
      </c>
      <c r="E243" s="14" t="s">
        <v>165</v>
      </c>
      <c r="F243" s="45">
        <f>192435+2921</f>
        <v>195356</v>
      </c>
      <c r="G243" s="14"/>
    </row>
    <row r="244" spans="1:7" ht="15.75">
      <c r="A244" s="10"/>
      <c r="B244" s="16">
        <v>8899221</v>
      </c>
      <c r="C244" s="17" t="s">
        <v>84</v>
      </c>
      <c r="D244" s="12" t="s">
        <v>106</v>
      </c>
      <c r="E244" s="11" t="s">
        <v>84</v>
      </c>
      <c r="F244" s="45">
        <v>103010</v>
      </c>
      <c r="G244" s="14"/>
    </row>
    <row r="245" spans="1:7" ht="15.75">
      <c r="A245" s="10"/>
      <c r="B245" s="16">
        <v>8730121</v>
      </c>
      <c r="C245" s="17" t="s">
        <v>107</v>
      </c>
      <c r="D245" s="61">
        <v>102025</v>
      </c>
      <c r="E245" s="14" t="s">
        <v>107</v>
      </c>
      <c r="F245" s="45">
        <v>47825</v>
      </c>
      <c r="G245" s="14"/>
    </row>
    <row r="246" spans="1:7" ht="15.75">
      <c r="A246" s="10"/>
      <c r="B246" s="16">
        <v>8899241</v>
      </c>
      <c r="C246" s="17" t="s">
        <v>53</v>
      </c>
      <c r="D246" s="12" t="s">
        <v>174</v>
      </c>
      <c r="E246" s="11" t="s">
        <v>176</v>
      </c>
      <c r="F246" s="45">
        <v>209184</v>
      </c>
      <c r="G246" s="14"/>
    </row>
    <row r="247" spans="1:7" ht="15.75">
      <c r="A247" s="10"/>
      <c r="B247" s="16">
        <v>8899241</v>
      </c>
      <c r="C247" s="17" t="s">
        <v>53</v>
      </c>
      <c r="D247" s="12" t="s">
        <v>175</v>
      </c>
      <c r="E247" s="11" t="s">
        <v>177</v>
      </c>
      <c r="F247" s="45">
        <f>229184-209184</f>
        <v>20000</v>
      </c>
      <c r="G247" s="14"/>
    </row>
    <row r="248" spans="1:7" ht="15.75">
      <c r="A248" s="10"/>
      <c r="B248" s="16">
        <v>8899261</v>
      </c>
      <c r="C248" s="17" t="s">
        <v>108</v>
      </c>
      <c r="D248" s="12" t="s">
        <v>109</v>
      </c>
      <c r="E248" s="11" t="s">
        <v>110</v>
      </c>
      <c r="F248" s="45">
        <v>13244</v>
      </c>
      <c r="G248" s="14"/>
    </row>
    <row r="249" spans="1:7" ht="15.75">
      <c r="A249" s="16"/>
      <c r="B249" s="16">
        <v>8899231</v>
      </c>
      <c r="C249" s="17" t="s">
        <v>111</v>
      </c>
      <c r="D249" s="12" t="s">
        <v>112</v>
      </c>
      <c r="E249" s="17" t="s">
        <v>111</v>
      </c>
      <c r="F249" s="13">
        <v>5151</v>
      </c>
      <c r="G249" s="18"/>
    </row>
    <row r="250" spans="1:7" ht="15.75">
      <c r="A250" s="10"/>
      <c r="B250" s="16">
        <v>8899211</v>
      </c>
      <c r="C250" s="17" t="s">
        <v>83</v>
      </c>
      <c r="D250" s="12" t="s">
        <v>113</v>
      </c>
      <c r="E250" s="11" t="s">
        <v>83</v>
      </c>
      <c r="F250" s="45">
        <v>136721</v>
      </c>
      <c r="G250" s="14"/>
    </row>
    <row r="251" spans="1:7" ht="15.75">
      <c r="A251" s="10"/>
      <c r="B251" s="16">
        <v>8210001</v>
      </c>
      <c r="C251" s="17" t="s">
        <v>171</v>
      </c>
      <c r="D251" s="12" t="s">
        <v>172</v>
      </c>
      <c r="E251" s="11" t="s">
        <v>173</v>
      </c>
      <c r="F251" s="45">
        <v>16280</v>
      </c>
      <c r="G251" s="14"/>
    </row>
    <row r="252" spans="1:7" ht="15.75">
      <c r="A252" s="16"/>
      <c r="B252" s="16">
        <v>9990001</v>
      </c>
      <c r="C252" s="17" t="s">
        <v>167</v>
      </c>
      <c r="D252" s="12" t="s">
        <v>114</v>
      </c>
      <c r="E252" s="17" t="s">
        <v>115</v>
      </c>
      <c r="F252" s="13">
        <v>8210</v>
      </c>
      <c r="G252" s="18"/>
    </row>
    <row r="253" spans="1:10" ht="15.75">
      <c r="A253" s="35"/>
      <c r="B253" s="35"/>
      <c r="C253" s="22"/>
      <c r="D253" s="21"/>
      <c r="E253" s="22"/>
      <c r="F253" s="36">
        <f>SUM(F243:F252)</f>
        <v>754981</v>
      </c>
      <c r="G253" s="18"/>
      <c r="J253" s="62"/>
    </row>
    <row r="254" spans="1:7" ht="15.75">
      <c r="A254" s="54" t="s">
        <v>63</v>
      </c>
      <c r="B254" s="50"/>
      <c r="C254" s="18"/>
      <c r="D254" s="38"/>
      <c r="E254" s="14"/>
      <c r="F254" s="15"/>
      <c r="G254" s="18"/>
    </row>
    <row r="255" spans="1:7" ht="15.75">
      <c r="A255" s="10">
        <v>5002</v>
      </c>
      <c r="B255" s="16">
        <v>9990001</v>
      </c>
      <c r="C255" s="17" t="s">
        <v>167</v>
      </c>
      <c r="D255" s="12" t="s">
        <v>7</v>
      </c>
      <c r="E255" s="17" t="s">
        <v>8</v>
      </c>
      <c r="F255" s="45">
        <f>672410+4122+2921</f>
        <v>679453</v>
      </c>
      <c r="G255" s="18"/>
    </row>
    <row r="256" spans="1:7" ht="15.75">
      <c r="A256" s="55"/>
      <c r="B256" s="16">
        <v>8730121</v>
      </c>
      <c r="C256" s="17" t="s">
        <v>107</v>
      </c>
      <c r="D256" s="61">
        <v>102025</v>
      </c>
      <c r="E256" s="14" t="s">
        <v>107</v>
      </c>
      <c r="F256" s="45">
        <f>10569+11641</f>
        <v>22210</v>
      </c>
      <c r="G256" s="18"/>
    </row>
    <row r="257" spans="1:7" ht="15.75">
      <c r="A257" s="55"/>
      <c r="B257" s="16">
        <v>8899221</v>
      </c>
      <c r="C257" s="11" t="s">
        <v>84</v>
      </c>
      <c r="D257" s="12" t="s">
        <v>106</v>
      </c>
      <c r="E257" s="11" t="s">
        <v>84</v>
      </c>
      <c r="F257" s="45">
        <f>14865</f>
        <v>14865</v>
      </c>
      <c r="G257" s="18"/>
    </row>
    <row r="258" spans="1:7" ht="15.75">
      <c r="A258" s="55"/>
      <c r="B258" s="16">
        <v>8899211</v>
      </c>
      <c r="C258" s="11" t="s">
        <v>83</v>
      </c>
      <c r="D258" s="12" t="s">
        <v>113</v>
      </c>
      <c r="E258" s="11" t="s">
        <v>83</v>
      </c>
      <c r="F258" s="45">
        <f>25263-6038+12158</f>
        <v>31383</v>
      </c>
      <c r="G258" s="18"/>
    </row>
    <row r="259" spans="1:7" ht="15.75">
      <c r="A259" s="55"/>
      <c r="B259" s="16">
        <v>9990001</v>
      </c>
      <c r="C259" s="11" t="s">
        <v>167</v>
      </c>
      <c r="D259" s="12" t="s">
        <v>114</v>
      </c>
      <c r="E259" s="17" t="s">
        <v>115</v>
      </c>
      <c r="F259" s="45">
        <f>7070</f>
        <v>7070</v>
      </c>
      <c r="G259" s="18"/>
    </row>
    <row r="260" spans="1:10" ht="15.75">
      <c r="A260" s="50"/>
      <c r="B260" s="50"/>
      <c r="C260" s="14"/>
      <c r="D260" s="38"/>
      <c r="E260" s="18"/>
      <c r="F260" s="24">
        <f>SUM(F255:F259)</f>
        <v>754981</v>
      </c>
      <c r="G260" s="18"/>
      <c r="J260" s="62"/>
    </row>
    <row r="261" spans="1:7" ht="7.5" customHeight="1">
      <c r="A261" s="50"/>
      <c r="B261" s="50"/>
      <c r="C261" s="14"/>
      <c r="D261" s="38"/>
      <c r="E261" s="18"/>
      <c r="F261" s="39"/>
      <c r="G261" s="18"/>
    </row>
    <row r="262" spans="1:7" ht="15.75">
      <c r="A262" s="57" t="s">
        <v>64</v>
      </c>
      <c r="B262" s="25"/>
      <c r="C262" s="26"/>
      <c r="D262" s="27"/>
      <c r="E262" s="26"/>
      <c r="F262" s="56"/>
      <c r="G262" s="14"/>
    </row>
    <row r="263" spans="1:7" ht="15.75">
      <c r="A263" s="10">
        <v>5003</v>
      </c>
      <c r="B263" s="10">
        <v>9990001</v>
      </c>
      <c r="C263" s="11" t="s">
        <v>167</v>
      </c>
      <c r="D263" s="12" t="s">
        <v>100</v>
      </c>
      <c r="E263" s="11" t="s">
        <v>101</v>
      </c>
      <c r="F263" s="45">
        <f>127623+1066+259</f>
        <v>128948</v>
      </c>
      <c r="G263" s="14"/>
    </row>
    <row r="264" spans="1:7" ht="15.75">
      <c r="A264" s="10"/>
      <c r="B264" s="10">
        <v>9990001</v>
      </c>
      <c r="C264" s="11" t="s">
        <v>167</v>
      </c>
      <c r="D264" s="12" t="s">
        <v>102</v>
      </c>
      <c r="E264" s="11" t="s">
        <v>103</v>
      </c>
      <c r="F264" s="45">
        <v>21530</v>
      </c>
      <c r="G264" s="14"/>
    </row>
    <row r="265" spans="1:7" ht="15.75">
      <c r="A265" s="10"/>
      <c r="B265" s="10">
        <v>5629121</v>
      </c>
      <c r="C265" s="11" t="s">
        <v>104</v>
      </c>
      <c r="D265" s="12" t="s">
        <v>86</v>
      </c>
      <c r="E265" s="17" t="s">
        <v>85</v>
      </c>
      <c r="F265" s="45">
        <v>11000</v>
      </c>
      <c r="G265" s="14"/>
    </row>
    <row r="266" spans="1:10" ht="15.75">
      <c r="A266" s="19"/>
      <c r="B266" s="19"/>
      <c r="C266" s="20"/>
      <c r="D266" s="21"/>
      <c r="E266" s="20"/>
      <c r="F266" s="53">
        <f>SUM(F263:F265)</f>
        <v>161478</v>
      </c>
      <c r="G266" s="14"/>
      <c r="J266" s="62"/>
    </row>
    <row r="267" spans="1:6" ht="15.75">
      <c r="A267" s="54" t="s">
        <v>63</v>
      </c>
      <c r="B267" s="37"/>
      <c r="C267" s="14"/>
      <c r="D267" s="38"/>
      <c r="E267" s="14"/>
      <c r="F267" s="15"/>
    </row>
    <row r="268" spans="1:6" ht="15.75">
      <c r="A268" s="10">
        <v>5003</v>
      </c>
      <c r="B268" s="10">
        <v>9990001</v>
      </c>
      <c r="C268" s="11" t="s">
        <v>167</v>
      </c>
      <c r="D268" s="12" t="s">
        <v>7</v>
      </c>
      <c r="E268" s="17" t="s">
        <v>8</v>
      </c>
      <c r="F268" s="45">
        <f>155133+114+259</f>
        <v>155506</v>
      </c>
    </row>
    <row r="269" spans="1:6" ht="15.75">
      <c r="A269" s="55"/>
      <c r="B269" s="10">
        <v>5629121</v>
      </c>
      <c r="C269" s="11" t="s">
        <v>104</v>
      </c>
      <c r="D269" s="12" t="s">
        <v>86</v>
      </c>
      <c r="E269" s="17" t="s">
        <v>85</v>
      </c>
      <c r="F269" s="45">
        <f>5020+952</f>
        <v>5972</v>
      </c>
    </row>
    <row r="270" spans="1:10" ht="15.75">
      <c r="A270" s="37"/>
      <c r="B270" s="37"/>
      <c r="C270" s="14"/>
      <c r="D270" s="38"/>
      <c r="E270" s="14"/>
      <c r="F270" s="47">
        <f>SUM(F268:F269)</f>
        <v>161478</v>
      </c>
      <c r="G270" s="14"/>
      <c r="J270" s="62"/>
    </row>
    <row r="271" spans="1:7" ht="6.75" customHeight="1">
      <c r="A271" s="37"/>
      <c r="B271" s="37"/>
      <c r="C271" s="14"/>
      <c r="D271" s="38"/>
      <c r="E271" s="14"/>
      <c r="F271" s="15"/>
      <c r="G271" s="14"/>
    </row>
    <row r="272" spans="1:7" ht="15.75">
      <c r="A272" s="57" t="s">
        <v>64</v>
      </c>
      <c r="B272" s="25"/>
      <c r="C272" s="26"/>
      <c r="D272" s="27"/>
      <c r="E272" s="26"/>
      <c r="F272" s="56"/>
      <c r="G272" s="14"/>
    </row>
    <row r="273" spans="1:7" ht="15.75">
      <c r="A273" s="10">
        <v>5004</v>
      </c>
      <c r="B273" s="10">
        <v>9990001</v>
      </c>
      <c r="C273" s="11" t="s">
        <v>167</v>
      </c>
      <c r="D273" s="12" t="s">
        <v>100</v>
      </c>
      <c r="E273" s="11" t="s">
        <v>101</v>
      </c>
      <c r="F273" s="45">
        <f>70393+583+296</f>
        <v>71272</v>
      </c>
      <c r="G273" s="14"/>
    </row>
    <row r="274" spans="1:7" ht="15.75">
      <c r="A274" s="10"/>
      <c r="B274" s="10">
        <v>9990001</v>
      </c>
      <c r="C274" s="11" t="s">
        <v>167</v>
      </c>
      <c r="D274" s="12" t="s">
        <v>102</v>
      </c>
      <c r="E274" s="11" t="s">
        <v>103</v>
      </c>
      <c r="F274" s="45">
        <v>16731</v>
      </c>
      <c r="G274" s="14"/>
    </row>
    <row r="275" spans="1:7" ht="15.75">
      <c r="A275" s="10"/>
      <c r="B275" s="10">
        <v>5629121</v>
      </c>
      <c r="C275" s="11" t="s">
        <v>104</v>
      </c>
      <c r="D275" s="12" t="s">
        <v>86</v>
      </c>
      <c r="E275" s="17" t="s">
        <v>85</v>
      </c>
      <c r="F275" s="45">
        <v>7200</v>
      </c>
      <c r="G275" s="14"/>
    </row>
    <row r="276" spans="1:10" ht="15.75">
      <c r="A276" s="19"/>
      <c r="B276" s="19"/>
      <c r="C276" s="20"/>
      <c r="D276" s="21"/>
      <c r="E276" s="22"/>
      <c r="F276" s="53">
        <f>SUM(F273:F275)</f>
        <v>95203</v>
      </c>
      <c r="G276" s="14"/>
      <c r="J276" s="62"/>
    </row>
    <row r="277" spans="1:6" ht="15.75">
      <c r="A277" s="54" t="s">
        <v>63</v>
      </c>
      <c r="B277" s="37"/>
      <c r="C277" s="14"/>
      <c r="D277" s="38"/>
      <c r="E277" s="14"/>
      <c r="F277" s="15"/>
    </row>
    <row r="278" spans="1:6" ht="15.75">
      <c r="A278" s="10">
        <v>5004</v>
      </c>
      <c r="B278" s="10">
        <v>9990001</v>
      </c>
      <c r="C278" s="11" t="s">
        <v>167</v>
      </c>
      <c r="D278" s="12" t="s">
        <v>7</v>
      </c>
      <c r="E278" s="17" t="s">
        <v>8</v>
      </c>
      <c r="F278" s="45">
        <f>91324+583+296</f>
        <v>92203</v>
      </c>
    </row>
    <row r="279" spans="1:6" ht="15.75">
      <c r="A279" s="55"/>
      <c r="B279" s="10">
        <v>5629121</v>
      </c>
      <c r="C279" s="11" t="s">
        <v>104</v>
      </c>
      <c r="D279" s="12" t="s">
        <v>86</v>
      </c>
      <c r="E279" s="17" t="s">
        <v>85</v>
      </c>
      <c r="F279" s="45">
        <v>3000</v>
      </c>
    </row>
    <row r="280" spans="1:10" ht="15.75">
      <c r="A280" s="37"/>
      <c r="B280" s="37"/>
      <c r="C280" s="14"/>
      <c r="D280" s="38"/>
      <c r="E280" s="18"/>
      <c r="F280" s="47">
        <f>SUM(F278:F279)</f>
        <v>95203</v>
      </c>
      <c r="G280" s="14"/>
      <c r="J280" s="62"/>
    </row>
    <row r="281" spans="1:7" ht="6" customHeight="1">
      <c r="A281" s="37"/>
      <c r="B281" s="37"/>
      <c r="C281" s="14"/>
      <c r="D281" s="38"/>
      <c r="E281" s="14"/>
      <c r="F281" s="15"/>
      <c r="G281" s="14"/>
    </row>
    <row r="282" spans="1:7" ht="15.75">
      <c r="A282" s="57" t="s">
        <v>64</v>
      </c>
      <c r="B282" s="25"/>
      <c r="C282" s="26"/>
      <c r="D282" s="27"/>
      <c r="E282" s="26"/>
      <c r="F282" s="56"/>
      <c r="G282" s="14"/>
    </row>
    <row r="283" spans="1:7" ht="15.75">
      <c r="A283" s="10">
        <v>5005</v>
      </c>
      <c r="B283" s="10">
        <v>9990001</v>
      </c>
      <c r="C283" s="11" t="s">
        <v>167</v>
      </c>
      <c r="D283" s="12" t="s">
        <v>100</v>
      </c>
      <c r="E283" s="11" t="s">
        <v>101</v>
      </c>
      <c r="F283" s="45">
        <f>121068+1492+297</f>
        <v>122857</v>
      </c>
      <c r="G283" s="14"/>
    </row>
    <row r="284" spans="1:7" ht="15.75">
      <c r="A284" s="10"/>
      <c r="B284" s="10">
        <v>9990001</v>
      </c>
      <c r="C284" s="11" t="s">
        <v>167</v>
      </c>
      <c r="D284" s="12" t="s">
        <v>102</v>
      </c>
      <c r="E284" s="11" t="s">
        <v>103</v>
      </c>
      <c r="F284" s="45">
        <v>40852</v>
      </c>
      <c r="G284" s="14"/>
    </row>
    <row r="285" spans="1:7" ht="15.75">
      <c r="A285" s="10"/>
      <c r="B285" s="10">
        <v>5629121</v>
      </c>
      <c r="C285" s="11" t="s">
        <v>104</v>
      </c>
      <c r="D285" s="12" t="s">
        <v>86</v>
      </c>
      <c r="E285" s="17" t="s">
        <v>85</v>
      </c>
      <c r="F285" s="45">
        <v>10000</v>
      </c>
      <c r="G285" s="14"/>
    </row>
    <row r="286" spans="1:10" ht="15.75">
      <c r="A286" s="19"/>
      <c r="B286" s="19"/>
      <c r="C286" s="20"/>
      <c r="D286" s="21"/>
      <c r="E286" s="22"/>
      <c r="F286" s="53">
        <f>SUM(F283:F285)</f>
        <v>173709</v>
      </c>
      <c r="G286" s="14"/>
      <c r="J286" s="62"/>
    </row>
    <row r="287" spans="1:7" ht="7.5" customHeight="1">
      <c r="A287" s="37"/>
      <c r="B287" s="37"/>
      <c r="C287" s="14"/>
      <c r="D287" s="38"/>
      <c r="E287" s="14"/>
      <c r="F287" s="15"/>
      <c r="G287" s="14"/>
    </row>
    <row r="288" spans="1:6" ht="15.75">
      <c r="A288" s="54" t="s">
        <v>63</v>
      </c>
      <c r="B288" s="37"/>
      <c r="C288" s="14"/>
      <c r="D288" s="38"/>
      <c r="E288" s="14"/>
      <c r="F288" s="15"/>
    </row>
    <row r="289" spans="1:6" ht="15.75">
      <c r="A289" s="10">
        <v>5005</v>
      </c>
      <c r="B289" s="10">
        <v>9990001</v>
      </c>
      <c r="C289" s="11" t="s">
        <v>167</v>
      </c>
      <c r="D289" s="12" t="s">
        <v>7</v>
      </c>
      <c r="E289" s="17" t="s">
        <v>8</v>
      </c>
      <c r="F289" s="45">
        <f>149420+1018+297</f>
        <v>150735</v>
      </c>
    </row>
    <row r="290" spans="1:6" ht="15.75">
      <c r="A290" s="55"/>
      <c r="B290" s="10">
        <v>5629121</v>
      </c>
      <c r="C290" s="11" t="s">
        <v>104</v>
      </c>
      <c r="D290" s="12" t="s">
        <v>86</v>
      </c>
      <c r="E290" s="17" t="s">
        <v>85</v>
      </c>
      <c r="F290" s="45">
        <f>142253-135753+16000+474</f>
        <v>22974</v>
      </c>
    </row>
    <row r="291" spans="1:10" ht="15.75">
      <c r="A291" s="37"/>
      <c r="B291" s="37"/>
      <c r="C291" s="14"/>
      <c r="D291" s="38"/>
      <c r="E291" s="14"/>
      <c r="F291" s="47">
        <f>SUM(F289:F290)</f>
        <v>173709</v>
      </c>
      <c r="G291" s="14"/>
      <c r="J291" s="62"/>
    </row>
    <row r="292" spans="1:7" ht="9" customHeight="1">
      <c r="A292" s="37"/>
      <c r="B292" s="37"/>
      <c r="C292" s="14"/>
      <c r="D292" s="38"/>
      <c r="E292" s="14"/>
      <c r="F292" s="15"/>
      <c r="G292" s="14"/>
    </row>
    <row r="293" spans="1:7" ht="15.75">
      <c r="A293" s="57" t="s">
        <v>64</v>
      </c>
      <c r="B293" s="25"/>
      <c r="C293" s="26"/>
      <c r="D293" s="27"/>
      <c r="E293" s="26"/>
      <c r="F293" s="56"/>
      <c r="G293" s="14"/>
    </row>
    <row r="294" spans="1:7" ht="15.75">
      <c r="A294" s="10">
        <v>5006</v>
      </c>
      <c r="B294" s="10">
        <v>9990001</v>
      </c>
      <c r="C294" s="11" t="s">
        <v>167</v>
      </c>
      <c r="D294" s="12" t="s">
        <v>100</v>
      </c>
      <c r="E294" s="11" t="s">
        <v>101</v>
      </c>
      <c r="F294" s="45">
        <f>105496+16879+29</f>
        <v>122404</v>
      </c>
      <c r="G294" s="14"/>
    </row>
    <row r="295" spans="1:7" ht="15.75">
      <c r="A295" s="10"/>
      <c r="B295" s="10">
        <v>9990001</v>
      </c>
      <c r="C295" s="11" t="s">
        <v>167</v>
      </c>
      <c r="D295" s="12" t="s">
        <v>102</v>
      </c>
      <c r="E295" s="11" t="s">
        <v>103</v>
      </c>
      <c r="F295" s="45">
        <f>16915+754</f>
        <v>17669</v>
      </c>
      <c r="G295" s="14"/>
    </row>
    <row r="296" spans="1:7" ht="15.75">
      <c r="A296" s="10"/>
      <c r="B296" s="10">
        <v>5629121</v>
      </c>
      <c r="C296" s="11" t="s">
        <v>104</v>
      </c>
      <c r="D296" s="12" t="s">
        <v>86</v>
      </c>
      <c r="E296" s="17" t="s">
        <v>85</v>
      </c>
      <c r="F296" s="45">
        <v>7903</v>
      </c>
      <c r="G296" s="14"/>
    </row>
    <row r="297" spans="1:10" ht="15" customHeight="1">
      <c r="A297" s="19"/>
      <c r="B297" s="19"/>
      <c r="C297" s="20"/>
      <c r="D297" s="21"/>
      <c r="E297" s="20"/>
      <c r="F297" s="53">
        <f>SUM(F294:F296)</f>
        <v>147976</v>
      </c>
      <c r="G297" s="14"/>
      <c r="J297" s="62"/>
    </row>
    <row r="298" spans="1:6" ht="15.75">
      <c r="A298" s="54" t="s">
        <v>63</v>
      </c>
      <c r="B298" s="37"/>
      <c r="C298" s="14"/>
      <c r="D298" s="38"/>
      <c r="E298" s="14"/>
      <c r="F298" s="15"/>
    </row>
    <row r="299" spans="1:6" ht="15.75">
      <c r="A299" s="10">
        <v>5006</v>
      </c>
      <c r="B299" s="10">
        <v>9990001</v>
      </c>
      <c r="C299" s="11" t="s">
        <v>167</v>
      </c>
      <c r="D299" s="12" t="s">
        <v>7</v>
      </c>
      <c r="E299" s="17" t="s">
        <v>8</v>
      </c>
      <c r="F299" s="45">
        <f>117729+10989+297+29</f>
        <v>129044</v>
      </c>
    </row>
    <row r="300" spans="1:6" ht="15.75">
      <c r="A300" s="55"/>
      <c r="B300" s="10">
        <v>5629121</v>
      </c>
      <c r="C300" s="11" t="s">
        <v>104</v>
      </c>
      <c r="D300" s="12" t="s">
        <v>86</v>
      </c>
      <c r="E300" s="17" t="s">
        <v>85</v>
      </c>
      <c r="F300" s="45">
        <f>2350+16582</f>
        <v>18932</v>
      </c>
    </row>
    <row r="301" spans="6:10" ht="15.75">
      <c r="F301" s="42">
        <f>SUM(F299:F300)</f>
        <v>147976</v>
      </c>
      <c r="J301" s="62"/>
    </row>
    <row r="302" ht="6.75" customHeight="1" thickBot="1">
      <c r="F302" s="42"/>
    </row>
    <row r="303" spans="1:6" ht="16.5" thickBot="1">
      <c r="A303" s="67" t="s">
        <v>154</v>
      </c>
      <c r="B303" s="68"/>
      <c r="C303" s="68"/>
      <c r="D303" s="68"/>
      <c r="E303" s="68"/>
      <c r="F303" s="59">
        <f>+F236+F253+F266+F276+F286+F297</f>
        <v>1527546</v>
      </c>
    </row>
    <row r="304" spans="1:6" ht="16.5" thickBot="1">
      <c r="A304" s="67" t="s">
        <v>155</v>
      </c>
      <c r="B304" s="68"/>
      <c r="C304" s="68"/>
      <c r="D304" s="68"/>
      <c r="E304" s="68"/>
      <c r="F304" s="59">
        <f>+F240+F260+F270+F280+F291+F301</f>
        <v>1527546</v>
      </c>
    </row>
    <row r="305" ht="6" customHeight="1" thickBot="1"/>
    <row r="306" spans="1:10" ht="16.5" thickBot="1">
      <c r="A306" s="67" t="s">
        <v>156</v>
      </c>
      <c r="B306" s="68"/>
      <c r="C306" s="68"/>
      <c r="D306" s="68"/>
      <c r="E306" s="68"/>
      <c r="F306" s="59">
        <f>+F122+F227+F303</f>
        <v>33904438</v>
      </c>
      <c r="J306" s="62"/>
    </row>
    <row r="307" spans="1:10" ht="16.5" thickBot="1">
      <c r="A307" s="67" t="s">
        <v>157</v>
      </c>
      <c r="B307" s="68"/>
      <c r="C307" s="68"/>
      <c r="D307" s="68"/>
      <c r="E307" s="68"/>
      <c r="F307" s="59">
        <f>+F160+F228+F304</f>
        <v>33904438</v>
      </c>
      <c r="J307" s="62"/>
    </row>
    <row r="308" ht="6.75" customHeight="1" thickBot="1">
      <c r="J308" s="62"/>
    </row>
    <row r="309" spans="1:10" ht="16.5" thickBot="1">
      <c r="A309" s="67" t="s">
        <v>158</v>
      </c>
      <c r="B309" s="68"/>
      <c r="C309" s="68"/>
      <c r="D309" s="68"/>
      <c r="E309" s="68"/>
      <c r="F309" s="59">
        <f>-F74-F75-F76-F77</f>
        <v>-4995469</v>
      </c>
      <c r="J309" s="62"/>
    </row>
    <row r="310" spans="1:10" ht="16.5" thickBot="1">
      <c r="A310" s="67" t="s">
        <v>159</v>
      </c>
      <c r="B310" s="68"/>
      <c r="C310" s="68"/>
      <c r="D310" s="68"/>
      <c r="E310" s="68"/>
      <c r="F310" s="59">
        <v>-4995469</v>
      </c>
      <c r="J310" s="62"/>
    </row>
    <row r="311" spans="6:10" ht="3.75" customHeight="1" thickBot="1">
      <c r="F311" s="42"/>
      <c r="J311" s="62"/>
    </row>
    <row r="312" spans="1:10" ht="16.5" thickBot="1">
      <c r="A312" s="67" t="s">
        <v>160</v>
      </c>
      <c r="B312" s="68"/>
      <c r="C312" s="68"/>
      <c r="D312" s="68"/>
      <c r="E312" s="68"/>
      <c r="F312" s="59">
        <v>-379000</v>
      </c>
      <c r="J312" s="62"/>
    </row>
    <row r="313" spans="1:10" ht="16.5" thickBot="1">
      <c r="A313" s="67" t="s">
        <v>161</v>
      </c>
      <c r="B313" s="68"/>
      <c r="C313" s="68"/>
      <c r="D313" s="68"/>
      <c r="E313" s="68"/>
      <c r="F313" s="59">
        <v>-379000</v>
      </c>
      <c r="J313" s="62"/>
    </row>
    <row r="314" ht="5.25" customHeight="1" thickBot="1">
      <c r="J314" s="62"/>
    </row>
    <row r="315" spans="1:10" ht="16.5" thickBot="1">
      <c r="A315" s="69" t="s">
        <v>162</v>
      </c>
      <c r="B315" s="70"/>
      <c r="C315" s="70"/>
      <c r="D315" s="70"/>
      <c r="E315" s="70"/>
      <c r="F315" s="59">
        <f>+F306+F309+F312</f>
        <v>28529969</v>
      </c>
      <c r="J315" s="62"/>
    </row>
    <row r="316" spans="1:10" ht="16.5" thickBot="1">
      <c r="A316" s="69" t="s">
        <v>163</v>
      </c>
      <c r="B316" s="70"/>
      <c r="C316" s="70"/>
      <c r="D316" s="70"/>
      <c r="E316" s="70"/>
      <c r="F316" s="59">
        <f>+F307+F310+F313</f>
        <v>28529969</v>
      </c>
      <c r="J316" s="62"/>
    </row>
  </sheetData>
  <sheetProtection/>
  <mergeCells count="30">
    <mergeCell ref="A165:D165"/>
    <mergeCell ref="A95:E95"/>
    <mergeCell ref="A99:E99"/>
    <mergeCell ref="A118:E118"/>
    <mergeCell ref="A122:E122"/>
    <mergeCell ref="A143:E143"/>
    <mergeCell ref="A149:E149"/>
    <mergeCell ref="A154:E154"/>
    <mergeCell ref="A160:E160"/>
    <mergeCell ref="A163:F163"/>
    <mergeCell ref="A228:E228"/>
    <mergeCell ref="A303:E303"/>
    <mergeCell ref="A304:E304"/>
    <mergeCell ref="A230:F230"/>
    <mergeCell ref="A3:F3"/>
    <mergeCell ref="A46:D46"/>
    <mergeCell ref="A72:D72"/>
    <mergeCell ref="A80:E80"/>
    <mergeCell ref="A208:D208"/>
    <mergeCell ref="A196:D196"/>
    <mergeCell ref="A158:F158"/>
    <mergeCell ref="A313:E313"/>
    <mergeCell ref="A315:E315"/>
    <mergeCell ref="A316:E316"/>
    <mergeCell ref="A306:E306"/>
    <mergeCell ref="A307:E307"/>
    <mergeCell ref="A309:E309"/>
    <mergeCell ref="A310:E310"/>
    <mergeCell ref="A312:E312"/>
    <mergeCell ref="A227:E227"/>
  </mergeCells>
  <printOptions horizontalCentered="1"/>
  <pageMargins left="0" right="0" top="0" bottom="0" header="0.31496062992125984" footer="0.31496062992125984"/>
  <pageSetup horizontalDpi="600" verticalDpi="600" orientation="portrait" paperSize="9" scale="60" r:id="rId1"/>
  <rowBreaks count="1" manualBreakCount="1">
    <brk id="19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2016-08-30T12:29:30Z</dcterms:modified>
  <cp:category/>
  <cp:version/>
  <cp:contentType/>
  <cp:contentStatus/>
</cp:coreProperties>
</file>