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0" yWindow="0" windowWidth="28800" windowHeight="11910"/>
  </bookViews>
  <sheets>
    <sheet name="4.mellékle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43" i="1" l="1"/>
  <c r="D285" i="1" l="1"/>
  <c r="D260" i="1"/>
  <c r="D226" i="1"/>
  <c r="D338" i="1"/>
  <c r="D237" i="1"/>
  <c r="D154" i="1"/>
  <c r="D155" i="1" s="1"/>
  <c r="D271" i="1" l="1"/>
  <c r="D254" i="1"/>
  <c r="D253" i="1"/>
  <c r="D212" i="1"/>
  <c r="D217" i="1" s="1"/>
  <c r="D174" i="1"/>
  <c r="D177" i="1" s="1"/>
  <c r="D70" i="1"/>
  <c r="D11" i="1"/>
  <c r="D17" i="1" s="1"/>
  <c r="D255" i="1" l="1"/>
  <c r="D71" i="1"/>
  <c r="D72" i="1" s="1"/>
  <c r="D275" i="1"/>
  <c r="D276" i="1"/>
  <c r="D216" i="1"/>
  <c r="D340" i="1"/>
  <c r="D301" i="1"/>
  <c r="D308" i="1"/>
  <c r="D309" i="1" s="1"/>
  <c r="D293" i="1"/>
  <c r="D294" i="1" s="1"/>
  <c r="D208" i="1"/>
  <c r="D146" i="1"/>
  <c r="D144" i="1"/>
  <c r="D135" i="1"/>
  <c r="D136" i="1"/>
  <c r="D121" i="1"/>
  <c r="D117" i="1"/>
  <c r="D105" i="1"/>
  <c r="D107" i="1" s="1"/>
  <c r="D84" i="1"/>
  <c r="D81" i="1"/>
  <c r="D79" i="1"/>
  <c r="D80" i="1" s="1"/>
  <c r="D28" i="1"/>
  <c r="D32" i="1" s="1"/>
  <c r="D85" i="1" l="1"/>
  <c r="D86" i="1" s="1"/>
  <c r="D82" i="1"/>
  <c r="D83" i="1" s="1"/>
  <c r="D148" i="1"/>
  <c r="D142" i="1" s="1"/>
  <c r="D137" i="1"/>
  <c r="D272" i="1"/>
  <c r="D18" i="1"/>
  <c r="D16" i="1"/>
  <c r="D10" i="1"/>
  <c r="D9" i="1"/>
  <c r="D215" i="1"/>
  <c r="D211" i="1"/>
  <c r="D210" i="1"/>
  <c r="D274" i="1"/>
  <c r="D269" i="1"/>
  <c r="D270" i="1"/>
  <c r="D14" i="1"/>
  <c r="D87" i="1" l="1"/>
  <c r="D88" i="1" s="1"/>
  <c r="D19" i="1"/>
  <c r="D277" i="1"/>
  <c r="D218" i="1"/>
  <c r="D319" i="1"/>
  <c r="D320" i="1" s="1"/>
  <c r="D315" i="1"/>
  <c r="D238" i="1"/>
  <c r="D350" i="1"/>
  <c r="D295" i="1"/>
  <c r="D296" i="1" s="1"/>
  <c r="D305" i="1" l="1"/>
  <c r="D310" i="1" s="1"/>
  <c r="D134" i="1"/>
  <c r="D119" i="1" l="1"/>
  <c r="D325" i="1" l="1"/>
  <c r="D268" i="1"/>
  <c r="D245" i="1"/>
  <c r="D246" i="1" s="1"/>
  <c r="D302" i="1"/>
  <c r="D8" i="1"/>
  <c r="D209" i="1"/>
  <c r="D203" i="1"/>
  <c r="D204" i="1" s="1"/>
  <c r="D195" i="1"/>
  <c r="D196" i="1" s="1"/>
  <c r="D192" i="1"/>
  <c r="D169" i="1"/>
  <c r="D170" i="1" s="1"/>
  <c r="D163" i="1"/>
  <c r="D164" i="1" s="1"/>
  <c r="D96" i="1"/>
  <c r="D98" i="1" s="1"/>
  <c r="D59" i="1"/>
  <c r="D51" i="1"/>
  <c r="D52" i="1" s="1"/>
  <c r="D35" i="1"/>
  <c r="D36" i="1" s="1"/>
  <c r="D37" i="1" s="1"/>
  <c r="D286" i="1"/>
  <c r="D287" i="1" s="1"/>
  <c r="D261" i="1"/>
  <c r="D252" i="1"/>
  <c r="D228" i="1"/>
  <c r="D229" i="1" s="1"/>
  <c r="D184" i="1"/>
  <c r="D185" i="1" s="1"/>
  <c r="D186" i="1" s="1"/>
  <c r="D156" i="1"/>
  <c r="D143" i="1"/>
  <c r="D115" i="1"/>
  <c r="D128" i="1" s="1"/>
  <c r="D68" i="1"/>
  <c r="D69" i="1" s="1"/>
  <c r="D73" i="1" s="1"/>
  <c r="D48" i="1"/>
  <c r="D49" i="1" s="1"/>
  <c r="D53" i="1" l="1"/>
  <c r="D262" i="1"/>
  <c r="D157" i="1"/>
  <c r="D153" i="1" s="1"/>
</calcChain>
</file>

<file path=xl/sharedStrings.xml><?xml version="1.0" encoding="utf-8"?>
<sst xmlns="http://schemas.openxmlformats.org/spreadsheetml/2006/main" count="551" uniqueCount="228">
  <si>
    <t>Főkönyvi szám</t>
  </si>
  <si>
    <t>Főkönyvi szám név</t>
  </si>
  <si>
    <t>Eredeti előirányzat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</si>
  <si>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</si>
  <si>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</si>
  <si>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</si>
  <si>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</si>
  <si>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</si>
  <si>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Egyéb felhalmozási célú támogatások bevételei államháztartáson belülről-fejezeti kezelésű előirányzatok EU-s programok és azok hazai társfinanszírozása</t>
  </si>
  <si>
    <t>093432</t>
  </si>
  <si>
    <t>Magánszemélyek kommunális adója</t>
  </si>
  <si>
    <t>Állandó jelleggel végzett iparűzési tevékenység után fizetett helyi adó</t>
  </si>
  <si>
    <t>Késedelmi és önellenőrzési pótlék</t>
  </si>
  <si>
    <t>Készletértékesítés ellenértéke</t>
  </si>
  <si>
    <t>Szolgáltatások ellenértéke</t>
  </si>
  <si>
    <t>Ellátási díjak</t>
  </si>
  <si>
    <t>Kiszámlázott általános forgalmi adó</t>
  </si>
  <si>
    <t>Kamatbevételek</t>
  </si>
  <si>
    <t>Működési célú visszatérítendő támogatások, kölcsönök visszatérülése államháztartáson kívülről-háztartások</t>
  </si>
  <si>
    <t>Előző év költségvetési maradványának igénybevétele</t>
  </si>
  <si>
    <t>Bevétel összesen:</t>
  </si>
  <si>
    <t>05110112</t>
  </si>
  <si>
    <t>05110712</t>
  </si>
  <si>
    <t>Ruházati költségtérítés</t>
  </si>
  <si>
    <t>Foglalkoztatottak egyéb személyi juttatásai</t>
  </si>
  <si>
    <t>Választott tisztségviselők juttatásai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</si>
  <si>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</si>
  <si>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</si>
  <si>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</si>
  <si>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</si>
  <si>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</si>
  <si>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</si>
  <si>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0531212</t>
  </si>
  <si>
    <t>Élelmiszer</t>
  </si>
  <si>
    <t>0531262</t>
  </si>
  <si>
    <t>Midazok, amelyek nem számolhatóak el szakmai anyagnak</t>
  </si>
  <si>
    <t>0532212</t>
  </si>
  <si>
    <t>Telefon, telefax, telex, mobíl díj</t>
  </si>
  <si>
    <t>0533112</t>
  </si>
  <si>
    <t>Villamos energia</t>
  </si>
  <si>
    <t>0533122</t>
  </si>
  <si>
    <t>Gázdíj</t>
  </si>
  <si>
    <t>0533132</t>
  </si>
  <si>
    <t>Víz- és csatornadíj</t>
  </si>
  <si>
    <t>Vásárolt élelmezés</t>
  </si>
  <si>
    <t>Bérleti és lízing díjak</t>
  </si>
  <si>
    <t>Karbantartási, kisjavítási szolgáltatások</t>
  </si>
  <si>
    <t>0533722</t>
  </si>
  <si>
    <t>Biztosítási díjak</t>
  </si>
  <si>
    <t>0533792</t>
  </si>
  <si>
    <t>Más egyéb szolgáltatások</t>
  </si>
  <si>
    <t>Reklám- és propagandakiadások</t>
  </si>
  <si>
    <t>Működési célú előzetesen felszámított általános forgalmi adó</t>
  </si>
  <si>
    <t>Egyéb dologi kiadások</t>
  </si>
  <si>
    <t>Beruházási célú előzetesen felszámított általános forgalmi adó</t>
  </si>
  <si>
    <t>Felújítási célú előzetesen felszámított általános forgalmi adó</t>
  </si>
  <si>
    <t>Kiadás összesen:</t>
  </si>
  <si>
    <t>011130 - Önkormányzatok és önkormányzati hivatalok jogalkotó és általános igazgatási tevékenysége</t>
  </si>
  <si>
    <t>0916072</t>
  </si>
  <si>
    <t>094022</t>
  </si>
  <si>
    <t>094062</t>
  </si>
  <si>
    <t>094082</t>
  </si>
  <si>
    <t>05110132</t>
  </si>
  <si>
    <t>0511082</t>
  </si>
  <si>
    <t>0511132</t>
  </si>
  <si>
    <t>051212</t>
  </si>
  <si>
    <t>0531232</t>
  </si>
  <si>
    <t>Hajtó és kenőanyag</t>
  </si>
  <si>
    <t>053322</t>
  </si>
  <si>
    <t>053332</t>
  </si>
  <si>
    <t>053342</t>
  </si>
  <si>
    <t>053512</t>
  </si>
  <si>
    <t>053552</t>
  </si>
  <si>
    <t>0535542</t>
  </si>
  <si>
    <t>Adó-, vám-, illeték és más adójellegű befizetések, hozzájárulások</t>
  </si>
  <si>
    <t>05512032</t>
  </si>
  <si>
    <t>05612</t>
  </si>
  <si>
    <t>056412</t>
  </si>
  <si>
    <t>05672</t>
  </si>
  <si>
    <t>013320 - Köztemető-fenntartás és -működtetés</t>
  </si>
  <si>
    <t>013350 - Az önkormányzati vagyonnal való gazdálkodással kapcsolatos feladatok</t>
  </si>
  <si>
    <t>0925032</t>
  </si>
  <si>
    <t>05712</t>
  </si>
  <si>
    <t>05742</t>
  </si>
  <si>
    <t>016080 - Kiemelt állami és önkormányzati rendezvények</t>
  </si>
  <si>
    <t>094012</t>
  </si>
  <si>
    <t>0965082</t>
  </si>
  <si>
    <t>Egyéb működési célú átvett pénzeszközök-egyéb vállalkozások</t>
  </si>
  <si>
    <t>053422</t>
  </si>
  <si>
    <t>018010 - Önkormányzatok elszámolásai a központi költségvetéssel</t>
  </si>
  <si>
    <t>091112</t>
  </si>
  <si>
    <t>091122</t>
  </si>
  <si>
    <t>091132</t>
  </si>
  <si>
    <t>091142</t>
  </si>
  <si>
    <t>091152</t>
  </si>
  <si>
    <t>093412</t>
  </si>
  <si>
    <t>Építményadó</t>
  </si>
  <si>
    <t>09351072</t>
  </si>
  <si>
    <t>0936172</t>
  </si>
  <si>
    <t>098142</t>
  </si>
  <si>
    <t>Államháztartáson belüli megelőlegezések</t>
  </si>
  <si>
    <t>018030 - Támogatási célú finanszírozási műveletek</t>
  </si>
  <si>
    <t>0981312</t>
  </si>
  <si>
    <t>05506082</t>
  </si>
  <si>
    <t>059152</t>
  </si>
  <si>
    <t>041233 - Hosszabb időtartamú közfoglalkoztatás</t>
  </si>
  <si>
    <t>0916062</t>
  </si>
  <si>
    <t>Egyéb működési célú támogatások bevételei államháztartáson belülről-elkülönített állami pénzalapok</t>
  </si>
  <si>
    <t>051101142</t>
  </si>
  <si>
    <t>Közfoglalkoztatottak bére</t>
  </si>
  <si>
    <t>051030 - Nem veszélyes (települési) hulladék vegyes (ömlesztett) begyűjtése, szállítása,átrakása</t>
  </si>
  <si>
    <t>052020 - Szennyvíz gyűjtése, tisztítása, elhelyezése</t>
  </si>
  <si>
    <t>063020 - Víztermelés, -kezelés, -ellátás</t>
  </si>
  <si>
    <t>0940422</t>
  </si>
  <si>
    <t>Tulajdonosi bevételek - önkormányzati vagyon üzemeltetéséből, koncesszióból származó bevétel</t>
  </si>
  <si>
    <t>064010 - Közvilágítás</t>
  </si>
  <si>
    <t>066020 - Város-, községgazdálkodási egyéb szolgáltatások</t>
  </si>
  <si>
    <t>081030 - Sportlétesítmények, edzőtáborok működtetése és fejlesztése</t>
  </si>
  <si>
    <t>082091 - Közművelődés – közösségi és társadalmi részvétel fejlesztése</t>
  </si>
  <si>
    <t>082092 - Közművelődés – hagyományos közösségi kulturális értékek gondozása</t>
  </si>
  <si>
    <t>0532112</t>
  </si>
  <si>
    <t>Internet díj</t>
  </si>
  <si>
    <t>0532222</t>
  </si>
  <si>
    <t>Kábel tv.</t>
  </si>
  <si>
    <t>083030 - Egyéb kiadói tevékenység</t>
  </si>
  <si>
    <t>094052</t>
  </si>
  <si>
    <t>107051 - Szociális étkeztetés</t>
  </si>
  <si>
    <t>107060 - Egyéb szociális pénzbeli és természetbeni ellátások, támogatások</t>
  </si>
  <si>
    <t>0964042</t>
  </si>
  <si>
    <t>Önk. által saját hat.ben adott pügyi ellátás - Egyszeri települési támogatás</t>
  </si>
  <si>
    <t>Önk. által saját hat.ben adott pügyi ellátás - Gyermek nevelését elősegítő települési támogatás</t>
  </si>
  <si>
    <t>Önk. által saját hat.ben adott pügyi ellátás - Temetési költségek csökkentését elősegítő települési támogatás</t>
  </si>
  <si>
    <t>Önk. által saját hat.ben adott pügyi ellátás - Gyógyszer-kiadások viseléséhez nyújtható települési támogatás</t>
  </si>
  <si>
    <t>Önk. által saját hat.körben adott pügyi ellátás - Ápolási célú települési támogatás</t>
  </si>
  <si>
    <t>Önk. által saját hat.ben adott pügyi ellátás - Születési támogatás</t>
  </si>
  <si>
    <t>Önk. által saját hat.ben adott pügyi ellátás - Tanévkezdési támogatás</t>
  </si>
  <si>
    <t>Önk. által saját hat.ben adott pügyi ellátás - Karácsonyi támogatás (term.beni)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</si>
  <si>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</si>
  <si>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</si>
  <si>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</si>
  <si>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09355012</t>
  </si>
  <si>
    <t>Tartózkodás után fizetett idegenforgalmi adó</t>
  </si>
  <si>
    <t>ezen belül: Önkormányzati Hivatal működésének támogatása</t>
  </si>
  <si>
    <t>Település-üzemeltetéshez kapcsolódó feladatellátások tám.</t>
  </si>
  <si>
    <t>Gyermekétkeztetés támogatása</t>
  </si>
  <si>
    <t>Kiadás mindösszesen:</t>
  </si>
  <si>
    <t>Művelődési ház</t>
  </si>
  <si>
    <t>Felújítási kiadások:</t>
  </si>
  <si>
    <t>Dologi kiadások:</t>
  </si>
  <si>
    <t>Önk. által saját hat.körben adott pügyi ellátás - Mentesülés a köztemetés költségeinek megtérítése alól</t>
  </si>
  <si>
    <t>Személyi juttatások és járulékok:</t>
  </si>
  <si>
    <t>Dologi és átadott pénzeszközök:</t>
  </si>
  <si>
    <t>Beruházások:</t>
  </si>
  <si>
    <t>Egyéb működési célú támogatások államháztartáson kívülre-egyéb civil szervezetek (Egyesületek, Alapítványok…)</t>
  </si>
  <si>
    <t>Szolgáltatások ellenértéke (Lakbérek, Bérleti díjak)</t>
  </si>
  <si>
    <t>Szociális étkeztetés támogatása</t>
  </si>
  <si>
    <t>Szociális és Gyermekjóléti feladatok támogatása</t>
  </si>
  <si>
    <t>ezen belül:                          Szociális feladatok egyéb támogatása</t>
  </si>
  <si>
    <t>Egyéb működési célú támogatások államháztartáson belülre-társulások és költségvetési szerveik (Óvoda, Szoc.Int.,Védőnő,Kistérség)</t>
  </si>
  <si>
    <t>Központi, irányító szervi támogatás folyósítása (Közös Hivatal)</t>
  </si>
  <si>
    <t>MT alapján teljes, részmunkaidős bére (1 fő 6 órás)</t>
  </si>
  <si>
    <t>Egyéb működési célú támogatások bevételei államháztartáson belülről-elkülönített állami pénzalapok (Mezőőri Szolg. támogatása)</t>
  </si>
  <si>
    <t>Faluház</t>
  </si>
  <si>
    <t>Köztisztviselők,közalkalmazottak bére (1fő 8ó)</t>
  </si>
  <si>
    <t>MT alapján teljes, részmunkaidős bére (1fő 8ó)</t>
  </si>
  <si>
    <t>Dologi kiadás:</t>
  </si>
  <si>
    <t>Önk.által saját hat.ben adott pügyi ellátás - Rendkívüli települési támogatás (Kamatmentes kölcsön is)</t>
  </si>
  <si>
    <t>4. melléklet</t>
  </si>
  <si>
    <t>Cofog szerinti feladatellátás</t>
  </si>
  <si>
    <t>MT alapján teljes, részmunkaidős bére (1 fő 8 órás)</t>
  </si>
  <si>
    <t>Megbízási díj</t>
  </si>
  <si>
    <t>Béren kívüli juttatások</t>
  </si>
  <si>
    <t>A rászoruló gyermekek szünidei étkeztetésének támogatása</t>
  </si>
  <si>
    <t>Foglalkoztatottak egyéb személyi juttatásai (Kompenzáció)</t>
  </si>
  <si>
    <t>104037 - Intézményen kívüli gyermekétkeztetés (szünidei)</t>
  </si>
  <si>
    <t>102050 - Az időskorúak társadalmi integrációját célzó programok (Idősbarát Önkormányzat díj)</t>
  </si>
  <si>
    <t>0 916062</t>
  </si>
  <si>
    <t>Egyéb működési c.támogatások bev.áh-on belülről</t>
  </si>
  <si>
    <t>045160 - Közutak, hidak alagutak üzemeltetése, fenntartása</t>
  </si>
  <si>
    <t>Köztisztviselők,közalkalmazottak bére (1 fő Mezőőr 8ó)</t>
  </si>
  <si>
    <r>
      <t xml:space="preserve">Köztisztviselők,közalkalmazottak bére (2 fő 8 órás, </t>
    </r>
    <r>
      <rPr>
        <i/>
        <strike/>
        <sz val="9"/>
        <color indexed="8"/>
        <rFont val="Times New Roman"/>
        <family val="1"/>
        <charset val="238"/>
      </rPr>
      <t>1 fő Gyed</t>
    </r>
    <r>
      <rPr>
        <sz val="9"/>
        <color indexed="8"/>
        <rFont val="Times New Roman"/>
        <family val="1"/>
        <charset val="238"/>
      </rPr>
      <t>)</t>
    </r>
  </si>
  <si>
    <t>05253</t>
  </si>
  <si>
    <t>Táppénz hj.</t>
  </si>
  <si>
    <t>Foglalkoztatottak egyéb személyi juttatásai(betegszabadság)</t>
  </si>
  <si>
    <t>0511092</t>
  </si>
  <si>
    <t>Közlekedési költségtérítés</t>
  </si>
  <si>
    <t>053412</t>
  </si>
  <si>
    <t>Kiküldetési kiadások</t>
  </si>
  <si>
    <t>05312</t>
  </si>
  <si>
    <t>Üzemeltetési anyagok</t>
  </si>
  <si>
    <t xml:space="preserve">Immateriális javak beszerzése, létesítése </t>
  </si>
  <si>
    <t>051223</t>
  </si>
  <si>
    <t>Ingatlanok felújítása (Ravatalozó-Kistelepülési önk.támogatása+önerő)</t>
  </si>
  <si>
    <t>Ingatlanok felújítása (Önkormányzati feladatellátást szolgáló fejlesztések című elnyert pályázat alapján-járdafelújítások)</t>
  </si>
  <si>
    <t>Felújítási kiadások (támogatás: 14 657 910 Ft, önerő: 2 586 690 Ft) :</t>
  </si>
  <si>
    <t>Ingatlanok felújítása (Az elnyert Vis maior pályázat szerinti út helyreállítás-Malom köz út-hidak )</t>
  </si>
  <si>
    <t>Felújítási kiadások (támogatás: 11 948 000 Ft, önerő: 1 327 589 Ft) :</t>
  </si>
  <si>
    <t>Felújítási kiadások összesen:</t>
  </si>
  <si>
    <t>Egyéb működési célú támogatások bevételei államháztartáson belülről-helyi önkormányzatok és költségvetési szerveik (Közös Hivatal tám.)</t>
  </si>
  <si>
    <t>2018.02.28.-ig 19 fő</t>
  </si>
  <si>
    <t>Megbízási díj (2 hó)</t>
  </si>
  <si>
    <t xml:space="preserve">Köztisztviselők,közalkalmazottak bére </t>
  </si>
  <si>
    <t>Ellátottak pénzbeli juttatásai összesen:</t>
  </si>
  <si>
    <t>05506</t>
  </si>
  <si>
    <t>Egyéb működési célú tám.áh-on belülre (Bursa Támogatás)</t>
  </si>
  <si>
    <t xml:space="preserve">MT alapján teljes, részmunkaidős bére (4 fő 8ó) </t>
  </si>
  <si>
    <t>Egyéb tárgyi eszközök besz.,lét.-(autó vásárlás áthúzódott 2018-ra)</t>
  </si>
  <si>
    <t>Ingatlan felújítása (Park felújítás)</t>
  </si>
  <si>
    <t>Közlekedési költségtérítés (bérlet)</t>
  </si>
  <si>
    <t>Önk. által saját hat.ben adott pügyi ellátás - Beíratást ösztönző támogatás</t>
  </si>
  <si>
    <t>Önk. által saját hat.ben adott pügyi ellátás - Hulladékszállítási közszolgáltatási díjra vonatkozó támogatás</t>
  </si>
  <si>
    <t>0548</t>
  </si>
  <si>
    <t>045161 - Kerékpárutak üzemeltetése, fenntartása</t>
  </si>
  <si>
    <t>0925</t>
  </si>
  <si>
    <t>Egyéb felhalmozási célú támogatások bevételei államháztartáson belülről - egyéb fejezeti ei.-Kerékpárút</t>
  </si>
  <si>
    <t>0562</t>
  </si>
  <si>
    <t>Ingatlanok beszerzése, létesítése</t>
  </si>
  <si>
    <t xml:space="preserve">Beruházási célú előzetesen felszámított általános forgalmi adó </t>
  </si>
  <si>
    <t>0567</t>
  </si>
  <si>
    <t>Beruházási kiadások:</t>
  </si>
  <si>
    <t>Felújítási kiadások (támogatás: 1 600 000 Ft, önerő: 305 000 Ft) :</t>
  </si>
  <si>
    <t>Üzemeltetési anyagok beszerzése</t>
  </si>
  <si>
    <t>0533</t>
  </si>
  <si>
    <t>Közüzemi díjak</t>
  </si>
  <si>
    <t>05337</t>
  </si>
  <si>
    <t>Egyéb szolgáltatások</t>
  </si>
  <si>
    <t>Szolgáltatások ellenértéke (sírhely megváltás)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</si>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</sst>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trike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3" fontId="3" fillId="0" borderId="4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right" vertical="center" wrapText="1" readingOrder="1"/>
      <protection locked="0"/>
    </xf>
    <xf numFmtId="3" fontId="4" fillId="4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readingOrder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 vertical="center" wrapText="1" readingOrder="1"/>
      <protection locked="0"/>
    </xf>
    <xf numFmtId="0" fontId="3" fillId="0" borderId="3" xfId="0" applyFont="1" applyBorder="1" applyAlignment="1" applyProtection="1">
      <alignment horizontal="right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 readingOrder="1"/>
      <protection locked="0"/>
    </xf>
    <xf numFmtId="3" fontId="4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7" xfId="0" applyFont="1" applyBorder="1" applyAlignment="1" applyProtection="1">
      <alignment horizontal="left" vertical="center" wrapText="1" readingOrder="1"/>
      <protection locked="0"/>
    </xf>
    <xf numFmtId="3" fontId="4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/>
    <xf numFmtId="3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3" xfId="0" quotePrefix="1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2" xfId="0" quotePrefix="1" applyFont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 readingOrder="1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4" borderId="5" xfId="0" applyFont="1" applyFill="1" applyBorder="1" applyAlignment="1" applyProtection="1">
      <alignment horizontal="center" vertical="center" wrapText="1" readingOrder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 readingOrder="1"/>
      <protection locked="0"/>
    </xf>
    <xf numFmtId="0" fontId="5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4" fillId="4" borderId="16" xfId="0" applyFont="1" applyFill="1" applyBorder="1" applyAlignment="1" applyProtection="1">
      <alignment horizontal="center" vertical="center" wrapText="1" readingOrder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center" wrapText="1" readingOrder="1"/>
      <protection locked="0"/>
    </xf>
    <xf numFmtId="0" fontId="2" fillId="3" borderId="12" xfId="0" applyFont="1" applyFill="1" applyBorder="1" applyAlignment="1" applyProtection="1">
      <alignment horizontal="center" vertical="center" wrapText="1" readingOrder="1"/>
      <protection locked="0"/>
    </xf>
    <xf numFmtId="0" fontId="2" fillId="3" borderId="13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2" xfId="0" applyFont="1" applyFill="1" applyBorder="1" applyAlignment="1" applyProtection="1">
      <alignment vertical="center" wrapText="1" readingOrder="1"/>
      <protection locked="0"/>
    </xf>
    <xf numFmtId="0" fontId="2" fillId="0" borderId="13" xfId="0" applyFont="1" applyFill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5" fillId="4" borderId="1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0"/>
  <sheetViews>
    <sheetView showGridLines="0" tabSelected="1" zoomScale="120" zoomScaleNormal="120" workbookViewId="0">
      <pane ySplit="3" topLeftCell="A330" activePane="bottomLeft" state="frozenSplit"/>
      <selection pane="bottomLeft" activeCell="B338" sqref="B338:C338"/>
    </sheetView>
  </sheetViews>
  <sheetFormatPr defaultColWidth="8.7109375" defaultRowHeight="12.75" x14ac:dyDescent="0.2"/>
  <cols>
    <col min="1" max="1" width="4.7109375" customWidth="1"/>
    <col min="2" max="2" width="9.85546875" style="2" customWidth="1"/>
    <col min="3" max="3" width="54" style="3" customWidth="1"/>
    <col min="4" max="4" width="22.7109375" style="4" customWidth="1"/>
    <col min="5" max="5" width="18.42578125" customWidth="1"/>
    <col min="6" max="6" width="19.140625" customWidth="1"/>
    <col min="7" max="7" width="20" customWidth="1"/>
  </cols>
  <sheetData>
    <row r="1" spans="2:4" ht="15" x14ac:dyDescent="0.2">
      <c r="B1" s="122" t="s">
        <v>167</v>
      </c>
      <c r="C1" s="122"/>
      <c r="D1" s="122"/>
    </row>
    <row r="2" spans="2:4" ht="15" x14ac:dyDescent="0.2">
      <c r="B2" s="122" t="s">
        <v>227</v>
      </c>
      <c r="C2" s="122"/>
      <c r="D2" s="122"/>
    </row>
    <row r="3" spans="2:4" ht="15" x14ac:dyDescent="0.2">
      <c r="B3" s="122" t="s">
        <v>168</v>
      </c>
      <c r="C3" s="122"/>
      <c r="D3" s="122"/>
    </row>
    <row r="4" spans="2:4" ht="15" x14ac:dyDescent="0.2">
      <c r="B4" s="66"/>
      <c r="C4" s="66"/>
      <c r="D4" s="66"/>
    </row>
    <row r="5" spans="2:4" x14ac:dyDescent="0.2">
      <c r="B5" s="86" t="s">
        <v>57</v>
      </c>
      <c r="C5" s="87"/>
      <c r="D5" s="87"/>
    </row>
    <row r="6" spans="2:4" ht="24" x14ac:dyDescent="0.2">
      <c r="B6" s="5" t="s">
        <v>0</v>
      </c>
      <c r="C6" s="6" t="s">
        <v>1</v>
      </c>
      <c r="D6" s="7" t="s">
        <v>2</v>
      </c>
    </row>
    <row r="7" spans="2:4" x14ac:dyDescent="0.2">
      <c r="B7" s="8" t="s">
        <v>61</v>
      </c>
      <c r="C7" s="9" t="s">
        <v>17</v>
      </c>
      <c r="D7" s="71">
        <v>100000</v>
      </c>
    </row>
    <row r="8" spans="2:4" x14ac:dyDescent="0.2">
      <c r="B8" s="84" t="s">
        <v>20</v>
      </c>
      <c r="C8" s="124"/>
      <c r="D8" s="11">
        <f>SUM(D7:D7)</f>
        <v>100000</v>
      </c>
    </row>
    <row r="9" spans="2:4" x14ac:dyDescent="0.2">
      <c r="B9" s="8" t="s">
        <v>62</v>
      </c>
      <c r="C9" s="9" t="s">
        <v>169</v>
      </c>
      <c r="D9" s="71">
        <f>2010700</f>
        <v>2010700</v>
      </c>
    </row>
    <row r="10" spans="2:4" x14ac:dyDescent="0.2">
      <c r="B10" s="8" t="s">
        <v>21</v>
      </c>
      <c r="C10" s="9" t="s">
        <v>180</v>
      </c>
      <c r="D10" s="71">
        <f>3278500+3310500</f>
        <v>6589000</v>
      </c>
    </row>
    <row r="11" spans="2:4" x14ac:dyDescent="0.2">
      <c r="B11" s="8" t="s">
        <v>22</v>
      </c>
      <c r="C11" s="9" t="s">
        <v>171</v>
      </c>
      <c r="D11" s="71">
        <f>120000*3</f>
        <v>360000</v>
      </c>
    </row>
    <row r="12" spans="2:4" x14ac:dyDescent="0.2">
      <c r="B12" s="64" t="s">
        <v>184</v>
      </c>
      <c r="C12" s="9" t="s">
        <v>185</v>
      </c>
      <c r="D12" s="71">
        <v>100000</v>
      </c>
    </row>
    <row r="13" spans="2:4" x14ac:dyDescent="0.2">
      <c r="B13" s="8" t="s">
        <v>64</v>
      </c>
      <c r="C13" s="9" t="s">
        <v>24</v>
      </c>
      <c r="D13" s="71">
        <v>15100</v>
      </c>
    </row>
    <row r="14" spans="2:4" x14ac:dyDescent="0.2">
      <c r="B14" s="64" t="s">
        <v>65</v>
      </c>
      <c r="C14" s="9" t="s">
        <v>25</v>
      </c>
      <c r="D14" s="71">
        <f>1656000+2400000+2752416</f>
        <v>6808416</v>
      </c>
    </row>
    <row r="15" spans="2:4" hidden="1" x14ac:dyDescent="0.2">
      <c r="B15" s="68" t="s">
        <v>191</v>
      </c>
      <c r="C15" s="13" t="s">
        <v>170</v>
      </c>
      <c r="D15" s="58">
        <v>0</v>
      </c>
    </row>
    <row r="16" spans="2:4" x14ac:dyDescent="0.2">
      <c r="B16" s="12" t="s">
        <v>26</v>
      </c>
      <c r="C16" s="13" t="s">
        <v>27</v>
      </c>
      <c r="D16" s="58">
        <f>258273+1294528+367224+595238+595238</f>
        <v>3110501</v>
      </c>
    </row>
    <row r="17" spans="2:4" x14ac:dyDescent="0.2">
      <c r="B17" s="14" t="s">
        <v>28</v>
      </c>
      <c r="C17" s="15" t="s">
        <v>29</v>
      </c>
      <c r="D17" s="59">
        <f>D11*1.18*0.14</f>
        <v>59472.000000000007</v>
      </c>
    </row>
    <row r="18" spans="2:4" x14ac:dyDescent="0.2">
      <c r="B18" s="17" t="s">
        <v>30</v>
      </c>
      <c r="C18" s="18" t="s">
        <v>31</v>
      </c>
      <c r="D18" s="60">
        <f>D11*1.18*0.15</f>
        <v>63720</v>
      </c>
    </row>
    <row r="19" spans="2:4" ht="16.5" customHeight="1" x14ac:dyDescent="0.2">
      <c r="B19" s="106" t="s">
        <v>150</v>
      </c>
      <c r="C19" s="123"/>
      <c r="D19" s="61">
        <f>SUM(D9:D18)</f>
        <v>19116909</v>
      </c>
    </row>
    <row r="20" spans="2:4" x14ac:dyDescent="0.2">
      <c r="B20" s="64" t="s">
        <v>188</v>
      </c>
      <c r="C20" s="9" t="s">
        <v>189</v>
      </c>
      <c r="D20" s="71">
        <v>800000</v>
      </c>
    </row>
    <row r="21" spans="2:4" x14ac:dyDescent="0.2">
      <c r="B21" s="8" t="s">
        <v>120</v>
      </c>
      <c r="C21" s="9" t="s">
        <v>121</v>
      </c>
      <c r="D21" s="71">
        <v>200000</v>
      </c>
    </row>
    <row r="22" spans="2:4" x14ac:dyDescent="0.2">
      <c r="B22" s="8" t="s">
        <v>36</v>
      </c>
      <c r="C22" s="9" t="s">
        <v>37</v>
      </c>
      <c r="D22" s="71">
        <v>400000</v>
      </c>
    </row>
    <row r="23" spans="2:4" x14ac:dyDescent="0.2">
      <c r="B23" s="8" t="s">
        <v>69</v>
      </c>
      <c r="C23" s="9" t="s">
        <v>45</v>
      </c>
      <c r="D23" s="71">
        <v>150000</v>
      </c>
    </row>
    <row r="24" spans="2:4" x14ac:dyDescent="0.2">
      <c r="B24" s="8" t="s">
        <v>70</v>
      </c>
      <c r="C24" s="9" t="s">
        <v>46</v>
      </c>
      <c r="D24" s="71">
        <v>150000</v>
      </c>
    </row>
    <row r="25" spans="2:4" x14ac:dyDescent="0.2">
      <c r="B25" s="8" t="s">
        <v>47</v>
      </c>
      <c r="C25" s="9" t="s">
        <v>48</v>
      </c>
      <c r="D25" s="71">
        <v>150000</v>
      </c>
    </row>
    <row r="26" spans="2:4" x14ac:dyDescent="0.2">
      <c r="B26" s="8" t="s">
        <v>49</v>
      </c>
      <c r="C26" s="9" t="s">
        <v>50</v>
      </c>
      <c r="D26" s="71">
        <v>2900000</v>
      </c>
    </row>
    <row r="27" spans="2:4" x14ac:dyDescent="0.2">
      <c r="B27" s="64" t="s">
        <v>186</v>
      </c>
      <c r="C27" s="9" t="s">
        <v>187</v>
      </c>
      <c r="D27" s="71">
        <v>100000</v>
      </c>
    </row>
    <row r="28" spans="2:4" x14ac:dyDescent="0.2">
      <c r="B28" s="8" t="s">
        <v>71</v>
      </c>
      <c r="C28" s="9" t="s">
        <v>52</v>
      </c>
      <c r="D28" s="71">
        <f>(D20+D21+D22+D23+D24+D29)*0.27</f>
        <v>513000.00000000006</v>
      </c>
    </row>
    <row r="29" spans="2:4" x14ac:dyDescent="0.2">
      <c r="B29" s="8" t="s">
        <v>72</v>
      </c>
      <c r="C29" s="9" t="s">
        <v>53</v>
      </c>
      <c r="D29" s="71">
        <v>200000</v>
      </c>
    </row>
    <row r="30" spans="2:4" x14ac:dyDescent="0.2">
      <c r="B30" s="8" t="s">
        <v>73</v>
      </c>
      <c r="C30" s="9" t="s">
        <v>74</v>
      </c>
      <c r="D30" s="71">
        <v>250000</v>
      </c>
    </row>
    <row r="31" spans="2:4" ht="24" x14ac:dyDescent="0.2">
      <c r="B31" s="8" t="s">
        <v>75</v>
      </c>
      <c r="C31" s="9" t="s">
        <v>153</v>
      </c>
      <c r="D31" s="71">
        <v>3000000</v>
      </c>
    </row>
    <row r="32" spans="2:4" ht="18.75" customHeight="1" x14ac:dyDescent="0.2">
      <c r="B32" s="106" t="s">
        <v>151</v>
      </c>
      <c r="C32" s="123"/>
      <c r="D32" s="72">
        <f>SUM(D20:D31)</f>
        <v>8813000</v>
      </c>
    </row>
    <row r="33" spans="2:4" hidden="1" x14ac:dyDescent="0.2">
      <c r="B33" s="8" t="s">
        <v>76</v>
      </c>
      <c r="C33" s="9" t="s">
        <v>190</v>
      </c>
      <c r="D33" s="71">
        <v>0</v>
      </c>
    </row>
    <row r="34" spans="2:4" x14ac:dyDescent="0.2">
      <c r="B34" s="55" t="s">
        <v>77</v>
      </c>
      <c r="C34" s="56" t="s">
        <v>206</v>
      </c>
      <c r="D34" s="71">
        <v>4082677</v>
      </c>
    </row>
    <row r="35" spans="2:4" x14ac:dyDescent="0.2">
      <c r="B35" s="55" t="s">
        <v>78</v>
      </c>
      <c r="C35" s="56" t="s">
        <v>54</v>
      </c>
      <c r="D35" s="71">
        <f>(D33+D34)*0.27</f>
        <v>1102322.79</v>
      </c>
    </row>
    <row r="36" spans="2:4" ht="18" customHeight="1" x14ac:dyDescent="0.2">
      <c r="B36" s="106" t="s">
        <v>152</v>
      </c>
      <c r="C36" s="123"/>
      <c r="D36" s="20">
        <f>SUM(D33:D35)</f>
        <v>5184999.79</v>
      </c>
    </row>
    <row r="37" spans="2:4" ht="17.25" customHeight="1" x14ac:dyDescent="0.2">
      <c r="B37" s="84" t="s">
        <v>56</v>
      </c>
      <c r="C37" s="85"/>
      <c r="D37" s="11">
        <f>D19+D32+D36</f>
        <v>33114908.789999999</v>
      </c>
    </row>
    <row r="38" spans="2:4" x14ac:dyDescent="0.2">
      <c r="B38" s="21"/>
      <c r="C38" s="22"/>
      <c r="D38" s="23"/>
    </row>
    <row r="39" spans="2:4" x14ac:dyDescent="0.2">
      <c r="B39" s="21"/>
      <c r="C39" s="22"/>
      <c r="D39" s="23"/>
    </row>
    <row r="40" spans="2:4" ht="19.5" customHeight="1" x14ac:dyDescent="0.2">
      <c r="B40" s="117" t="s">
        <v>79</v>
      </c>
      <c r="C40" s="118"/>
      <c r="D40" s="118"/>
    </row>
    <row r="41" spans="2:4" ht="24" x14ac:dyDescent="0.2">
      <c r="B41" s="34" t="s">
        <v>0</v>
      </c>
      <c r="C41" s="37" t="s">
        <v>1</v>
      </c>
      <c r="D41" s="36" t="s">
        <v>2</v>
      </c>
    </row>
    <row r="42" spans="2:4" ht="18.75" customHeight="1" x14ac:dyDescent="0.2">
      <c r="B42" s="8" t="s">
        <v>59</v>
      </c>
      <c r="C42" s="9" t="s">
        <v>226</v>
      </c>
      <c r="D42" s="71">
        <v>100000</v>
      </c>
    </row>
    <row r="43" spans="2:4" x14ac:dyDescent="0.2">
      <c r="B43" s="84" t="s">
        <v>20</v>
      </c>
      <c r="C43" s="85"/>
      <c r="D43" s="11">
        <f>SUM(D41:D42)</f>
        <v>100000</v>
      </c>
    </row>
    <row r="44" spans="2:4" x14ac:dyDescent="0.2">
      <c r="B44" s="64" t="s">
        <v>188</v>
      </c>
      <c r="C44" s="9" t="s">
        <v>189</v>
      </c>
      <c r="D44" s="59">
        <v>300000</v>
      </c>
    </row>
    <row r="45" spans="2:4" x14ac:dyDescent="0.2">
      <c r="B45" s="17" t="s">
        <v>38</v>
      </c>
      <c r="C45" s="18" t="s">
        <v>39</v>
      </c>
      <c r="D45" s="60">
        <v>30000</v>
      </c>
    </row>
    <row r="46" spans="2:4" x14ac:dyDescent="0.2">
      <c r="B46" s="8" t="s">
        <v>42</v>
      </c>
      <c r="C46" s="9" t="s">
        <v>43</v>
      </c>
      <c r="D46" s="71">
        <v>100000</v>
      </c>
    </row>
    <row r="47" spans="2:4" x14ac:dyDescent="0.2">
      <c r="B47" s="8" t="s">
        <v>70</v>
      </c>
      <c r="C47" s="9" t="s">
        <v>46</v>
      </c>
      <c r="D47" s="71">
        <v>200000</v>
      </c>
    </row>
    <row r="48" spans="2:4" x14ac:dyDescent="0.2">
      <c r="B48" s="8" t="s">
        <v>71</v>
      </c>
      <c r="C48" s="9" t="s">
        <v>52</v>
      </c>
      <c r="D48" s="71">
        <f>(D44+D45+D46+D47)*0.27</f>
        <v>170100</v>
      </c>
    </row>
    <row r="49" spans="2:4" x14ac:dyDescent="0.2">
      <c r="B49" s="106" t="s">
        <v>148</v>
      </c>
      <c r="C49" s="113"/>
      <c r="D49" s="74">
        <f>SUM(D44:D48)</f>
        <v>800100</v>
      </c>
    </row>
    <row r="50" spans="2:4" x14ac:dyDescent="0.2">
      <c r="B50" s="8" t="s">
        <v>82</v>
      </c>
      <c r="C50" s="9" t="s">
        <v>192</v>
      </c>
      <c r="D50" s="59">
        <v>1500000</v>
      </c>
    </row>
    <row r="51" spans="2:4" x14ac:dyDescent="0.2">
      <c r="B51" s="12" t="s">
        <v>83</v>
      </c>
      <c r="C51" s="13" t="s">
        <v>55</v>
      </c>
      <c r="D51" s="59">
        <f>D50*0.27</f>
        <v>405000</v>
      </c>
    </row>
    <row r="52" spans="2:4" ht="15.75" customHeight="1" x14ac:dyDescent="0.2">
      <c r="B52" s="98" t="s">
        <v>220</v>
      </c>
      <c r="C52" s="98"/>
      <c r="D52" s="46">
        <f>SUM(D50:D51)</f>
        <v>1905000</v>
      </c>
    </row>
    <row r="53" spans="2:4" ht="18.75" customHeight="1" x14ac:dyDescent="0.2">
      <c r="B53" s="93" t="s">
        <v>56</v>
      </c>
      <c r="C53" s="93"/>
      <c r="D53" s="28">
        <f>D49+D52</f>
        <v>2705100</v>
      </c>
    </row>
    <row r="54" spans="2:4" ht="54" customHeight="1" x14ac:dyDescent="0.2">
      <c r="B54" s="21"/>
      <c r="C54" s="24"/>
      <c r="D54" s="25"/>
    </row>
    <row r="55" spans="2:4" ht="27.75" customHeight="1" x14ac:dyDescent="0.2">
      <c r="B55" s="86" t="s">
        <v>80</v>
      </c>
      <c r="C55" s="87"/>
      <c r="D55" s="87"/>
    </row>
    <row r="56" spans="2:4" ht="24" x14ac:dyDescent="0.2">
      <c r="B56" s="5" t="s">
        <v>0</v>
      </c>
      <c r="C56" s="6" t="s">
        <v>1</v>
      </c>
      <c r="D56" s="7" t="s">
        <v>2</v>
      </c>
    </row>
    <row r="57" spans="2:4" ht="36" hidden="1" x14ac:dyDescent="0.2">
      <c r="B57" s="8" t="s">
        <v>81</v>
      </c>
      <c r="C57" s="9" t="s">
        <v>8</v>
      </c>
      <c r="D57" s="10">
        <v>0</v>
      </c>
    </row>
    <row r="58" spans="2:4" x14ac:dyDescent="0.2">
      <c r="B58" s="8" t="s">
        <v>59</v>
      </c>
      <c r="C58" s="9" t="s">
        <v>154</v>
      </c>
      <c r="D58" s="71">
        <v>1600000</v>
      </c>
    </row>
    <row r="59" spans="2:4" x14ac:dyDescent="0.2">
      <c r="B59" s="84" t="s">
        <v>20</v>
      </c>
      <c r="C59" s="85"/>
      <c r="D59" s="11">
        <f>SUM(D57:D58)</f>
        <v>1600000</v>
      </c>
    </row>
    <row r="60" spans="2:4" x14ac:dyDescent="0.2">
      <c r="B60" s="64" t="s">
        <v>188</v>
      </c>
      <c r="C60" s="9" t="s">
        <v>189</v>
      </c>
      <c r="D60" s="71">
        <v>200000</v>
      </c>
    </row>
    <row r="61" spans="2:4" x14ac:dyDescent="0.2">
      <c r="B61" s="8" t="s">
        <v>38</v>
      </c>
      <c r="C61" s="9" t="s">
        <v>39</v>
      </c>
      <c r="D61" s="71">
        <v>500000</v>
      </c>
    </row>
    <row r="62" spans="2:4" x14ac:dyDescent="0.2">
      <c r="B62" s="8" t="s">
        <v>40</v>
      </c>
      <c r="C62" s="9" t="s">
        <v>41</v>
      </c>
      <c r="D62" s="71">
        <v>300000</v>
      </c>
    </row>
    <row r="63" spans="2:4" x14ac:dyDescent="0.2">
      <c r="B63" s="8" t="s">
        <v>42</v>
      </c>
      <c r="C63" s="9" t="s">
        <v>43</v>
      </c>
      <c r="D63" s="71">
        <v>250000</v>
      </c>
    </row>
    <row r="64" spans="2:4" x14ac:dyDescent="0.2">
      <c r="B64" s="8" t="s">
        <v>69</v>
      </c>
      <c r="C64" s="9" t="s">
        <v>45</v>
      </c>
      <c r="D64" s="71">
        <v>150000</v>
      </c>
    </row>
    <row r="65" spans="2:4" x14ac:dyDescent="0.2">
      <c r="B65" s="8" t="s">
        <v>70</v>
      </c>
      <c r="C65" s="9" t="s">
        <v>46</v>
      </c>
      <c r="D65" s="71">
        <v>1000000</v>
      </c>
    </row>
    <row r="66" spans="2:4" x14ac:dyDescent="0.2">
      <c r="B66" s="8" t="s">
        <v>47</v>
      </c>
      <c r="C66" s="9" t="s">
        <v>48</v>
      </c>
      <c r="D66" s="71">
        <v>800000</v>
      </c>
    </row>
    <row r="67" spans="2:4" x14ac:dyDescent="0.2">
      <c r="B67" s="8" t="s">
        <v>49</v>
      </c>
      <c r="C67" s="9" t="s">
        <v>50</v>
      </c>
      <c r="D67" s="71">
        <v>500000</v>
      </c>
    </row>
    <row r="68" spans="2:4" x14ac:dyDescent="0.2">
      <c r="B68" s="8" t="s">
        <v>71</v>
      </c>
      <c r="C68" s="9" t="s">
        <v>52</v>
      </c>
      <c r="D68" s="71">
        <f>(D60+D61+D62+D63+D64+D65+D67)*0.27</f>
        <v>783000</v>
      </c>
    </row>
    <row r="69" spans="2:4" x14ac:dyDescent="0.2">
      <c r="B69" s="106" t="s">
        <v>148</v>
      </c>
      <c r="C69" s="113"/>
      <c r="D69" s="72">
        <f>SUM(D60:D68)</f>
        <v>4483000</v>
      </c>
    </row>
    <row r="70" spans="2:4" x14ac:dyDescent="0.2">
      <c r="B70" s="64" t="s">
        <v>82</v>
      </c>
      <c r="C70" s="9" t="s">
        <v>207</v>
      </c>
      <c r="D70" s="71">
        <f>3000000/1.27</f>
        <v>2362204.7244094489</v>
      </c>
    </row>
    <row r="71" spans="2:4" x14ac:dyDescent="0.2">
      <c r="B71" s="8" t="s">
        <v>83</v>
      </c>
      <c r="C71" s="9" t="s">
        <v>55</v>
      </c>
      <c r="D71" s="10">
        <f>D70*0.27</f>
        <v>637795.2755905512</v>
      </c>
    </row>
    <row r="72" spans="2:4" x14ac:dyDescent="0.2">
      <c r="B72" s="98" t="s">
        <v>147</v>
      </c>
      <c r="C72" s="98"/>
      <c r="D72" s="20">
        <f>SUM(D70:D71)</f>
        <v>3000000</v>
      </c>
    </row>
    <row r="73" spans="2:4" ht="15" customHeight="1" x14ac:dyDescent="0.2">
      <c r="B73" s="96" t="s">
        <v>56</v>
      </c>
      <c r="C73" s="97"/>
      <c r="D73" s="11">
        <f>D69+D72</f>
        <v>7483000</v>
      </c>
    </row>
    <row r="74" spans="2:4" s="29" customFormat="1" x14ac:dyDescent="0.2">
      <c r="B74" s="30"/>
      <c r="C74" s="31"/>
      <c r="D74" s="32"/>
    </row>
    <row r="75" spans="2:4" s="29" customFormat="1" x14ac:dyDescent="0.2">
      <c r="B75" s="30"/>
      <c r="C75" s="62"/>
      <c r="D75" s="47"/>
    </row>
    <row r="76" spans="2:4" s="29" customFormat="1" ht="22.5" customHeight="1" x14ac:dyDescent="0.2">
      <c r="B76" s="117" t="s">
        <v>178</v>
      </c>
      <c r="C76" s="118"/>
      <c r="D76" s="118"/>
    </row>
    <row r="77" spans="2:4" s="29" customFormat="1" ht="24" x14ac:dyDescent="0.2">
      <c r="B77" s="34" t="s">
        <v>0</v>
      </c>
      <c r="C77" s="37" t="s">
        <v>1</v>
      </c>
      <c r="D77" s="36" t="s">
        <v>2</v>
      </c>
    </row>
    <row r="78" spans="2:4" s="29" customFormat="1" x14ac:dyDescent="0.2">
      <c r="B78" s="63" t="s">
        <v>66</v>
      </c>
      <c r="C78" s="15" t="s">
        <v>67</v>
      </c>
      <c r="D78" s="59">
        <v>100000</v>
      </c>
    </row>
    <row r="79" spans="2:4" s="29" customFormat="1" x14ac:dyDescent="0.2">
      <c r="B79" s="8" t="s">
        <v>71</v>
      </c>
      <c r="C79" s="9" t="s">
        <v>52</v>
      </c>
      <c r="D79" s="71">
        <f>D78*0.27</f>
        <v>27000</v>
      </c>
    </row>
    <row r="80" spans="2:4" s="29" customFormat="1" x14ac:dyDescent="0.2">
      <c r="B80" s="106" t="s">
        <v>148</v>
      </c>
      <c r="C80" s="113"/>
      <c r="D80" s="74">
        <f>SUM(D78:D79)</f>
        <v>127000</v>
      </c>
    </row>
    <row r="81" spans="2:8" s="29" customFormat="1" ht="24" x14ac:dyDescent="0.2">
      <c r="B81" s="8" t="s">
        <v>82</v>
      </c>
      <c r="C81" s="9" t="s">
        <v>193</v>
      </c>
      <c r="D81" s="59">
        <f>17244600/1.27</f>
        <v>13578425.196850393</v>
      </c>
    </row>
    <row r="82" spans="2:8" s="29" customFormat="1" x14ac:dyDescent="0.2">
      <c r="B82" s="12" t="s">
        <v>83</v>
      </c>
      <c r="C82" s="13" t="s">
        <v>55</v>
      </c>
      <c r="D82" s="59">
        <f>D81*0.27</f>
        <v>3666174.8031496066</v>
      </c>
    </row>
    <row r="83" spans="2:8" s="29" customFormat="1" x14ac:dyDescent="0.2">
      <c r="B83" s="98" t="s">
        <v>194</v>
      </c>
      <c r="C83" s="98"/>
      <c r="D83" s="46">
        <f>SUM(D81:D82)</f>
        <v>17244600</v>
      </c>
    </row>
    <row r="84" spans="2:8" s="29" customFormat="1" ht="24" x14ac:dyDescent="0.2">
      <c r="B84" s="8" t="s">
        <v>82</v>
      </c>
      <c r="C84" s="9" t="s">
        <v>195</v>
      </c>
      <c r="D84" s="59">
        <f>13275589/1.27</f>
        <v>10453219.685039369</v>
      </c>
    </row>
    <row r="85" spans="2:8" s="29" customFormat="1" x14ac:dyDescent="0.2">
      <c r="B85" s="12" t="s">
        <v>83</v>
      </c>
      <c r="C85" s="13" t="s">
        <v>55</v>
      </c>
      <c r="D85" s="59">
        <f>D84*0.27</f>
        <v>2822369.3149606301</v>
      </c>
    </row>
    <row r="86" spans="2:8" s="29" customFormat="1" ht="12.75" customHeight="1" x14ac:dyDescent="0.2">
      <c r="B86" s="98" t="s">
        <v>196</v>
      </c>
      <c r="C86" s="98"/>
      <c r="D86" s="46">
        <f>SUM(D84:D85)</f>
        <v>13275589</v>
      </c>
    </row>
    <row r="87" spans="2:8" s="29" customFormat="1" ht="17.25" customHeight="1" x14ac:dyDescent="0.2">
      <c r="B87" s="98" t="s">
        <v>197</v>
      </c>
      <c r="C87" s="98"/>
      <c r="D87" s="46">
        <f>D83+D86</f>
        <v>30520189</v>
      </c>
    </row>
    <row r="88" spans="2:8" s="29" customFormat="1" x14ac:dyDescent="0.2">
      <c r="B88" s="93" t="s">
        <v>56</v>
      </c>
      <c r="C88" s="93"/>
      <c r="D88" s="28">
        <f>D80+D87</f>
        <v>30647189</v>
      </c>
    </row>
    <row r="89" spans="2:8" s="29" customFormat="1" x14ac:dyDescent="0.2">
      <c r="B89" s="30"/>
      <c r="C89" s="62"/>
      <c r="D89" s="47"/>
    </row>
    <row r="90" spans="2:8" s="29" customFormat="1" ht="12.75" customHeight="1" x14ac:dyDescent="0.2">
      <c r="B90" s="30"/>
      <c r="C90" s="62"/>
      <c r="D90" s="47"/>
    </row>
    <row r="91" spans="2:8" s="29" customFormat="1" x14ac:dyDescent="0.2">
      <c r="B91" s="30"/>
      <c r="C91" s="62"/>
      <c r="D91" s="47"/>
    </row>
    <row r="92" spans="2:8" s="33" customFormat="1" ht="12.75" customHeight="1" x14ac:dyDescent="0.2">
      <c r="B92" s="95" t="s">
        <v>84</v>
      </c>
      <c r="C92" s="95"/>
      <c r="D92" s="95"/>
      <c r="E92" s="29"/>
      <c r="F92" s="29"/>
      <c r="G92" s="29"/>
      <c r="H92" s="29"/>
    </row>
    <row r="93" spans="2:8" ht="24" x14ac:dyDescent="0.2">
      <c r="B93" s="34" t="s">
        <v>0</v>
      </c>
      <c r="C93" s="37" t="s">
        <v>1</v>
      </c>
      <c r="D93" s="36" t="s">
        <v>2</v>
      </c>
    </row>
    <row r="94" spans="2:8" x14ac:dyDescent="0.2">
      <c r="B94" s="8" t="s">
        <v>85</v>
      </c>
      <c r="C94" s="9" t="s">
        <v>13</v>
      </c>
      <c r="D94" s="71">
        <v>1500000</v>
      </c>
    </row>
    <row r="95" spans="2:8" x14ac:dyDescent="0.2">
      <c r="B95" s="8" t="s">
        <v>59</v>
      </c>
      <c r="C95" s="9" t="s">
        <v>14</v>
      </c>
      <c r="D95" s="71">
        <v>500000</v>
      </c>
    </row>
    <row r="96" spans="2:8" x14ac:dyDescent="0.2">
      <c r="B96" s="8" t="s">
        <v>60</v>
      </c>
      <c r="C96" s="9" t="s">
        <v>16</v>
      </c>
      <c r="D96" s="71">
        <f>D94*0.27</f>
        <v>405000</v>
      </c>
    </row>
    <row r="97" spans="2:4" x14ac:dyDescent="0.2">
      <c r="B97" s="8" t="s">
        <v>86</v>
      </c>
      <c r="C97" s="9" t="s">
        <v>87</v>
      </c>
      <c r="D97" s="71">
        <v>500000</v>
      </c>
    </row>
    <row r="98" spans="2:4" x14ac:dyDescent="0.2">
      <c r="B98" s="84" t="s">
        <v>20</v>
      </c>
      <c r="C98" s="85"/>
      <c r="D98" s="11">
        <f>SUM(D94:D97)</f>
        <v>2905000</v>
      </c>
    </row>
    <row r="99" spans="2:4" x14ac:dyDescent="0.2">
      <c r="B99" s="8" t="s">
        <v>32</v>
      </c>
      <c r="C99" s="9" t="s">
        <v>33</v>
      </c>
      <c r="D99" s="71">
        <v>1000000</v>
      </c>
    </row>
    <row r="100" spans="2:4" x14ac:dyDescent="0.2">
      <c r="B100" s="8" t="s">
        <v>66</v>
      </c>
      <c r="C100" s="9" t="s">
        <v>67</v>
      </c>
      <c r="D100" s="71">
        <v>150000</v>
      </c>
    </row>
    <row r="101" spans="2:4" x14ac:dyDescent="0.2">
      <c r="B101" s="8" t="s">
        <v>34</v>
      </c>
      <c r="C101" s="9" t="s">
        <v>35</v>
      </c>
      <c r="D101" s="71">
        <v>400000</v>
      </c>
    </row>
    <row r="102" spans="2:4" x14ac:dyDescent="0.2">
      <c r="B102" s="8" t="s">
        <v>38</v>
      </c>
      <c r="C102" s="9" t="s">
        <v>39</v>
      </c>
      <c r="D102" s="71">
        <v>150000</v>
      </c>
    </row>
    <row r="103" spans="2:4" x14ac:dyDescent="0.2">
      <c r="B103" s="8" t="s">
        <v>49</v>
      </c>
      <c r="C103" s="9" t="s">
        <v>50</v>
      </c>
      <c r="D103" s="71">
        <v>1000000</v>
      </c>
    </row>
    <row r="104" spans="2:4" x14ac:dyDescent="0.2">
      <c r="B104" s="8" t="s">
        <v>88</v>
      </c>
      <c r="C104" s="9" t="s">
        <v>51</v>
      </c>
      <c r="D104" s="71">
        <v>20000</v>
      </c>
    </row>
    <row r="105" spans="2:4" x14ac:dyDescent="0.2">
      <c r="B105" s="8" t="s">
        <v>71</v>
      </c>
      <c r="C105" s="9" t="s">
        <v>52</v>
      </c>
      <c r="D105" s="71">
        <f>(D99+D100+D101+D102+D103+D104)*0.27</f>
        <v>734400</v>
      </c>
    </row>
    <row r="106" spans="2:4" x14ac:dyDescent="0.2">
      <c r="B106" s="8" t="s">
        <v>73</v>
      </c>
      <c r="C106" s="9" t="s">
        <v>74</v>
      </c>
      <c r="D106" s="71">
        <v>150000</v>
      </c>
    </row>
    <row r="107" spans="2:4" ht="18" customHeight="1" x14ac:dyDescent="0.2">
      <c r="B107" s="84" t="s">
        <v>56</v>
      </c>
      <c r="C107" s="85"/>
      <c r="D107" s="11">
        <f>SUM(D99:D106)</f>
        <v>3604400</v>
      </c>
    </row>
    <row r="108" spans="2:4" s="29" customFormat="1" x14ac:dyDescent="0.2">
      <c r="B108" s="38"/>
      <c r="C108" s="39"/>
      <c r="D108" s="32"/>
    </row>
    <row r="109" spans="2:4" s="29" customFormat="1" x14ac:dyDescent="0.2">
      <c r="B109" s="30"/>
      <c r="C109" s="62"/>
      <c r="D109" s="47"/>
    </row>
    <row r="110" spans="2:4" s="29" customFormat="1" x14ac:dyDescent="0.2">
      <c r="B110" s="30"/>
      <c r="C110" s="62"/>
      <c r="D110" s="47"/>
    </row>
    <row r="111" spans="2:4" s="29" customFormat="1" x14ac:dyDescent="0.2">
      <c r="B111" s="30"/>
      <c r="C111" s="62"/>
      <c r="D111" s="47"/>
    </row>
    <row r="112" spans="2:4" s="29" customFormat="1" x14ac:dyDescent="0.2">
      <c r="B112" s="30"/>
      <c r="C112" s="62"/>
      <c r="D112" s="47"/>
    </row>
    <row r="113" spans="2:4" s="33" customFormat="1" ht="12.75" customHeight="1" x14ac:dyDescent="0.2">
      <c r="B113" s="95" t="s">
        <v>89</v>
      </c>
      <c r="C113" s="95"/>
      <c r="D113" s="95"/>
    </row>
    <row r="114" spans="2:4" ht="24" x14ac:dyDescent="0.2">
      <c r="B114" s="34" t="s">
        <v>0</v>
      </c>
      <c r="C114" s="37" t="s">
        <v>1</v>
      </c>
      <c r="D114" s="36" t="s">
        <v>2</v>
      </c>
    </row>
    <row r="115" spans="2:4" x14ac:dyDescent="0.2">
      <c r="B115" s="14" t="s">
        <v>90</v>
      </c>
      <c r="C115" s="15" t="s">
        <v>3</v>
      </c>
      <c r="D115" s="59">
        <f>SUM(D116:D117)</f>
        <v>114730882</v>
      </c>
    </row>
    <row r="116" spans="2:4" x14ac:dyDescent="0.2">
      <c r="B116" s="14"/>
      <c r="C116" s="42" t="s">
        <v>142</v>
      </c>
      <c r="D116" s="75">
        <v>61738400</v>
      </c>
    </row>
    <row r="117" spans="2:4" x14ac:dyDescent="0.2">
      <c r="B117" s="40"/>
      <c r="C117" s="41" t="s">
        <v>143</v>
      </c>
      <c r="D117" s="76">
        <f>10949860+6000000+15300+17600+35424522+585200</f>
        <v>52992482</v>
      </c>
    </row>
    <row r="118" spans="2:4" x14ac:dyDescent="0.2">
      <c r="B118" s="8" t="s">
        <v>91</v>
      </c>
      <c r="C118" s="9" t="s">
        <v>4</v>
      </c>
      <c r="D118" s="71">
        <v>45891634</v>
      </c>
    </row>
    <row r="119" spans="2:4" ht="24" x14ac:dyDescent="0.2">
      <c r="B119" s="8" t="s">
        <v>92</v>
      </c>
      <c r="C119" s="9" t="s">
        <v>5</v>
      </c>
      <c r="D119" s="71">
        <f>SUM(D120:D124)</f>
        <v>48153204</v>
      </c>
    </row>
    <row r="120" spans="2:4" x14ac:dyDescent="0.2">
      <c r="B120" s="26"/>
      <c r="C120" s="27" t="s">
        <v>157</v>
      </c>
      <c r="D120" s="77">
        <v>9492000</v>
      </c>
    </row>
    <row r="121" spans="2:4" x14ac:dyDescent="0.2">
      <c r="B121" s="26"/>
      <c r="C121" s="27" t="s">
        <v>156</v>
      </c>
      <c r="D121" s="77">
        <f>5100000+100000+12012000</f>
        <v>17212000</v>
      </c>
    </row>
    <row r="122" spans="2:4" x14ac:dyDescent="0.2">
      <c r="B122" s="26"/>
      <c r="C122" s="27" t="s">
        <v>155</v>
      </c>
      <c r="D122" s="77">
        <v>1384000</v>
      </c>
    </row>
    <row r="123" spans="2:4" x14ac:dyDescent="0.2">
      <c r="B123" s="26"/>
      <c r="C123" s="27" t="s">
        <v>144</v>
      </c>
      <c r="D123" s="77">
        <v>19518004</v>
      </c>
    </row>
    <row r="124" spans="2:4" x14ac:dyDescent="0.2">
      <c r="B124" s="26"/>
      <c r="C124" s="27" t="s">
        <v>172</v>
      </c>
      <c r="D124" s="77">
        <v>547200</v>
      </c>
    </row>
    <row r="125" spans="2:4" x14ac:dyDescent="0.2">
      <c r="B125" s="8" t="s">
        <v>93</v>
      </c>
      <c r="C125" s="9" t="s">
        <v>6</v>
      </c>
      <c r="D125" s="71">
        <v>1800000</v>
      </c>
    </row>
    <row r="126" spans="2:4" x14ac:dyDescent="0.2">
      <c r="B126" s="8" t="s">
        <v>94</v>
      </c>
      <c r="C126" s="9" t="s">
        <v>7</v>
      </c>
      <c r="D126" s="71">
        <v>0</v>
      </c>
    </row>
    <row r="127" spans="2:4" x14ac:dyDescent="0.2">
      <c r="B127" s="55" t="s">
        <v>99</v>
      </c>
      <c r="C127" s="56" t="s">
        <v>100</v>
      </c>
      <c r="D127" s="71">
        <v>0</v>
      </c>
    </row>
    <row r="128" spans="2:4" x14ac:dyDescent="0.2">
      <c r="B128" s="84" t="s">
        <v>20</v>
      </c>
      <c r="C128" s="85"/>
      <c r="D128" s="11">
        <f>D115+D118+D119+D125+D126+D127</f>
        <v>210575720</v>
      </c>
    </row>
    <row r="129" spans="2:9" x14ac:dyDescent="0.2">
      <c r="B129" s="43"/>
      <c r="C129" s="44"/>
      <c r="D129" s="45"/>
    </row>
    <row r="130" spans="2:9" s="33" customFormat="1" ht="12.75" customHeight="1" x14ac:dyDescent="0.2">
      <c r="B130" s="95" t="s">
        <v>101</v>
      </c>
      <c r="C130" s="95"/>
      <c r="D130" s="95"/>
    </row>
    <row r="131" spans="2:9" ht="24" x14ac:dyDescent="0.2">
      <c r="B131" s="34" t="s">
        <v>0</v>
      </c>
      <c r="C131" s="37" t="s">
        <v>1</v>
      </c>
      <c r="D131" s="36" t="s">
        <v>2</v>
      </c>
    </row>
    <row r="132" spans="2:9" ht="24" x14ac:dyDescent="0.2">
      <c r="B132" s="8" t="s">
        <v>58</v>
      </c>
      <c r="C132" s="9" t="s">
        <v>198</v>
      </c>
      <c r="D132" s="71">
        <v>13035809</v>
      </c>
    </row>
    <row r="133" spans="2:9" x14ac:dyDescent="0.2">
      <c r="B133" s="8" t="s">
        <v>102</v>
      </c>
      <c r="C133" s="9" t="s">
        <v>19</v>
      </c>
      <c r="D133" s="71">
        <v>0</v>
      </c>
    </row>
    <row r="134" spans="2:9" x14ac:dyDescent="0.2">
      <c r="B134" s="99" t="s">
        <v>20</v>
      </c>
      <c r="C134" s="92"/>
      <c r="D134" s="11">
        <f>SUM(D132:D133)</f>
        <v>13035809</v>
      </c>
    </row>
    <row r="135" spans="2:9" ht="24" x14ac:dyDescent="0.2">
      <c r="B135" s="8" t="s">
        <v>103</v>
      </c>
      <c r="C135" s="9" t="s">
        <v>158</v>
      </c>
      <c r="D135" s="71">
        <f>51342033+21532451+18257790+254710+1271480</f>
        <v>92658464</v>
      </c>
    </row>
    <row r="136" spans="2:9" x14ac:dyDescent="0.2">
      <c r="B136" s="8" t="s">
        <v>104</v>
      </c>
      <c r="C136" s="9" t="s">
        <v>159</v>
      </c>
      <c r="D136" s="71">
        <f>61738400+17176564+1787286</f>
        <v>80702250</v>
      </c>
    </row>
    <row r="137" spans="2:9" ht="17.25" customHeight="1" x14ac:dyDescent="0.2">
      <c r="B137" s="84" t="s">
        <v>56</v>
      </c>
      <c r="C137" s="85"/>
      <c r="D137" s="11">
        <f>SUM(D135:D136)</f>
        <v>173360714</v>
      </c>
    </row>
    <row r="138" spans="2:9" x14ac:dyDescent="0.2">
      <c r="B138" s="43"/>
      <c r="C138" s="44"/>
      <c r="D138" s="45"/>
    </row>
    <row r="139" spans="2:9" s="33" customFormat="1" ht="12.75" customHeight="1" x14ac:dyDescent="0.2">
      <c r="B139" s="95" t="s">
        <v>105</v>
      </c>
      <c r="C139" s="95"/>
      <c r="D139" s="95"/>
      <c r="E139"/>
      <c r="F139"/>
      <c r="G139"/>
      <c r="H139"/>
      <c r="I139"/>
    </row>
    <row r="140" spans="2:9" ht="24" x14ac:dyDescent="0.2">
      <c r="B140" s="34" t="s">
        <v>0</v>
      </c>
      <c r="C140" s="35" t="s">
        <v>1</v>
      </c>
      <c r="D140" s="36" t="s">
        <v>2</v>
      </c>
    </row>
    <row r="141" spans="2:9" ht="12.75" customHeight="1" x14ac:dyDescent="0.2">
      <c r="B141" s="119" t="s">
        <v>199</v>
      </c>
      <c r="C141" s="120"/>
      <c r="D141" s="121"/>
    </row>
    <row r="142" spans="2:9" ht="24" x14ac:dyDescent="0.2">
      <c r="B142" s="14" t="s">
        <v>106</v>
      </c>
      <c r="C142" s="15" t="s">
        <v>107</v>
      </c>
      <c r="D142" s="59">
        <f>D148</f>
        <v>5390064</v>
      </c>
    </row>
    <row r="143" spans="2:9" x14ac:dyDescent="0.2">
      <c r="B143" s="93" t="s">
        <v>20</v>
      </c>
      <c r="C143" s="94"/>
      <c r="D143" s="28">
        <f>SUM(D142)</f>
        <v>5390064</v>
      </c>
    </row>
    <row r="144" spans="2:9" x14ac:dyDescent="0.2">
      <c r="B144" s="14" t="s">
        <v>108</v>
      </c>
      <c r="C144" s="15" t="s">
        <v>109</v>
      </c>
      <c r="D144" s="59">
        <f>1756954+3098140</f>
        <v>4855094</v>
      </c>
    </row>
    <row r="145" spans="2:4" x14ac:dyDescent="0.2">
      <c r="B145" s="8" t="s">
        <v>64</v>
      </c>
      <c r="C145" s="9" t="s">
        <v>183</v>
      </c>
      <c r="D145" s="71">
        <v>29647</v>
      </c>
    </row>
    <row r="146" spans="2:4" x14ac:dyDescent="0.2">
      <c r="B146" s="14" t="s">
        <v>26</v>
      </c>
      <c r="C146" s="15" t="s">
        <v>27</v>
      </c>
      <c r="D146" s="59">
        <f>196539+302062</f>
        <v>498601</v>
      </c>
    </row>
    <row r="147" spans="2:4" x14ac:dyDescent="0.2">
      <c r="B147" s="63" t="s">
        <v>181</v>
      </c>
      <c r="C147" s="15" t="s">
        <v>182</v>
      </c>
      <c r="D147" s="59">
        <v>6722</v>
      </c>
    </row>
    <row r="148" spans="2:4" x14ac:dyDescent="0.2">
      <c r="B148" s="93" t="s">
        <v>56</v>
      </c>
      <c r="C148" s="94"/>
      <c r="D148" s="28">
        <f>SUM(D144:D147)</f>
        <v>5390064</v>
      </c>
    </row>
    <row r="149" spans="2:4" x14ac:dyDescent="0.2">
      <c r="B149" s="21"/>
      <c r="C149" s="22"/>
      <c r="D149" s="25"/>
    </row>
    <row r="150" spans="2:4" s="33" customFormat="1" ht="12.75" customHeight="1" x14ac:dyDescent="0.2">
      <c r="B150" s="95" t="s">
        <v>212</v>
      </c>
      <c r="C150" s="95"/>
      <c r="D150" s="95"/>
    </row>
    <row r="151" spans="2:4" ht="24" x14ac:dyDescent="0.2">
      <c r="B151" s="34" t="s">
        <v>0</v>
      </c>
      <c r="C151" s="37" t="s">
        <v>1</v>
      </c>
      <c r="D151" s="36" t="s">
        <v>2</v>
      </c>
    </row>
    <row r="152" spans="2:4" ht="25.5" x14ac:dyDescent="0.2">
      <c r="B152" s="63" t="s">
        <v>213</v>
      </c>
      <c r="C152" s="73" t="s">
        <v>214</v>
      </c>
      <c r="D152" s="16">
        <v>213791742</v>
      </c>
    </row>
    <row r="153" spans="2:4" x14ac:dyDescent="0.2">
      <c r="B153" s="93" t="s">
        <v>20</v>
      </c>
      <c r="C153" s="94"/>
      <c r="D153" s="28">
        <f>SUM(D152)</f>
        <v>213791742</v>
      </c>
    </row>
    <row r="154" spans="2:4" x14ac:dyDescent="0.2">
      <c r="B154" s="63" t="s">
        <v>215</v>
      </c>
      <c r="C154" s="15" t="s">
        <v>216</v>
      </c>
      <c r="D154" s="16">
        <f>D152/1.27</f>
        <v>168339954.33070865</v>
      </c>
    </row>
    <row r="155" spans="2:4" x14ac:dyDescent="0.2">
      <c r="B155" s="63" t="s">
        <v>218</v>
      </c>
      <c r="C155" s="73" t="s">
        <v>217</v>
      </c>
      <c r="D155" s="16">
        <f>D154*0.27</f>
        <v>45451787.66929134</v>
      </c>
    </row>
    <row r="156" spans="2:4" x14ac:dyDescent="0.2">
      <c r="B156" s="88" t="s">
        <v>219</v>
      </c>
      <c r="C156" s="88"/>
      <c r="D156" s="46">
        <f>SUM(D154:D155)</f>
        <v>213791742</v>
      </c>
    </row>
    <row r="157" spans="2:4" x14ac:dyDescent="0.2">
      <c r="B157" s="91" t="s">
        <v>56</v>
      </c>
      <c r="C157" s="92"/>
      <c r="D157" s="11">
        <f>SUM(D156)</f>
        <v>213791742</v>
      </c>
    </row>
    <row r="158" spans="2:4" s="29" customFormat="1" x14ac:dyDescent="0.2">
      <c r="B158" s="30"/>
      <c r="C158" s="31"/>
      <c r="D158" s="47"/>
    </row>
    <row r="159" spans="2:4" s="29" customFormat="1" x14ac:dyDescent="0.2">
      <c r="B159" s="30"/>
      <c r="C159" s="67"/>
      <c r="D159" s="47"/>
    </row>
    <row r="160" spans="2:4" ht="12.75" customHeight="1" x14ac:dyDescent="0.2">
      <c r="B160" s="86" t="s">
        <v>110</v>
      </c>
      <c r="C160" s="86"/>
      <c r="D160" s="86"/>
    </row>
    <row r="161" spans="2:4" ht="24" x14ac:dyDescent="0.2">
      <c r="B161" s="5" t="s">
        <v>0</v>
      </c>
      <c r="C161" s="6" t="s">
        <v>1</v>
      </c>
      <c r="D161" s="7" t="s">
        <v>2</v>
      </c>
    </row>
    <row r="162" spans="2:4" x14ac:dyDescent="0.2">
      <c r="B162" s="8" t="s">
        <v>49</v>
      </c>
      <c r="C162" s="9" t="s">
        <v>50</v>
      </c>
      <c r="D162" s="71">
        <v>750000</v>
      </c>
    </row>
    <row r="163" spans="2:4" x14ac:dyDescent="0.2">
      <c r="B163" s="8" t="s">
        <v>71</v>
      </c>
      <c r="C163" s="9" t="s">
        <v>52</v>
      </c>
      <c r="D163" s="71">
        <f>D162*0.27</f>
        <v>202500</v>
      </c>
    </row>
    <row r="164" spans="2:4" x14ac:dyDescent="0.2">
      <c r="B164" s="99" t="s">
        <v>56</v>
      </c>
      <c r="C164" s="92"/>
      <c r="D164" s="11">
        <f>SUM(D162:D163)</f>
        <v>952500</v>
      </c>
    </row>
    <row r="165" spans="2:4" s="29" customFormat="1" x14ac:dyDescent="0.2">
      <c r="B165" s="38"/>
      <c r="C165" s="39"/>
      <c r="D165" s="32"/>
    </row>
    <row r="166" spans="2:4" s="33" customFormat="1" ht="17.25" customHeight="1" x14ac:dyDescent="0.2">
      <c r="B166" s="95" t="s">
        <v>111</v>
      </c>
      <c r="C166" s="95"/>
      <c r="D166" s="95"/>
    </row>
    <row r="167" spans="2:4" ht="21" x14ac:dyDescent="0.2">
      <c r="B167" s="78" t="s">
        <v>0</v>
      </c>
      <c r="C167" s="79" t="s">
        <v>1</v>
      </c>
      <c r="D167" s="80" t="s">
        <v>2</v>
      </c>
    </row>
    <row r="168" spans="2:4" x14ac:dyDescent="0.2">
      <c r="B168" s="17" t="s">
        <v>59</v>
      </c>
      <c r="C168" s="18" t="s">
        <v>14</v>
      </c>
      <c r="D168" s="19">
        <v>1500000</v>
      </c>
    </row>
    <row r="169" spans="2:4" x14ac:dyDescent="0.2">
      <c r="B169" s="8" t="s">
        <v>60</v>
      </c>
      <c r="C169" s="9" t="s">
        <v>16</v>
      </c>
      <c r="D169" s="10">
        <f>D168*0.27</f>
        <v>405000</v>
      </c>
    </row>
    <row r="170" spans="2:4" x14ac:dyDescent="0.2">
      <c r="B170" s="99" t="s">
        <v>20</v>
      </c>
      <c r="C170" s="92"/>
      <c r="D170" s="11">
        <f>SUM(D168:D169)</f>
        <v>1905000</v>
      </c>
    </row>
    <row r="171" spans="2:4" x14ac:dyDescent="0.2">
      <c r="B171" s="8" t="s">
        <v>62</v>
      </c>
      <c r="C171" s="9" t="s">
        <v>160</v>
      </c>
      <c r="D171" s="71">
        <v>2014875</v>
      </c>
    </row>
    <row r="172" spans="2:4" x14ac:dyDescent="0.2">
      <c r="B172" s="8" t="s">
        <v>22</v>
      </c>
      <c r="C172" s="9" t="s">
        <v>171</v>
      </c>
      <c r="D172" s="71">
        <v>90000</v>
      </c>
    </row>
    <row r="173" spans="2:4" hidden="1" x14ac:dyDescent="0.2">
      <c r="B173" s="8" t="s">
        <v>63</v>
      </c>
      <c r="C173" s="9" t="s">
        <v>23</v>
      </c>
      <c r="D173" s="71">
        <v>0</v>
      </c>
    </row>
    <row r="174" spans="2:4" x14ac:dyDescent="0.2">
      <c r="B174" s="8" t="s">
        <v>26</v>
      </c>
      <c r="C174" s="9" t="s">
        <v>27</v>
      </c>
      <c r="D174" s="71">
        <f>30965+365454+30798</f>
        <v>427217</v>
      </c>
    </row>
    <row r="175" spans="2:4" hidden="1" x14ac:dyDescent="0.2">
      <c r="B175" s="8" t="s">
        <v>28</v>
      </c>
      <c r="C175" s="9" t="s">
        <v>29</v>
      </c>
      <c r="D175" s="71">
        <v>0</v>
      </c>
    </row>
    <row r="176" spans="2:4" hidden="1" x14ac:dyDescent="0.2">
      <c r="B176" s="8" t="s">
        <v>30</v>
      </c>
      <c r="C176" s="9" t="s">
        <v>31</v>
      </c>
      <c r="D176" s="71">
        <v>0</v>
      </c>
    </row>
    <row r="177" spans="2:4" x14ac:dyDescent="0.2">
      <c r="B177" s="88" t="s">
        <v>150</v>
      </c>
      <c r="C177" s="88"/>
      <c r="D177" s="72">
        <f>SUM(D171:D176)</f>
        <v>2532092</v>
      </c>
    </row>
    <row r="178" spans="2:4" x14ac:dyDescent="0.2">
      <c r="B178" s="8" t="s">
        <v>66</v>
      </c>
      <c r="C178" s="9" t="s">
        <v>67</v>
      </c>
      <c r="D178" s="71">
        <v>800000</v>
      </c>
    </row>
    <row r="179" spans="2:4" x14ac:dyDescent="0.2">
      <c r="B179" s="8" t="s">
        <v>34</v>
      </c>
      <c r="C179" s="9" t="s">
        <v>35</v>
      </c>
      <c r="D179" s="71">
        <v>400000</v>
      </c>
    </row>
    <row r="180" spans="2:4" x14ac:dyDescent="0.2">
      <c r="B180" s="8" t="s">
        <v>38</v>
      </c>
      <c r="C180" s="9" t="s">
        <v>39</v>
      </c>
      <c r="D180" s="71">
        <v>25000</v>
      </c>
    </row>
    <row r="181" spans="2:4" x14ac:dyDescent="0.2">
      <c r="B181" s="8" t="s">
        <v>70</v>
      </c>
      <c r="C181" s="9" t="s">
        <v>46</v>
      </c>
      <c r="D181" s="71">
        <v>300000</v>
      </c>
    </row>
    <row r="182" spans="2:4" x14ac:dyDescent="0.2">
      <c r="B182" s="8" t="s">
        <v>47</v>
      </c>
      <c r="C182" s="9" t="s">
        <v>48</v>
      </c>
      <c r="D182" s="71">
        <v>100000</v>
      </c>
    </row>
    <row r="183" spans="2:4" x14ac:dyDescent="0.2">
      <c r="B183" s="8" t="s">
        <v>49</v>
      </c>
      <c r="C183" s="9" t="s">
        <v>50</v>
      </c>
      <c r="D183" s="71">
        <v>800000</v>
      </c>
    </row>
    <row r="184" spans="2:4" x14ac:dyDescent="0.2">
      <c r="B184" s="8" t="s">
        <v>71</v>
      </c>
      <c r="C184" s="9" t="s">
        <v>52</v>
      </c>
      <c r="D184" s="71">
        <f>(D178+D179+D180+D181+D183)*0.27</f>
        <v>627750</v>
      </c>
    </row>
    <row r="185" spans="2:4" x14ac:dyDescent="0.2">
      <c r="B185" s="89" t="s">
        <v>148</v>
      </c>
      <c r="C185" s="90"/>
      <c r="D185" s="72">
        <f>SUM(D178:D184)</f>
        <v>3052750</v>
      </c>
    </row>
    <row r="186" spans="2:4" x14ac:dyDescent="0.2">
      <c r="B186" s="99" t="s">
        <v>56</v>
      </c>
      <c r="C186" s="92"/>
      <c r="D186" s="11">
        <f>D177+D185</f>
        <v>5584842</v>
      </c>
    </row>
    <row r="187" spans="2:4" s="29" customFormat="1" ht="9" customHeight="1" x14ac:dyDescent="0.2">
      <c r="B187" s="30"/>
      <c r="C187" s="31"/>
      <c r="D187" s="47"/>
    </row>
    <row r="188" spans="2:4" ht="12.75" customHeight="1" x14ac:dyDescent="0.2">
      <c r="B188" s="86" t="s">
        <v>112</v>
      </c>
      <c r="C188" s="86"/>
      <c r="D188" s="86"/>
    </row>
    <row r="189" spans="2:4" ht="21" x14ac:dyDescent="0.2">
      <c r="B189" s="81" t="s">
        <v>0</v>
      </c>
      <c r="C189" s="82" t="s">
        <v>1</v>
      </c>
      <c r="D189" s="83" t="s">
        <v>2</v>
      </c>
    </row>
    <row r="190" spans="2:4" ht="21.75" customHeight="1" x14ac:dyDescent="0.2">
      <c r="B190" s="8" t="s">
        <v>113</v>
      </c>
      <c r="C190" s="9" t="s">
        <v>114</v>
      </c>
      <c r="D190" s="10">
        <v>0</v>
      </c>
    </row>
    <row r="191" spans="2:4" x14ac:dyDescent="0.2">
      <c r="B191" s="8" t="s">
        <v>60</v>
      </c>
      <c r="C191" s="9" t="s">
        <v>16</v>
      </c>
      <c r="D191" s="10">
        <v>0</v>
      </c>
    </row>
    <row r="192" spans="2:4" x14ac:dyDescent="0.2">
      <c r="B192" s="99" t="s">
        <v>20</v>
      </c>
      <c r="C192" s="92"/>
      <c r="D192" s="11">
        <f>SUM(D190:D191)</f>
        <v>0</v>
      </c>
    </row>
    <row r="193" spans="2:4" x14ac:dyDescent="0.2">
      <c r="B193" s="8" t="s">
        <v>42</v>
      </c>
      <c r="C193" s="9" t="s">
        <v>43</v>
      </c>
      <c r="D193" s="71">
        <v>75000</v>
      </c>
    </row>
    <row r="194" spans="2:4" x14ac:dyDescent="0.2">
      <c r="B194" s="8" t="s">
        <v>70</v>
      </c>
      <c r="C194" s="9" t="s">
        <v>46</v>
      </c>
      <c r="D194" s="71">
        <v>200000</v>
      </c>
    </row>
    <row r="195" spans="2:4" x14ac:dyDescent="0.2">
      <c r="B195" s="8" t="s">
        <v>71</v>
      </c>
      <c r="C195" s="9" t="s">
        <v>52</v>
      </c>
      <c r="D195" s="71">
        <f>(D193+D194)*0.27</f>
        <v>74250</v>
      </c>
    </row>
    <row r="196" spans="2:4" ht="15.75" customHeight="1" x14ac:dyDescent="0.2">
      <c r="B196" s="99" t="s">
        <v>56</v>
      </c>
      <c r="C196" s="92"/>
      <c r="D196" s="11">
        <f>SUM(D193:D195)</f>
        <v>349250</v>
      </c>
    </row>
    <row r="197" spans="2:4" s="29" customFormat="1" ht="5.25" customHeight="1" x14ac:dyDescent="0.2">
      <c r="B197" s="30"/>
      <c r="C197" s="31"/>
      <c r="D197" s="47"/>
    </row>
    <row r="198" spans="2:4" ht="12.75" customHeight="1" x14ac:dyDescent="0.2">
      <c r="B198" s="95" t="s">
        <v>115</v>
      </c>
      <c r="C198" s="95"/>
      <c r="D198" s="95"/>
    </row>
    <row r="199" spans="2:4" ht="21" x14ac:dyDescent="0.2">
      <c r="B199" s="78" t="s">
        <v>0</v>
      </c>
      <c r="C199" s="79" t="s">
        <v>1</v>
      </c>
      <c r="D199" s="80" t="s">
        <v>2</v>
      </c>
    </row>
    <row r="200" spans="2:4" x14ac:dyDescent="0.2">
      <c r="B200" s="14" t="s">
        <v>38</v>
      </c>
      <c r="C200" s="15" t="s">
        <v>39</v>
      </c>
      <c r="D200" s="59">
        <v>900000</v>
      </c>
    </row>
    <row r="201" spans="2:4" x14ac:dyDescent="0.2">
      <c r="B201" s="14" t="s">
        <v>69</v>
      </c>
      <c r="C201" s="15" t="s">
        <v>45</v>
      </c>
      <c r="D201" s="59">
        <v>1198000</v>
      </c>
    </row>
    <row r="202" spans="2:4" x14ac:dyDescent="0.2">
      <c r="B202" s="14" t="s">
        <v>70</v>
      </c>
      <c r="C202" s="15" t="s">
        <v>46</v>
      </c>
      <c r="D202" s="59">
        <v>277000</v>
      </c>
    </row>
    <row r="203" spans="2:4" x14ac:dyDescent="0.2">
      <c r="B203" s="14" t="s">
        <v>71</v>
      </c>
      <c r="C203" s="15" t="s">
        <v>52</v>
      </c>
      <c r="D203" s="59">
        <f>(D200+D201+D202)*0.27</f>
        <v>641250</v>
      </c>
    </row>
    <row r="204" spans="2:4" x14ac:dyDescent="0.2">
      <c r="B204" s="93" t="s">
        <v>56</v>
      </c>
      <c r="C204" s="94"/>
      <c r="D204" s="28">
        <f>SUM(D200:D203)</f>
        <v>3016250</v>
      </c>
    </row>
    <row r="205" spans="2:4" s="29" customFormat="1" x14ac:dyDescent="0.2">
      <c r="B205" s="30"/>
      <c r="C205" s="31"/>
      <c r="D205" s="47"/>
    </row>
    <row r="206" spans="2:4" s="1" customFormat="1" ht="12.75" customHeight="1" x14ac:dyDescent="0.2">
      <c r="B206" s="86" t="s">
        <v>116</v>
      </c>
      <c r="C206" s="86"/>
      <c r="D206" s="86"/>
    </row>
    <row r="207" spans="2:4" ht="24" x14ac:dyDescent="0.2">
      <c r="B207" s="5" t="s">
        <v>0</v>
      </c>
      <c r="C207" s="6" t="s">
        <v>1</v>
      </c>
      <c r="D207" s="7" t="s">
        <v>2</v>
      </c>
    </row>
    <row r="208" spans="2:4" ht="24" x14ac:dyDescent="0.2">
      <c r="B208" s="8" t="s">
        <v>106</v>
      </c>
      <c r="C208" s="9" t="s">
        <v>161</v>
      </c>
      <c r="D208" s="71">
        <f>270000*4</f>
        <v>1080000</v>
      </c>
    </row>
    <row r="209" spans="2:4" x14ac:dyDescent="0.2">
      <c r="B209" s="99" t="s">
        <v>20</v>
      </c>
      <c r="C209" s="92"/>
      <c r="D209" s="11">
        <f>SUM(D208:D208)</f>
        <v>1080000</v>
      </c>
    </row>
    <row r="210" spans="2:4" x14ac:dyDescent="0.2">
      <c r="B210" s="8" t="s">
        <v>21</v>
      </c>
      <c r="C210" s="9" t="s">
        <v>179</v>
      </c>
      <c r="D210" s="71">
        <f>2146500</f>
        <v>2146500</v>
      </c>
    </row>
    <row r="211" spans="2:4" x14ac:dyDescent="0.2">
      <c r="B211" s="8" t="s">
        <v>62</v>
      </c>
      <c r="C211" s="9" t="s">
        <v>205</v>
      </c>
      <c r="D211" s="71">
        <f>1865500+2146500+2468250+2311500</f>
        <v>8791750</v>
      </c>
    </row>
    <row r="212" spans="2:4" x14ac:dyDescent="0.2">
      <c r="B212" s="8" t="s">
        <v>22</v>
      </c>
      <c r="C212" s="9" t="s">
        <v>171</v>
      </c>
      <c r="D212" s="71">
        <f>120000*5</f>
        <v>600000</v>
      </c>
    </row>
    <row r="213" spans="2:4" hidden="1" x14ac:dyDescent="0.2">
      <c r="B213" s="8" t="s">
        <v>63</v>
      </c>
      <c r="C213" s="9" t="s">
        <v>23</v>
      </c>
      <c r="D213" s="71">
        <v>0</v>
      </c>
    </row>
    <row r="214" spans="2:4" hidden="1" x14ac:dyDescent="0.2">
      <c r="B214" s="8" t="s">
        <v>64</v>
      </c>
      <c r="C214" s="9" t="s">
        <v>24</v>
      </c>
      <c r="D214" s="71">
        <v>0</v>
      </c>
    </row>
    <row r="215" spans="2:4" x14ac:dyDescent="0.2">
      <c r="B215" s="8" t="s">
        <v>26</v>
      </c>
      <c r="C215" s="9" t="s">
        <v>27</v>
      </c>
      <c r="D215" s="71">
        <f>176385+338910+387173+387173+444015+419348</f>
        <v>2153004</v>
      </c>
    </row>
    <row r="216" spans="2:4" x14ac:dyDescent="0.2">
      <c r="B216" s="8" t="s">
        <v>28</v>
      </c>
      <c r="C216" s="9" t="s">
        <v>29</v>
      </c>
      <c r="D216" s="71">
        <f>D212*1.18*0.14</f>
        <v>99120.000000000015</v>
      </c>
    </row>
    <row r="217" spans="2:4" x14ac:dyDescent="0.2">
      <c r="B217" s="8" t="s">
        <v>30</v>
      </c>
      <c r="C217" s="9" t="s">
        <v>31</v>
      </c>
      <c r="D217" s="71">
        <f>D212*1.18*0.15</f>
        <v>106200</v>
      </c>
    </row>
    <row r="218" spans="2:4" x14ac:dyDescent="0.2">
      <c r="B218" s="88" t="s">
        <v>150</v>
      </c>
      <c r="C218" s="88"/>
      <c r="D218" s="72">
        <f>SUM(D210:D217)</f>
        <v>13896574</v>
      </c>
    </row>
    <row r="219" spans="2:4" x14ac:dyDescent="0.2">
      <c r="B219" s="64" t="s">
        <v>188</v>
      </c>
      <c r="C219" s="9" t="s">
        <v>221</v>
      </c>
      <c r="D219" s="71">
        <v>4600000</v>
      </c>
    </row>
    <row r="220" spans="2:4" x14ac:dyDescent="0.2">
      <c r="B220" s="8" t="s">
        <v>36</v>
      </c>
      <c r="C220" s="9" t="s">
        <v>37</v>
      </c>
      <c r="D220" s="71">
        <v>95000</v>
      </c>
    </row>
    <row r="221" spans="2:4" x14ac:dyDescent="0.2">
      <c r="B221" s="8" t="s">
        <v>38</v>
      </c>
      <c r="C221" s="9" t="s">
        <v>39</v>
      </c>
      <c r="D221" s="71">
        <v>100000</v>
      </c>
    </row>
    <row r="222" spans="2:4" hidden="1" x14ac:dyDescent="0.2">
      <c r="B222" s="8" t="s">
        <v>40</v>
      </c>
      <c r="C222" s="9" t="s">
        <v>41</v>
      </c>
      <c r="D222" s="71">
        <v>0</v>
      </c>
    </row>
    <row r="223" spans="2:4" x14ac:dyDescent="0.2">
      <c r="B223" s="8" t="s">
        <v>70</v>
      </c>
      <c r="C223" s="9" t="s">
        <v>46</v>
      </c>
      <c r="D223" s="71">
        <v>1000000</v>
      </c>
    </row>
    <row r="224" spans="2:4" x14ac:dyDescent="0.2">
      <c r="B224" s="8" t="s">
        <v>47</v>
      </c>
      <c r="C224" s="9" t="s">
        <v>48</v>
      </c>
      <c r="D224" s="71">
        <v>300000</v>
      </c>
    </row>
    <row r="225" spans="2:4" x14ac:dyDescent="0.2">
      <c r="B225" s="8" t="s">
        <v>49</v>
      </c>
      <c r="C225" s="9" t="s">
        <v>50</v>
      </c>
      <c r="D225" s="71">
        <v>650000</v>
      </c>
    </row>
    <row r="226" spans="2:4" x14ac:dyDescent="0.2">
      <c r="B226" s="8" t="s">
        <v>71</v>
      </c>
      <c r="C226" s="9" t="s">
        <v>52</v>
      </c>
      <c r="D226" s="71">
        <f>(D219+D220+D221+D222+D223+D225)*0.27</f>
        <v>1740150</v>
      </c>
    </row>
    <row r="227" spans="2:4" x14ac:dyDescent="0.2">
      <c r="B227" s="8" t="s">
        <v>72</v>
      </c>
      <c r="C227" s="9" t="s">
        <v>53</v>
      </c>
      <c r="D227" s="71">
        <v>100000</v>
      </c>
    </row>
    <row r="228" spans="2:4" x14ac:dyDescent="0.2">
      <c r="B228" s="89" t="s">
        <v>148</v>
      </c>
      <c r="C228" s="90"/>
      <c r="D228" s="72">
        <f>SUM(D219:D227)</f>
        <v>8585150</v>
      </c>
    </row>
    <row r="229" spans="2:4" x14ac:dyDescent="0.2">
      <c r="B229" s="99" t="s">
        <v>56</v>
      </c>
      <c r="C229" s="92"/>
      <c r="D229" s="11">
        <f>D218+D228</f>
        <v>22481724</v>
      </c>
    </row>
    <row r="230" spans="2:4" s="29" customFormat="1" x14ac:dyDescent="0.2">
      <c r="B230" s="30"/>
      <c r="C230" s="31"/>
      <c r="D230" s="47"/>
    </row>
    <row r="231" spans="2:4" s="29" customFormat="1" x14ac:dyDescent="0.2">
      <c r="B231" s="1"/>
      <c r="C231" s="1"/>
      <c r="D231" s="1"/>
    </row>
    <row r="232" spans="2:4" s="29" customFormat="1" ht="12.75" customHeight="1" x14ac:dyDescent="0.2">
      <c r="B232" s="86" t="s">
        <v>117</v>
      </c>
      <c r="C232" s="86"/>
      <c r="D232" s="86"/>
    </row>
    <row r="233" spans="2:4" s="29" customFormat="1" ht="24" x14ac:dyDescent="0.2">
      <c r="B233" s="5" t="s">
        <v>0</v>
      </c>
      <c r="C233" s="6" t="s">
        <v>1</v>
      </c>
      <c r="D233" s="7" t="s">
        <v>2</v>
      </c>
    </row>
    <row r="234" spans="2:4" s="29" customFormat="1" x14ac:dyDescent="0.2">
      <c r="B234" s="8" t="s">
        <v>38</v>
      </c>
      <c r="C234" s="9" t="s">
        <v>39</v>
      </c>
      <c r="D234" s="71">
        <v>75000</v>
      </c>
    </row>
    <row r="235" spans="2:4" s="29" customFormat="1" x14ac:dyDescent="0.2">
      <c r="B235" s="8" t="s">
        <v>70</v>
      </c>
      <c r="C235" s="9" t="s">
        <v>46</v>
      </c>
      <c r="D235" s="71">
        <v>250000</v>
      </c>
    </row>
    <row r="236" spans="2:4" s="29" customFormat="1" x14ac:dyDescent="0.2">
      <c r="B236" s="8" t="s">
        <v>71</v>
      </c>
      <c r="C236" s="9" t="s">
        <v>52</v>
      </c>
      <c r="D236" s="71">
        <v>81000</v>
      </c>
    </row>
    <row r="237" spans="2:4" s="29" customFormat="1" x14ac:dyDescent="0.2">
      <c r="B237" s="89" t="s">
        <v>148</v>
      </c>
      <c r="C237" s="90"/>
      <c r="D237" s="20">
        <f>SUM(D234:D236)</f>
        <v>406000</v>
      </c>
    </row>
    <row r="238" spans="2:4" s="29" customFormat="1" x14ac:dyDescent="0.2">
      <c r="B238" s="99" t="s">
        <v>56</v>
      </c>
      <c r="C238" s="92"/>
      <c r="D238" s="11">
        <f>D237</f>
        <v>406000</v>
      </c>
    </row>
    <row r="239" spans="2:4" s="29" customFormat="1" x14ac:dyDescent="0.2">
      <c r="B239" s="30"/>
      <c r="C239" s="53"/>
      <c r="D239" s="47"/>
    </row>
    <row r="240" spans="2:4" s="29" customFormat="1" x14ac:dyDescent="0.2">
      <c r="B240" s="30"/>
      <c r="C240" s="53"/>
      <c r="D240" s="47"/>
    </row>
    <row r="241" spans="2:4" ht="12.75" customHeight="1" x14ac:dyDescent="0.2">
      <c r="B241" s="86" t="s">
        <v>124</v>
      </c>
      <c r="C241" s="86"/>
      <c r="D241" s="86"/>
    </row>
    <row r="242" spans="2:4" ht="24" x14ac:dyDescent="0.2">
      <c r="B242" s="5" t="s">
        <v>0</v>
      </c>
      <c r="C242" s="6" t="s">
        <v>1</v>
      </c>
      <c r="D242" s="7" t="s">
        <v>2</v>
      </c>
    </row>
    <row r="243" spans="2:4" x14ac:dyDescent="0.2">
      <c r="B243" s="8" t="s">
        <v>66</v>
      </c>
      <c r="C243" s="9" t="s">
        <v>67</v>
      </c>
      <c r="D243" s="71">
        <v>40000</v>
      </c>
    </row>
    <row r="244" spans="2:4" x14ac:dyDescent="0.2">
      <c r="B244" s="8" t="s">
        <v>49</v>
      </c>
      <c r="C244" s="9" t="s">
        <v>50</v>
      </c>
      <c r="D244" s="71">
        <v>800000</v>
      </c>
    </row>
    <row r="245" spans="2:4" x14ac:dyDescent="0.2">
      <c r="B245" s="8" t="s">
        <v>71</v>
      </c>
      <c r="C245" s="9" t="s">
        <v>52</v>
      </c>
      <c r="D245" s="71">
        <f>(D243+D244)*0.27</f>
        <v>226800.00000000003</v>
      </c>
    </row>
    <row r="246" spans="2:4" x14ac:dyDescent="0.2">
      <c r="B246" s="99" t="s">
        <v>56</v>
      </c>
      <c r="C246" s="92"/>
      <c r="D246" s="11">
        <f>SUM(D243:D245)</f>
        <v>1066800</v>
      </c>
    </row>
    <row r="248" spans="2:4" ht="12.75" customHeight="1" x14ac:dyDescent="0.2">
      <c r="B248" s="95" t="s">
        <v>118</v>
      </c>
      <c r="C248" s="95"/>
      <c r="D248" s="95"/>
    </row>
    <row r="249" spans="2:4" ht="24" x14ac:dyDescent="0.2">
      <c r="B249" s="34" t="s">
        <v>0</v>
      </c>
      <c r="C249" s="37" t="s">
        <v>1</v>
      </c>
      <c r="D249" s="36" t="s">
        <v>2</v>
      </c>
    </row>
    <row r="250" spans="2:4" ht="12.75" customHeight="1" x14ac:dyDescent="0.2">
      <c r="B250" s="110" t="s">
        <v>146</v>
      </c>
      <c r="C250" s="111"/>
      <c r="D250" s="112"/>
    </row>
    <row r="251" spans="2:4" x14ac:dyDescent="0.2">
      <c r="B251" s="14" t="s">
        <v>59</v>
      </c>
      <c r="C251" s="15" t="s">
        <v>14</v>
      </c>
      <c r="D251" s="59">
        <v>150000</v>
      </c>
    </row>
    <row r="252" spans="2:4" x14ac:dyDescent="0.2">
      <c r="B252" s="108" t="s">
        <v>20</v>
      </c>
      <c r="C252" s="109"/>
      <c r="D252" s="52">
        <f>SUM(D251:D251)</f>
        <v>150000</v>
      </c>
    </row>
    <row r="253" spans="2:4" x14ac:dyDescent="0.2">
      <c r="B253" s="8" t="s">
        <v>64</v>
      </c>
      <c r="C253" s="9" t="s">
        <v>200</v>
      </c>
      <c r="D253" s="71">
        <f>56180*2</f>
        <v>112360</v>
      </c>
    </row>
    <row r="254" spans="2:4" x14ac:dyDescent="0.2">
      <c r="B254" s="8" t="s">
        <v>26</v>
      </c>
      <c r="C254" s="9" t="s">
        <v>27</v>
      </c>
      <c r="D254" s="71">
        <f>9860*2</f>
        <v>19720</v>
      </c>
    </row>
    <row r="255" spans="2:4" x14ac:dyDescent="0.2">
      <c r="B255" s="100" t="s">
        <v>150</v>
      </c>
      <c r="C255" s="101"/>
      <c r="D255" s="20">
        <f>SUM(D253:D254)</f>
        <v>132080</v>
      </c>
    </row>
    <row r="256" spans="2:4" x14ac:dyDescent="0.2">
      <c r="B256" s="8" t="s">
        <v>34</v>
      </c>
      <c r="C256" s="9" t="s">
        <v>35</v>
      </c>
      <c r="D256" s="71">
        <v>100000</v>
      </c>
    </row>
    <row r="257" spans="2:5" x14ac:dyDescent="0.2">
      <c r="B257" s="8" t="s">
        <v>36</v>
      </c>
      <c r="C257" s="9" t="s">
        <v>37</v>
      </c>
      <c r="D257" s="71">
        <v>60000</v>
      </c>
    </row>
    <row r="258" spans="2:5" ht="15" customHeight="1" x14ac:dyDescent="0.2">
      <c r="B258" s="64" t="s">
        <v>222</v>
      </c>
      <c r="C258" s="9" t="s">
        <v>223</v>
      </c>
      <c r="D258" s="71">
        <v>350000</v>
      </c>
    </row>
    <row r="259" spans="2:5" x14ac:dyDescent="0.2">
      <c r="B259" s="8" t="s">
        <v>70</v>
      </c>
      <c r="C259" s="9" t="s">
        <v>46</v>
      </c>
      <c r="D259" s="71">
        <v>100000</v>
      </c>
    </row>
    <row r="260" spans="2:5" x14ac:dyDescent="0.2">
      <c r="B260" s="8" t="s">
        <v>71</v>
      </c>
      <c r="C260" s="9" t="s">
        <v>52</v>
      </c>
      <c r="D260" s="71">
        <f>(D256+D258+D257+D259)*0.27</f>
        <v>164700</v>
      </c>
    </row>
    <row r="261" spans="2:5" x14ac:dyDescent="0.2">
      <c r="B261" s="106" t="s">
        <v>148</v>
      </c>
      <c r="C261" s="113"/>
      <c r="D261" s="20">
        <f>SUM(D256:D260)</f>
        <v>774700</v>
      </c>
    </row>
    <row r="262" spans="2:5" x14ac:dyDescent="0.2">
      <c r="B262" s="99" t="s">
        <v>56</v>
      </c>
      <c r="C262" s="92"/>
      <c r="D262" s="11">
        <f>D255+D261</f>
        <v>906780</v>
      </c>
    </row>
    <row r="263" spans="2:5" s="29" customFormat="1" x14ac:dyDescent="0.2">
      <c r="B263" s="30"/>
      <c r="C263" s="31"/>
      <c r="D263" s="47"/>
    </row>
    <row r="264" spans="2:5" ht="12.75" customHeight="1" x14ac:dyDescent="0.2">
      <c r="B264" s="95" t="s">
        <v>119</v>
      </c>
      <c r="C264" s="95"/>
      <c r="D264" s="95"/>
    </row>
    <row r="265" spans="2:5" ht="24" x14ac:dyDescent="0.2">
      <c r="B265" s="34" t="s">
        <v>0</v>
      </c>
      <c r="C265" s="37" t="s">
        <v>1</v>
      </c>
      <c r="D265" s="36" t="s">
        <v>2</v>
      </c>
    </row>
    <row r="266" spans="2:5" x14ac:dyDescent="0.2">
      <c r="B266" s="110" t="s">
        <v>162</v>
      </c>
      <c r="C266" s="111"/>
      <c r="D266" s="112"/>
    </row>
    <row r="267" spans="2:5" x14ac:dyDescent="0.2">
      <c r="B267" s="14" t="s">
        <v>59</v>
      </c>
      <c r="C267" s="15" t="s">
        <v>14</v>
      </c>
      <c r="D267" s="59">
        <v>3500000</v>
      </c>
    </row>
    <row r="268" spans="2:5" x14ac:dyDescent="0.2">
      <c r="B268" s="96" t="s">
        <v>20</v>
      </c>
      <c r="C268" s="116"/>
      <c r="D268" s="11">
        <f>SUM(D267:D267)</f>
        <v>3500000</v>
      </c>
    </row>
    <row r="269" spans="2:5" x14ac:dyDescent="0.2">
      <c r="B269" s="8" t="s">
        <v>21</v>
      </c>
      <c r="C269" s="9" t="s">
        <v>163</v>
      </c>
      <c r="D269" s="71">
        <f>(280000*11)+238700</f>
        <v>3318700</v>
      </c>
    </row>
    <row r="270" spans="2:5" x14ac:dyDescent="0.2">
      <c r="B270" s="8" t="s">
        <v>62</v>
      </c>
      <c r="C270" s="9" t="s">
        <v>164</v>
      </c>
      <c r="D270" s="71">
        <f>1865500</f>
        <v>1865500</v>
      </c>
    </row>
    <row r="271" spans="2:5" x14ac:dyDescent="0.2">
      <c r="B271" s="8" t="s">
        <v>22</v>
      </c>
      <c r="C271" s="9" t="s">
        <v>171</v>
      </c>
      <c r="D271" s="10">
        <f>2*120000</f>
        <v>240000</v>
      </c>
    </row>
    <row r="272" spans="2:5" x14ac:dyDescent="0.2">
      <c r="B272" s="64" t="s">
        <v>184</v>
      </c>
      <c r="C272" s="9" t="s">
        <v>208</v>
      </c>
      <c r="D272" s="71">
        <f>9580*12</f>
        <v>114960</v>
      </c>
      <c r="E272" s="65"/>
    </row>
    <row r="273" spans="2:4" x14ac:dyDescent="0.2">
      <c r="B273" s="8" t="s">
        <v>64</v>
      </c>
      <c r="C273" s="9" t="s">
        <v>173</v>
      </c>
      <c r="D273" s="71">
        <v>1300</v>
      </c>
    </row>
    <row r="274" spans="2:4" x14ac:dyDescent="0.2">
      <c r="B274" s="8" t="s">
        <v>26</v>
      </c>
      <c r="C274" s="9" t="s">
        <v>27</v>
      </c>
      <c r="D274" s="71">
        <f>80850+338910+600600</f>
        <v>1020360</v>
      </c>
    </row>
    <row r="275" spans="2:4" x14ac:dyDescent="0.2">
      <c r="B275" s="8" t="s">
        <v>28</v>
      </c>
      <c r="C275" s="9" t="s">
        <v>29</v>
      </c>
      <c r="D275" s="71">
        <f>D271*1.18*0.014</f>
        <v>3964.8</v>
      </c>
    </row>
    <row r="276" spans="2:4" x14ac:dyDescent="0.2">
      <c r="B276" s="8" t="s">
        <v>30</v>
      </c>
      <c r="C276" s="9" t="s">
        <v>31</v>
      </c>
      <c r="D276" s="71">
        <f>D271*1.18*0.015</f>
        <v>4248</v>
      </c>
    </row>
    <row r="277" spans="2:4" x14ac:dyDescent="0.2">
      <c r="B277" s="100" t="s">
        <v>150</v>
      </c>
      <c r="C277" s="101"/>
      <c r="D277" s="72">
        <f>SUM(D269:D276)</f>
        <v>6569032.7999999998</v>
      </c>
    </row>
    <row r="278" spans="2:4" x14ac:dyDescent="0.2">
      <c r="B278" s="64" t="s">
        <v>188</v>
      </c>
      <c r="C278" s="9" t="s">
        <v>221</v>
      </c>
      <c r="D278" s="71">
        <v>530000</v>
      </c>
    </row>
    <row r="279" spans="2:4" x14ac:dyDescent="0.2">
      <c r="B279" s="8" t="s">
        <v>120</v>
      </c>
      <c r="C279" s="9" t="s">
        <v>121</v>
      </c>
      <c r="D279" s="71">
        <v>120000</v>
      </c>
    </row>
    <row r="280" spans="2:4" x14ac:dyDescent="0.2">
      <c r="B280" s="8" t="s">
        <v>36</v>
      </c>
      <c r="C280" s="9" t="s">
        <v>37</v>
      </c>
      <c r="D280" s="71">
        <v>100000</v>
      </c>
    </row>
    <row r="281" spans="2:4" x14ac:dyDescent="0.2">
      <c r="B281" s="8" t="s">
        <v>122</v>
      </c>
      <c r="C281" s="9" t="s">
        <v>123</v>
      </c>
      <c r="D281" s="71">
        <v>20000</v>
      </c>
    </row>
    <row r="282" spans="2:4" x14ac:dyDescent="0.2">
      <c r="B282" s="64" t="s">
        <v>222</v>
      </c>
      <c r="C282" s="9" t="s">
        <v>223</v>
      </c>
      <c r="D282" s="71">
        <v>1350000</v>
      </c>
    </row>
    <row r="283" spans="2:4" x14ac:dyDescent="0.2">
      <c r="B283" s="8" t="s">
        <v>70</v>
      </c>
      <c r="C283" s="9" t="s">
        <v>46</v>
      </c>
      <c r="D283" s="71">
        <v>550000</v>
      </c>
    </row>
    <row r="284" spans="2:4" x14ac:dyDescent="0.2">
      <c r="B284" s="64" t="s">
        <v>224</v>
      </c>
      <c r="C284" s="9" t="s">
        <v>225</v>
      </c>
      <c r="D284" s="71">
        <v>670000</v>
      </c>
    </row>
    <row r="285" spans="2:4" x14ac:dyDescent="0.2">
      <c r="B285" s="8" t="s">
        <v>71</v>
      </c>
      <c r="C285" s="9" t="s">
        <v>52</v>
      </c>
      <c r="D285" s="71">
        <f>(D278+D279+D280+D281+D282+D283+D284)*0.27</f>
        <v>901800.00000000012</v>
      </c>
    </row>
    <row r="286" spans="2:4" x14ac:dyDescent="0.2">
      <c r="B286" s="114" t="s">
        <v>148</v>
      </c>
      <c r="C286" s="115"/>
      <c r="D286" s="74">
        <f>SUM(D278:D285)</f>
        <v>4241800</v>
      </c>
    </row>
    <row r="287" spans="2:4" ht="18" customHeight="1" x14ac:dyDescent="0.2">
      <c r="B287" s="102" t="s">
        <v>145</v>
      </c>
      <c r="C287" s="94"/>
      <c r="D287" s="28">
        <f>D277+D286</f>
        <v>10810832.800000001</v>
      </c>
    </row>
    <row r="288" spans="2:4" s="57" customFormat="1" x14ac:dyDescent="0.2">
      <c r="B288" s="30"/>
      <c r="C288" s="53"/>
      <c r="D288" s="47"/>
    </row>
    <row r="289" spans="2:4" s="57" customFormat="1" x14ac:dyDescent="0.2">
      <c r="B289" s="30"/>
      <c r="C289" s="53"/>
      <c r="D289" s="47"/>
    </row>
    <row r="290" spans="2:4" s="57" customFormat="1" x14ac:dyDescent="0.2">
      <c r="B290" s="30"/>
      <c r="C290" s="53"/>
      <c r="D290" s="47"/>
    </row>
    <row r="291" spans="2:4" s="29" customFormat="1" ht="12.75" customHeight="1" x14ac:dyDescent="0.2">
      <c r="B291" s="86" t="s">
        <v>174</v>
      </c>
      <c r="C291" s="86"/>
      <c r="D291" s="86"/>
    </row>
    <row r="292" spans="2:4" s="29" customFormat="1" ht="24" x14ac:dyDescent="0.2">
      <c r="B292" s="5" t="s">
        <v>0</v>
      </c>
      <c r="C292" s="6" t="s">
        <v>1</v>
      </c>
      <c r="D292" s="7" t="s">
        <v>2</v>
      </c>
    </row>
    <row r="293" spans="2:4" s="29" customFormat="1" x14ac:dyDescent="0.2">
      <c r="B293" s="8" t="s">
        <v>68</v>
      </c>
      <c r="C293" s="9" t="s">
        <v>44</v>
      </c>
      <c r="D293" s="71">
        <f>547200/1.27</f>
        <v>430866.14173228346</v>
      </c>
    </row>
    <row r="294" spans="2:4" s="29" customFormat="1" x14ac:dyDescent="0.2">
      <c r="B294" s="12" t="s">
        <v>71</v>
      </c>
      <c r="C294" s="13" t="s">
        <v>52</v>
      </c>
      <c r="D294" s="58">
        <f>D293*0.27</f>
        <v>116333.85826771654</v>
      </c>
    </row>
    <row r="295" spans="2:4" s="29" customFormat="1" x14ac:dyDescent="0.2">
      <c r="B295" s="98" t="s">
        <v>165</v>
      </c>
      <c r="C295" s="98"/>
      <c r="D295" s="46">
        <f>SUM(D293:D294)</f>
        <v>547200</v>
      </c>
    </row>
    <row r="296" spans="2:4" s="29" customFormat="1" x14ac:dyDescent="0.2">
      <c r="B296" s="93" t="s">
        <v>56</v>
      </c>
      <c r="C296" s="93"/>
      <c r="D296" s="28">
        <f>SUM(D295,D292)</f>
        <v>547200</v>
      </c>
    </row>
    <row r="297" spans="2:4" s="57" customFormat="1" x14ac:dyDescent="0.2">
      <c r="B297" s="30"/>
      <c r="C297" s="30"/>
      <c r="D297" s="47"/>
    </row>
    <row r="298" spans="2:4" ht="12.75" customHeight="1" x14ac:dyDescent="0.2">
      <c r="B298" s="86" t="s">
        <v>126</v>
      </c>
      <c r="C298" s="86"/>
      <c r="D298" s="86"/>
    </row>
    <row r="299" spans="2:4" ht="24" x14ac:dyDescent="0.2">
      <c r="B299" s="5" t="s">
        <v>0</v>
      </c>
      <c r="C299" s="6" t="s">
        <v>1</v>
      </c>
      <c r="D299" s="7" t="s">
        <v>2</v>
      </c>
    </row>
    <row r="300" spans="2:4" x14ac:dyDescent="0.2">
      <c r="B300" s="8" t="s">
        <v>125</v>
      </c>
      <c r="C300" s="9" t="s">
        <v>15</v>
      </c>
      <c r="D300" s="71">
        <v>2109000</v>
      </c>
    </row>
    <row r="301" spans="2:4" x14ac:dyDescent="0.2">
      <c r="B301" s="8" t="s">
        <v>60</v>
      </c>
      <c r="C301" s="9" t="s">
        <v>16</v>
      </c>
      <c r="D301" s="71">
        <f>D300*0.27</f>
        <v>569430</v>
      </c>
    </row>
    <row r="302" spans="2:4" x14ac:dyDescent="0.2">
      <c r="B302" s="99" t="s">
        <v>20</v>
      </c>
      <c r="C302" s="105"/>
      <c r="D302" s="11">
        <f>D300+D301</f>
        <v>2678430</v>
      </c>
    </row>
    <row r="303" spans="2:4" hidden="1" x14ac:dyDescent="0.2">
      <c r="B303" s="8" t="s">
        <v>21</v>
      </c>
      <c r="C303" s="9" t="s">
        <v>201</v>
      </c>
      <c r="D303" s="71">
        <v>0</v>
      </c>
    </row>
    <row r="304" spans="2:4" hidden="1" x14ac:dyDescent="0.2">
      <c r="B304" s="8" t="s">
        <v>26</v>
      </c>
      <c r="C304" s="9" t="s">
        <v>27</v>
      </c>
      <c r="D304" s="71">
        <v>0</v>
      </c>
    </row>
    <row r="305" spans="2:4" hidden="1" x14ac:dyDescent="0.2">
      <c r="B305" s="106" t="s">
        <v>150</v>
      </c>
      <c r="C305" s="107"/>
      <c r="D305" s="72">
        <f>SUM(D303:D304)</f>
        <v>0</v>
      </c>
    </row>
    <row r="306" spans="2:4" x14ac:dyDescent="0.2">
      <c r="B306" s="8" t="s">
        <v>68</v>
      </c>
      <c r="C306" s="9" t="s">
        <v>44</v>
      </c>
      <c r="D306" s="71">
        <v>3200000</v>
      </c>
    </row>
    <row r="307" spans="2:4" x14ac:dyDescent="0.2">
      <c r="B307" s="8" t="s">
        <v>49</v>
      </c>
      <c r="C307" s="9" t="s">
        <v>50</v>
      </c>
      <c r="D307" s="71">
        <v>50000</v>
      </c>
    </row>
    <row r="308" spans="2:4" x14ac:dyDescent="0.2">
      <c r="B308" s="8" t="s">
        <v>71</v>
      </c>
      <c r="C308" s="9" t="s">
        <v>52</v>
      </c>
      <c r="D308" s="71">
        <f>(D306+D307)*0.27</f>
        <v>877500</v>
      </c>
    </row>
    <row r="309" spans="2:4" x14ac:dyDescent="0.2">
      <c r="B309" s="103" t="s">
        <v>165</v>
      </c>
      <c r="C309" s="104"/>
      <c r="D309" s="72">
        <f>SUM(D306:D308)</f>
        <v>4127500</v>
      </c>
    </row>
    <row r="310" spans="2:4" x14ac:dyDescent="0.2">
      <c r="B310" s="99" t="s">
        <v>56</v>
      </c>
      <c r="C310" s="92"/>
      <c r="D310" s="11">
        <f>SUM(D309,D305)</f>
        <v>4127500</v>
      </c>
    </row>
    <row r="311" spans="2:4" x14ac:dyDescent="0.2">
      <c r="B311" s="54"/>
    </row>
    <row r="312" spans="2:4" s="29" customFormat="1" ht="12.75" hidden="1" customHeight="1" x14ac:dyDescent="0.2">
      <c r="B312" s="86" t="s">
        <v>175</v>
      </c>
      <c r="C312" s="86"/>
      <c r="D312" s="86"/>
    </row>
    <row r="313" spans="2:4" s="29" customFormat="1" ht="24" hidden="1" x14ac:dyDescent="0.2">
      <c r="B313" s="5" t="s">
        <v>0</v>
      </c>
      <c r="C313" s="6" t="s">
        <v>1</v>
      </c>
      <c r="D313" s="7" t="s">
        <v>2</v>
      </c>
    </row>
    <row r="314" spans="2:4" s="29" customFormat="1" hidden="1" x14ac:dyDescent="0.2">
      <c r="B314" s="8" t="s">
        <v>176</v>
      </c>
      <c r="C314" s="9" t="s">
        <v>177</v>
      </c>
      <c r="D314" s="10">
        <v>0</v>
      </c>
    </row>
    <row r="315" spans="2:4" s="29" customFormat="1" hidden="1" x14ac:dyDescent="0.2">
      <c r="B315" s="99" t="s">
        <v>20</v>
      </c>
      <c r="C315" s="105"/>
      <c r="D315" s="11">
        <f>SUM(D314)</f>
        <v>0</v>
      </c>
    </row>
    <row r="316" spans="2:4" s="29" customFormat="1" hidden="1" x14ac:dyDescent="0.2">
      <c r="B316" s="8" t="s">
        <v>68</v>
      </c>
      <c r="C316" s="9" t="s">
        <v>44</v>
      </c>
      <c r="D316" s="10">
        <v>0</v>
      </c>
    </row>
    <row r="317" spans="2:4" s="29" customFormat="1" hidden="1" x14ac:dyDescent="0.2">
      <c r="B317" s="8" t="s">
        <v>49</v>
      </c>
      <c r="C317" s="9" t="s">
        <v>50</v>
      </c>
      <c r="D317" s="10">
        <v>0</v>
      </c>
    </row>
    <row r="318" spans="2:4" s="29" customFormat="1" hidden="1" x14ac:dyDescent="0.2">
      <c r="B318" s="8" t="s">
        <v>71</v>
      </c>
      <c r="C318" s="9" t="s">
        <v>52</v>
      </c>
      <c r="D318" s="10">
        <v>0</v>
      </c>
    </row>
    <row r="319" spans="2:4" s="29" customFormat="1" hidden="1" x14ac:dyDescent="0.2">
      <c r="B319" s="103" t="s">
        <v>165</v>
      </c>
      <c r="C319" s="104"/>
      <c r="D319" s="20">
        <f>SUM(D316:D318)</f>
        <v>0</v>
      </c>
    </row>
    <row r="320" spans="2:4" s="29" customFormat="1" hidden="1" x14ac:dyDescent="0.2">
      <c r="B320" s="99" t="s">
        <v>56</v>
      </c>
      <c r="C320" s="92"/>
      <c r="D320" s="11">
        <f>SUM(D319)</f>
        <v>0</v>
      </c>
    </row>
    <row r="321" spans="2:5" x14ac:dyDescent="0.2">
      <c r="B321" s="54"/>
    </row>
    <row r="322" spans="2:5" ht="12.75" customHeight="1" x14ac:dyDescent="0.2">
      <c r="B322" s="86" t="s">
        <v>127</v>
      </c>
      <c r="C322" s="86"/>
      <c r="D322" s="86"/>
    </row>
    <row r="323" spans="2:5" ht="24" x14ac:dyDescent="0.2">
      <c r="B323" s="5" t="s">
        <v>0</v>
      </c>
      <c r="C323" s="6" t="s">
        <v>1</v>
      </c>
      <c r="D323" s="7" t="s">
        <v>2</v>
      </c>
    </row>
    <row r="324" spans="2:5" ht="24" x14ac:dyDescent="0.2">
      <c r="B324" s="8" t="s">
        <v>128</v>
      </c>
      <c r="C324" s="9" t="s">
        <v>18</v>
      </c>
      <c r="D324" s="71">
        <v>500000</v>
      </c>
      <c r="E324" s="65"/>
    </row>
    <row r="325" spans="2:5" x14ac:dyDescent="0.2">
      <c r="B325" s="99" t="s">
        <v>20</v>
      </c>
      <c r="C325" s="92"/>
      <c r="D325" s="11">
        <f>SUM(D324)</f>
        <v>500000</v>
      </c>
    </row>
    <row r="326" spans="2:5" ht="18" customHeight="1" x14ac:dyDescent="0.2">
      <c r="B326" s="64" t="s">
        <v>211</v>
      </c>
      <c r="C326" s="48" t="s">
        <v>129</v>
      </c>
      <c r="D326" s="71">
        <v>200000</v>
      </c>
    </row>
    <row r="327" spans="2:5" ht="24" x14ac:dyDescent="0.2">
      <c r="B327" s="64" t="s">
        <v>211</v>
      </c>
      <c r="C327" s="48" t="s">
        <v>130</v>
      </c>
      <c r="D327" s="71">
        <v>60000</v>
      </c>
    </row>
    <row r="328" spans="2:5" ht="24" x14ac:dyDescent="0.2">
      <c r="B328" s="64" t="s">
        <v>211</v>
      </c>
      <c r="C328" s="48" t="s">
        <v>166</v>
      </c>
      <c r="D328" s="71">
        <v>500000</v>
      </c>
    </row>
    <row r="329" spans="2:5" ht="24" x14ac:dyDescent="0.2">
      <c r="B329" s="64" t="s">
        <v>211</v>
      </c>
      <c r="C329" s="48" t="s">
        <v>131</v>
      </c>
      <c r="D329" s="71">
        <v>300000</v>
      </c>
    </row>
    <row r="330" spans="2:5" ht="24" x14ac:dyDescent="0.2">
      <c r="B330" s="64" t="s">
        <v>211</v>
      </c>
      <c r="C330" s="48" t="s">
        <v>132</v>
      </c>
      <c r="D330" s="71">
        <v>2000000</v>
      </c>
    </row>
    <row r="331" spans="2:5" ht="24" x14ac:dyDescent="0.2">
      <c r="B331" s="64" t="s">
        <v>211</v>
      </c>
      <c r="C331" s="49" t="s">
        <v>133</v>
      </c>
      <c r="D331" s="71">
        <v>821000</v>
      </c>
    </row>
    <row r="332" spans="2:5" ht="24" x14ac:dyDescent="0.2">
      <c r="B332" s="64" t="s">
        <v>211</v>
      </c>
      <c r="C332" s="50" t="s">
        <v>149</v>
      </c>
      <c r="D332" s="71">
        <v>500000</v>
      </c>
    </row>
    <row r="333" spans="2:5" x14ac:dyDescent="0.2">
      <c r="B333" s="64" t="s">
        <v>211</v>
      </c>
      <c r="C333" s="51" t="s">
        <v>134</v>
      </c>
      <c r="D333" s="71">
        <v>300000</v>
      </c>
    </row>
    <row r="334" spans="2:5" x14ac:dyDescent="0.2">
      <c r="B334" s="64" t="s">
        <v>211</v>
      </c>
      <c r="C334" s="48" t="s">
        <v>135</v>
      </c>
      <c r="D334" s="71">
        <v>1500000</v>
      </c>
    </row>
    <row r="335" spans="2:5" ht="18" customHeight="1" x14ac:dyDescent="0.2">
      <c r="B335" s="64" t="s">
        <v>211</v>
      </c>
      <c r="C335" s="48" t="s">
        <v>136</v>
      </c>
      <c r="D335" s="71">
        <v>1600000</v>
      </c>
    </row>
    <row r="336" spans="2:5" x14ac:dyDescent="0.2">
      <c r="B336" s="64" t="s">
        <v>211</v>
      </c>
      <c r="C336" s="48" t="s">
        <v>209</v>
      </c>
      <c r="D336" s="71">
        <v>100000</v>
      </c>
    </row>
    <row r="337" spans="2:4" ht="24" x14ac:dyDescent="0.2">
      <c r="B337" s="64" t="s">
        <v>211</v>
      </c>
      <c r="C337" s="48" t="s">
        <v>210</v>
      </c>
      <c r="D337" s="71">
        <v>900000</v>
      </c>
    </row>
    <row r="338" spans="2:4" x14ac:dyDescent="0.2">
      <c r="B338" s="100" t="s">
        <v>202</v>
      </c>
      <c r="C338" s="101"/>
      <c r="D338" s="20">
        <f>SUM(D326:D337)</f>
        <v>8781000</v>
      </c>
    </row>
    <row r="339" spans="2:4" ht="17.25" customHeight="1" x14ac:dyDescent="0.2">
      <c r="B339" s="69" t="s">
        <v>203</v>
      </c>
      <c r="C339" s="70" t="s">
        <v>204</v>
      </c>
      <c r="D339" s="72">
        <v>400000</v>
      </c>
    </row>
    <row r="340" spans="2:4" x14ac:dyDescent="0.2">
      <c r="B340" s="99" t="s">
        <v>56</v>
      </c>
      <c r="C340" s="92"/>
      <c r="D340" s="11">
        <f>SUM(D338:D339)</f>
        <v>9181000</v>
      </c>
    </row>
    <row r="341" spans="2:4" x14ac:dyDescent="0.2">
      <c r="B341" s="54"/>
    </row>
    <row r="342" spans="2:4" ht="12.75" customHeight="1" x14ac:dyDescent="0.2">
      <c r="B342" s="86" t="s">
        <v>137</v>
      </c>
      <c r="C342" s="86"/>
      <c r="D342" s="86"/>
    </row>
    <row r="343" spans="2:4" ht="24" x14ac:dyDescent="0.2">
      <c r="B343" s="5" t="s">
        <v>0</v>
      </c>
      <c r="C343" s="6" t="s">
        <v>1</v>
      </c>
      <c r="D343" s="7" t="s">
        <v>2</v>
      </c>
    </row>
    <row r="344" spans="2:4" x14ac:dyDescent="0.2">
      <c r="B344" s="8" t="s">
        <v>138</v>
      </c>
      <c r="C344" s="9" t="s">
        <v>139</v>
      </c>
      <c r="D344" s="71">
        <v>1400000</v>
      </c>
    </row>
    <row r="345" spans="2:4" x14ac:dyDescent="0.2">
      <c r="B345" s="8" t="s">
        <v>140</v>
      </c>
      <c r="C345" s="9" t="s">
        <v>141</v>
      </c>
      <c r="D345" s="71">
        <v>20000</v>
      </c>
    </row>
    <row r="346" spans="2:4" x14ac:dyDescent="0.2">
      <c r="B346" s="55" t="s">
        <v>95</v>
      </c>
      <c r="C346" s="56" t="s">
        <v>96</v>
      </c>
      <c r="D346" s="71">
        <v>1200000</v>
      </c>
    </row>
    <row r="347" spans="2:4" x14ac:dyDescent="0.2">
      <c r="B347" s="55" t="s">
        <v>9</v>
      </c>
      <c r="C347" s="56" t="s">
        <v>10</v>
      </c>
      <c r="D347" s="71">
        <v>3600000</v>
      </c>
    </row>
    <row r="348" spans="2:4" x14ac:dyDescent="0.2">
      <c r="B348" s="55" t="s">
        <v>97</v>
      </c>
      <c r="C348" s="56" t="s">
        <v>11</v>
      </c>
      <c r="D348" s="71">
        <v>11000000</v>
      </c>
    </row>
    <row r="349" spans="2:4" x14ac:dyDescent="0.2">
      <c r="B349" s="55" t="s">
        <v>98</v>
      </c>
      <c r="C349" s="56" t="s">
        <v>12</v>
      </c>
      <c r="D349" s="71">
        <v>100000</v>
      </c>
    </row>
    <row r="350" spans="2:4" x14ac:dyDescent="0.2">
      <c r="B350" s="99" t="s">
        <v>20</v>
      </c>
      <c r="C350" s="92"/>
      <c r="D350" s="11">
        <f>SUM(D344:D349)</f>
        <v>17320000</v>
      </c>
    </row>
  </sheetData>
  <mergeCells count="93">
    <mergeCell ref="B1:D1"/>
    <mergeCell ref="B2:D2"/>
    <mergeCell ref="B40:D40"/>
    <mergeCell ref="B37:C37"/>
    <mergeCell ref="B143:C143"/>
    <mergeCell ref="B72:C72"/>
    <mergeCell ref="B3:D3"/>
    <mergeCell ref="B19:C19"/>
    <mergeCell ref="B36:C36"/>
    <mergeCell ref="B53:C53"/>
    <mergeCell ref="B69:C69"/>
    <mergeCell ref="B49:C49"/>
    <mergeCell ref="B8:C8"/>
    <mergeCell ref="B5:D5"/>
    <mergeCell ref="B32:C32"/>
    <mergeCell ref="B52:C52"/>
    <mergeCell ref="B76:D76"/>
    <mergeCell ref="B80:C80"/>
    <mergeCell ref="B83:C83"/>
    <mergeCell ref="B88:C88"/>
    <mergeCell ref="B156:C156"/>
    <mergeCell ref="B150:D150"/>
    <mergeCell ref="B148:C148"/>
    <mergeCell ref="B134:C134"/>
    <mergeCell ref="B130:D130"/>
    <mergeCell ref="B128:C128"/>
    <mergeCell ref="B107:C107"/>
    <mergeCell ref="B98:C98"/>
    <mergeCell ref="B141:D141"/>
    <mergeCell ref="B319:C319"/>
    <mergeCell ref="B286:C286"/>
    <mergeCell ref="B268:C268"/>
    <mergeCell ref="B266:D266"/>
    <mergeCell ref="B264:D264"/>
    <mergeCell ref="B277:C277"/>
    <mergeCell ref="B298:D298"/>
    <mergeCell ref="B250:D250"/>
    <mergeCell ref="B255:C255"/>
    <mergeCell ref="B261:C261"/>
    <mergeCell ref="B164:C164"/>
    <mergeCell ref="B170:C170"/>
    <mergeCell ref="B246:C246"/>
    <mergeCell ref="B218:C218"/>
    <mergeCell ref="B232:D232"/>
    <mergeCell ref="B237:C237"/>
    <mergeCell ref="B350:C350"/>
    <mergeCell ref="B287:C287"/>
    <mergeCell ref="B295:C295"/>
    <mergeCell ref="B296:C296"/>
    <mergeCell ref="B291:D291"/>
    <mergeCell ref="B342:D342"/>
    <mergeCell ref="B309:C309"/>
    <mergeCell ref="B302:C302"/>
    <mergeCell ref="B305:C305"/>
    <mergeCell ref="B310:C310"/>
    <mergeCell ref="B312:D312"/>
    <mergeCell ref="B315:C315"/>
    <mergeCell ref="B322:D322"/>
    <mergeCell ref="B325:C325"/>
    <mergeCell ref="B340:C340"/>
    <mergeCell ref="B320:C320"/>
    <mergeCell ref="B192:C192"/>
    <mergeCell ref="B188:D188"/>
    <mergeCell ref="B186:C186"/>
    <mergeCell ref="B338:C338"/>
    <mergeCell ref="B248:D248"/>
    <mergeCell ref="B204:C204"/>
    <mergeCell ref="B196:C196"/>
    <mergeCell ref="B238:C238"/>
    <mergeCell ref="B229:C229"/>
    <mergeCell ref="B228:C228"/>
    <mergeCell ref="B241:D241"/>
    <mergeCell ref="B198:D198"/>
    <mergeCell ref="B209:C209"/>
    <mergeCell ref="B206:D206"/>
    <mergeCell ref="B262:C262"/>
    <mergeCell ref="B252:C252"/>
    <mergeCell ref="B43:C43"/>
    <mergeCell ref="B55:D55"/>
    <mergeCell ref="B177:C177"/>
    <mergeCell ref="B185:C185"/>
    <mergeCell ref="B157:C157"/>
    <mergeCell ref="B153:C153"/>
    <mergeCell ref="B113:D113"/>
    <mergeCell ref="B92:D92"/>
    <mergeCell ref="B73:C73"/>
    <mergeCell ref="B59:C59"/>
    <mergeCell ref="B86:C86"/>
    <mergeCell ref="B87:C87"/>
    <mergeCell ref="B166:D166"/>
    <mergeCell ref="B139:D139"/>
    <mergeCell ref="B137:C137"/>
    <mergeCell ref="B160:D160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2016-02-05T09:17:07Z</dcterms:created>
  <dcterms:modified xsi:type="dcterms:W3CDTF">2018-02-12T13:34:06Z</dcterms:modified>
</cp:coreProperties>
</file>