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K:\Hivatal\KRISZTINA\2020ÉVI_KÖLTSÉGVETÉS_MÓDOSÍTÁS\Sármellék\Sármellék\"/>
    </mc:Choice>
  </mc:AlternateContent>
  <xr:revisionPtr revIDLastSave="0" documentId="13_ncr:1_{CAF42D9A-9075-4957-AF80-35BB698232F7}" xr6:coauthVersionLast="41" xr6:coauthVersionMax="41" xr10:uidLastSave="{00000000-0000-0000-0000-000000000000}"/>
  <bookViews>
    <workbookView xWindow="-120" yWindow="-120" windowWidth="20730" windowHeight="11160" activeTab="1" xr2:uid="{00000000-000D-0000-FFFF-FFFF00000000}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6" r:id="rId6"/>
    <sheet name="7" sheetId="7" r:id="rId7"/>
    <sheet name="8" sheetId="8" r:id="rId8"/>
    <sheet name="9" sheetId="9" r:id="rId9"/>
    <sheet name="10" sheetId="10" r:id="rId10"/>
    <sheet name="11" sheetId="11" r:id="rId11"/>
    <sheet name="11a" sheetId="13" r:id="rId12"/>
    <sheet name="11b" sheetId="14" r:id="rId13"/>
    <sheet name="11c" sheetId="15" r:id="rId14"/>
    <sheet name="11d" sheetId="28" r:id="rId15"/>
    <sheet name="12" sheetId="17" r:id="rId16"/>
    <sheet name="13" sheetId="18" r:id="rId17"/>
    <sheet name="13a" sheetId="19" r:id="rId18"/>
    <sheet name="13b" sheetId="29" r:id="rId19"/>
    <sheet name="14" sheetId="20" r:id="rId20"/>
    <sheet name="15" sheetId="21" r:id="rId21"/>
    <sheet name="16" sheetId="22" r:id="rId22"/>
    <sheet name="16a" sheetId="23" r:id="rId23"/>
    <sheet name="16b" sheetId="24" r:id="rId24"/>
    <sheet name="16c" sheetId="27" r:id="rId25"/>
    <sheet name="16d" sheetId="26" r:id="rId26"/>
    <sheet name="17" sheetId="25" r:id="rId27"/>
  </sheets>
  <externalReferences>
    <externalReference r:id="rId28"/>
    <externalReference r:id="rId29"/>
    <externalReference r:id="rId30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" i="25" l="1"/>
  <c r="H29" i="25"/>
  <c r="G47" i="25"/>
  <c r="I44" i="25"/>
  <c r="H44" i="25"/>
  <c r="I66" i="25"/>
  <c r="H66" i="25"/>
  <c r="I59" i="25"/>
  <c r="H59" i="25"/>
  <c r="G61" i="25"/>
  <c r="G84" i="25"/>
  <c r="G34" i="25"/>
  <c r="I74" i="25"/>
  <c r="H74" i="25"/>
  <c r="I65" i="25"/>
  <c r="I55" i="25"/>
  <c r="I50" i="25"/>
  <c r="I49" i="25"/>
  <c r="I45" i="25"/>
  <c r="I43" i="25"/>
  <c r="I39" i="25"/>
  <c r="I37" i="25"/>
  <c r="I36" i="25"/>
  <c r="I35" i="25"/>
  <c r="I33" i="25"/>
  <c r="I28" i="25"/>
  <c r="I24" i="25"/>
  <c r="I23" i="25"/>
  <c r="I18" i="25"/>
  <c r="I16" i="25"/>
  <c r="I11" i="25"/>
  <c r="I12" i="25"/>
  <c r="I10" i="25"/>
  <c r="H28" i="25"/>
  <c r="H24" i="25"/>
  <c r="H23" i="25"/>
  <c r="H18" i="25"/>
  <c r="H16" i="25"/>
  <c r="H11" i="25"/>
  <c r="H12" i="25"/>
  <c r="H10" i="25"/>
  <c r="G22" i="25"/>
  <c r="J35" i="3"/>
  <c r="J13" i="3"/>
  <c r="E35" i="3"/>
  <c r="G13" i="25"/>
  <c r="G15" i="25"/>
  <c r="G14" i="25" s="1"/>
  <c r="G17" i="25"/>
  <c r="G26" i="25"/>
  <c r="G38" i="25"/>
  <c r="G40" i="25"/>
  <c r="G42" i="25"/>
  <c r="G48" i="25"/>
  <c r="G51" i="25"/>
  <c r="G54" i="25"/>
  <c r="G64" i="25"/>
  <c r="G67" i="25" s="1"/>
  <c r="G76" i="25" s="1"/>
  <c r="G69" i="25"/>
  <c r="G75" i="25" s="1"/>
  <c r="G78" i="25"/>
  <c r="I78" i="25"/>
  <c r="H78" i="25" s="1"/>
  <c r="I75" i="25"/>
  <c r="I69" i="25"/>
  <c r="H69" i="25"/>
  <c r="H75" i="25" s="1"/>
  <c r="H65" i="25"/>
  <c r="H55" i="25"/>
  <c r="H54" i="25" s="1"/>
  <c r="I51" i="25"/>
  <c r="H51" i="25"/>
  <c r="H50" i="25"/>
  <c r="H49" i="25"/>
  <c r="H45" i="25"/>
  <c r="H43" i="25"/>
  <c r="H41" i="25"/>
  <c r="I41" i="25" s="1"/>
  <c r="I40" i="25"/>
  <c r="H40" i="25"/>
  <c r="H39" i="25"/>
  <c r="H37" i="25"/>
  <c r="H36" i="25"/>
  <c r="H35" i="25"/>
  <c r="H34" i="25" s="1"/>
  <c r="H33" i="25"/>
  <c r="H21" i="25"/>
  <c r="I21" i="25" s="1"/>
  <c r="H20" i="25"/>
  <c r="I20" i="25" s="1"/>
  <c r="I19" i="25"/>
  <c r="E29" i="26"/>
  <c r="B29" i="26"/>
  <c r="E23" i="26"/>
  <c r="B19" i="26"/>
  <c r="B16" i="26"/>
  <c r="B23" i="26" s="1"/>
  <c r="B33" i="26" s="1"/>
  <c r="E15" i="26"/>
  <c r="E33" i="26" s="1"/>
  <c r="B15" i="26"/>
  <c r="J66" i="27"/>
  <c r="D66" i="27"/>
  <c r="B66" i="27"/>
  <c r="B67" i="27" s="1"/>
  <c r="B49" i="27"/>
  <c r="B46" i="27"/>
  <c r="J39" i="27"/>
  <c r="B39" i="27"/>
  <c r="J36" i="27"/>
  <c r="B36" i="27"/>
  <c r="D35" i="27"/>
  <c r="C34" i="27"/>
  <c r="D34" i="27" s="1"/>
  <c r="D33" i="27"/>
  <c r="D32" i="27"/>
  <c r="J30" i="27"/>
  <c r="D30" i="27"/>
  <c r="C28" i="27"/>
  <c r="B21" i="27"/>
  <c r="C19" i="27"/>
  <c r="D19" i="27" s="1"/>
  <c r="D18" i="27"/>
  <c r="C17" i="27"/>
  <c r="D17" i="27" s="1"/>
  <c r="J14" i="27"/>
  <c r="B14" i="27"/>
  <c r="D11" i="27"/>
  <c r="D10" i="27"/>
  <c r="C9" i="27"/>
  <c r="C14" i="27" s="1"/>
  <c r="D8" i="27"/>
  <c r="D7" i="27"/>
  <c r="D6" i="27"/>
  <c r="AG37" i="24"/>
  <c r="AC37" i="24"/>
  <c r="AH36" i="24"/>
  <c r="AH37" i="24" s="1"/>
  <c r="AG36" i="24"/>
  <c r="AD36" i="24"/>
  <c r="AD37" i="24" s="1"/>
  <c r="AC36" i="24"/>
  <c r="Y35" i="24"/>
  <c r="AH34" i="24"/>
  <c r="AF34" i="24"/>
  <c r="AF36" i="24" s="1"/>
  <c r="AF37" i="24" s="1"/>
  <c r="Z34" i="24"/>
  <c r="Z36" i="24" s="1"/>
  <c r="AH33" i="24"/>
  <c r="AF33" i="24"/>
  <c r="AE33" i="24"/>
  <c r="AE34" i="24" s="1"/>
  <c r="AE36" i="24" s="1"/>
  <c r="AE37" i="24" s="1"/>
  <c r="AD33" i="24"/>
  <c r="AC33" i="24"/>
  <c r="AB33" i="24"/>
  <c r="AB34" i="24" s="1"/>
  <c r="AB36" i="24" s="1"/>
  <c r="AB37" i="24" s="1"/>
  <c r="AA33" i="24"/>
  <c r="Y33" i="24" s="1"/>
  <c r="Z33" i="24"/>
  <c r="Z37" i="24" s="1"/>
  <c r="AE32" i="24"/>
  <c r="Y32" i="24"/>
  <c r="AF31" i="24"/>
  <c r="Y31" i="24"/>
  <c r="Y30" i="24"/>
  <c r="Y29" i="24"/>
  <c r="Y28" i="24"/>
  <c r="Y27" i="24"/>
  <c r="Y26" i="24"/>
  <c r="Y25" i="24"/>
  <c r="AG18" i="24"/>
  <c r="AC18" i="24"/>
  <c r="AC19" i="24" s="1"/>
  <c r="Z18" i="24"/>
  <c r="AD17" i="24"/>
  <c r="AD18" i="24" s="1"/>
  <c r="AD19" i="24" s="1"/>
  <c r="AB17" i="24"/>
  <c r="AA17" i="24"/>
  <c r="Y17" i="24"/>
  <c r="AG16" i="24"/>
  <c r="AD16" i="24"/>
  <c r="AC16" i="24"/>
  <c r="AB16" i="24"/>
  <c r="AB18" i="24" s="1"/>
  <c r="AB19" i="24" s="1"/>
  <c r="AA16" i="24"/>
  <c r="AA18" i="24" s="1"/>
  <c r="Z16" i="24"/>
  <c r="AI15" i="24"/>
  <c r="AI16" i="24" s="1"/>
  <c r="AI18" i="24" s="1"/>
  <c r="AI19" i="24" s="1"/>
  <c r="AE15" i="24"/>
  <c r="AE16" i="24" s="1"/>
  <c r="AE18" i="24" s="1"/>
  <c r="AE19" i="24" s="1"/>
  <c r="AD15" i="24"/>
  <c r="Y14" i="24"/>
  <c r="AH13" i="24"/>
  <c r="AH15" i="24" s="1"/>
  <c r="AH16" i="24" s="1"/>
  <c r="AH18" i="24" s="1"/>
  <c r="AH19" i="24" s="1"/>
  <c r="AG13" i="24"/>
  <c r="Y13" i="24" s="1"/>
  <c r="AF13" i="24"/>
  <c r="Y12" i="24"/>
  <c r="AE11" i="24"/>
  <c r="AD11" i="24"/>
  <c r="AC11" i="24"/>
  <c r="AB11" i="24"/>
  <c r="AA11" i="24"/>
  <c r="Y11" i="24" s="1"/>
  <c r="AA10" i="24"/>
  <c r="AA15" i="24" s="1"/>
  <c r="Z10" i="24"/>
  <c r="Y10" i="24" s="1"/>
  <c r="AD9" i="24"/>
  <c r="AB9" i="24"/>
  <c r="AA9" i="24"/>
  <c r="Y9" i="24" s="1"/>
  <c r="AG15" i="24"/>
  <c r="AF7" i="24"/>
  <c r="AF15" i="24" s="1"/>
  <c r="AF16" i="24" s="1"/>
  <c r="AF18" i="24" s="1"/>
  <c r="AF19" i="24" s="1"/>
  <c r="AD7" i="24"/>
  <c r="AC7" i="24"/>
  <c r="AC15" i="24" s="1"/>
  <c r="AB7" i="24"/>
  <c r="AB15" i="24" s="1"/>
  <c r="AA7" i="24"/>
  <c r="Y7" i="24" s="1"/>
  <c r="Y35" i="23"/>
  <c r="Y32" i="23" s="1"/>
  <c r="X35" i="23"/>
  <c r="Y34" i="23"/>
  <c r="X34" i="23"/>
  <c r="Y33" i="23"/>
  <c r="X33" i="23"/>
  <c r="Y31" i="23"/>
  <c r="X31" i="23"/>
  <c r="X29" i="23" s="1"/>
  <c r="Y30" i="23"/>
  <c r="X30" i="23"/>
  <c r="Y28" i="23"/>
  <c r="X28" i="23"/>
  <c r="Y26" i="23"/>
  <c r="X26" i="23"/>
  <c r="Y20" i="23"/>
  <c r="X20" i="23"/>
  <c r="Y19" i="23"/>
  <c r="Y23" i="23" s="1"/>
  <c r="X19" i="23"/>
  <c r="X23" i="23" s="1"/>
  <c r="Y17" i="23"/>
  <c r="X17" i="23"/>
  <c r="Y13" i="23"/>
  <c r="X13" i="23"/>
  <c r="X10" i="23"/>
  <c r="Y9" i="23"/>
  <c r="Y10" i="23" s="1"/>
  <c r="X9" i="23"/>
  <c r="C30" i="22"/>
  <c r="D30" i="22"/>
  <c r="E30" i="22"/>
  <c r="F30" i="22"/>
  <c r="G30" i="22"/>
  <c r="H30" i="22"/>
  <c r="I30" i="22"/>
  <c r="J30" i="22"/>
  <c r="K30" i="22"/>
  <c r="L30" i="22"/>
  <c r="M30" i="22"/>
  <c r="B30" i="22"/>
  <c r="N29" i="22"/>
  <c r="N27" i="22"/>
  <c r="N28" i="22"/>
  <c r="O30" i="22"/>
  <c r="I64" i="25" l="1"/>
  <c r="I67" i="25"/>
  <c r="I76" i="25" s="1"/>
  <c r="G58" i="25"/>
  <c r="G30" i="25"/>
  <c r="G83" i="25" s="1"/>
  <c r="H48" i="25"/>
  <c r="H58" i="25" s="1"/>
  <c r="H38" i="25"/>
  <c r="I48" i="25"/>
  <c r="H77" i="25"/>
  <c r="H82" i="25" s="1"/>
  <c r="H26" i="25"/>
  <c r="I38" i="25"/>
  <c r="H42" i="25"/>
  <c r="H64" i="25"/>
  <c r="H67" i="25" s="1"/>
  <c r="H76" i="25" s="1"/>
  <c r="I42" i="25"/>
  <c r="H47" i="25"/>
  <c r="H61" i="25" s="1"/>
  <c r="I54" i="25"/>
  <c r="I26" i="25"/>
  <c r="I34" i="25"/>
  <c r="C21" i="27"/>
  <c r="D36" i="27"/>
  <c r="D14" i="27"/>
  <c r="D21" i="27"/>
  <c r="C36" i="27"/>
  <c r="D9" i="27"/>
  <c r="Y36" i="24"/>
  <c r="AA19" i="24"/>
  <c r="AG19" i="24"/>
  <c r="Y8" i="24"/>
  <c r="Y15" i="24" s="1"/>
  <c r="Z15" i="24"/>
  <c r="Z19" i="24" s="1"/>
  <c r="Y16" i="24"/>
  <c r="Y18" i="24" s="1"/>
  <c r="AA34" i="24"/>
  <c r="AA36" i="24" s="1"/>
  <c r="AA37" i="24" s="1"/>
  <c r="Y37" i="24" s="1"/>
  <c r="X37" i="23"/>
  <c r="Y29" i="23"/>
  <c r="X32" i="23"/>
  <c r="Y38" i="23"/>
  <c r="X38" i="23"/>
  <c r="Y37" i="23"/>
  <c r="E84" i="21"/>
  <c r="D79" i="21"/>
  <c r="D84" i="21" s="1"/>
  <c r="E71" i="21"/>
  <c r="E77" i="21" s="1"/>
  <c r="D71" i="21"/>
  <c r="D77" i="21" s="1"/>
  <c r="E66" i="21"/>
  <c r="E69" i="21" s="1"/>
  <c r="E78" i="21" s="1"/>
  <c r="D66" i="21"/>
  <c r="D69" i="21" s="1"/>
  <c r="E56" i="21"/>
  <c r="D56" i="21"/>
  <c r="E53" i="21"/>
  <c r="D53" i="21"/>
  <c r="E50" i="21"/>
  <c r="E60" i="21" s="1"/>
  <c r="D50" i="21"/>
  <c r="D60" i="21" s="1"/>
  <c r="E43" i="21"/>
  <c r="D43" i="21"/>
  <c r="E39" i="21"/>
  <c r="D39" i="21"/>
  <c r="E35" i="21"/>
  <c r="E49" i="21" s="1"/>
  <c r="E63" i="21" s="1"/>
  <c r="E86" i="21" s="1"/>
  <c r="D35" i="21"/>
  <c r="D49" i="21" s="1"/>
  <c r="E27" i="21"/>
  <c r="D27" i="21"/>
  <c r="E14" i="21"/>
  <c r="E23" i="21" s="1"/>
  <c r="E31" i="21" s="1"/>
  <c r="D14" i="21"/>
  <c r="D23" i="21" s="1"/>
  <c r="D31" i="21" s="1"/>
  <c r="E15" i="29"/>
  <c r="E21" i="29" s="1"/>
  <c r="K10" i="29"/>
  <c r="K15" i="29" s="1"/>
  <c r="K21" i="29" s="1"/>
  <c r="E10" i="29"/>
  <c r="I72" i="19"/>
  <c r="K72" i="19" s="1"/>
  <c r="F72" i="19"/>
  <c r="K71" i="19"/>
  <c r="H71" i="19"/>
  <c r="J69" i="19"/>
  <c r="I69" i="19"/>
  <c r="G69" i="19"/>
  <c r="F69" i="19"/>
  <c r="K68" i="19"/>
  <c r="K67" i="19"/>
  <c r="H67" i="19"/>
  <c r="H69" i="19" s="1"/>
  <c r="F66" i="19"/>
  <c r="F70" i="19" s="1"/>
  <c r="J65" i="19"/>
  <c r="J66" i="19" s="1"/>
  <c r="J70" i="19" s="1"/>
  <c r="I65" i="19"/>
  <c r="G65" i="19"/>
  <c r="H65" i="19" s="1"/>
  <c r="H66" i="19" s="1"/>
  <c r="K64" i="19"/>
  <c r="H64" i="19"/>
  <c r="K63" i="19"/>
  <c r="H63" i="19"/>
  <c r="K62" i="19"/>
  <c r="H62" i="19"/>
  <c r="K61" i="19"/>
  <c r="H61" i="19"/>
  <c r="K60" i="19"/>
  <c r="H60" i="19"/>
  <c r="I58" i="19"/>
  <c r="F58" i="19"/>
  <c r="K57" i="19"/>
  <c r="H57" i="19"/>
  <c r="J55" i="19"/>
  <c r="I55" i="19"/>
  <c r="G55" i="19"/>
  <c r="F55" i="19"/>
  <c r="K54" i="19"/>
  <c r="K55" i="19" s="1"/>
  <c r="H54" i="19"/>
  <c r="H55" i="19" s="1"/>
  <c r="I52" i="19"/>
  <c r="F52" i="19"/>
  <c r="K51" i="19"/>
  <c r="H51" i="19"/>
  <c r="K50" i="19"/>
  <c r="H50" i="19"/>
  <c r="K49" i="19"/>
  <c r="H49" i="19"/>
  <c r="J48" i="19"/>
  <c r="K48" i="19" s="1"/>
  <c r="G48" i="19"/>
  <c r="H48" i="19" s="1"/>
  <c r="K47" i="19"/>
  <c r="H47" i="19"/>
  <c r="J46" i="19"/>
  <c r="K46" i="19" s="1"/>
  <c r="G46" i="19"/>
  <c r="G52" i="19" s="1"/>
  <c r="K45" i="19"/>
  <c r="I45" i="19"/>
  <c r="H45" i="19"/>
  <c r="I44" i="19"/>
  <c r="K44" i="19" s="1"/>
  <c r="H44" i="19"/>
  <c r="I43" i="19"/>
  <c r="G43" i="19"/>
  <c r="F43" i="19"/>
  <c r="F53" i="19" s="1"/>
  <c r="J42" i="19"/>
  <c r="K42" i="19" s="1"/>
  <c r="K41" i="19"/>
  <c r="H41" i="19"/>
  <c r="K40" i="19"/>
  <c r="H40" i="19"/>
  <c r="J39" i="19"/>
  <c r="K39" i="19" s="1"/>
  <c r="G39" i="19"/>
  <c r="H39" i="19" s="1"/>
  <c r="I38" i="19"/>
  <c r="G38" i="19"/>
  <c r="F38" i="19"/>
  <c r="J37" i="19"/>
  <c r="H37" i="19"/>
  <c r="H38" i="19" s="1"/>
  <c r="K36" i="19"/>
  <c r="H36" i="19"/>
  <c r="J34" i="19"/>
  <c r="I34" i="19"/>
  <c r="F34" i="19"/>
  <c r="J33" i="19"/>
  <c r="K33" i="19" s="1"/>
  <c r="K34" i="19" s="1"/>
  <c r="G33" i="19"/>
  <c r="H33" i="19" s="1"/>
  <c r="H34" i="19" s="1"/>
  <c r="J31" i="19"/>
  <c r="K31" i="19" s="1"/>
  <c r="G31" i="19"/>
  <c r="H31" i="19" s="1"/>
  <c r="J30" i="19"/>
  <c r="K30" i="19" s="1"/>
  <c r="G30" i="19"/>
  <c r="H30" i="19" s="1"/>
  <c r="J29" i="19"/>
  <c r="K29" i="19" s="1"/>
  <c r="G29" i="19"/>
  <c r="H29" i="19" s="1"/>
  <c r="I28" i="19"/>
  <c r="K28" i="19" s="1"/>
  <c r="F28" i="19"/>
  <c r="F32" i="19" s="1"/>
  <c r="J27" i="19"/>
  <c r="K27" i="19" s="1"/>
  <c r="G27" i="19"/>
  <c r="H27" i="19" s="1"/>
  <c r="K26" i="19"/>
  <c r="H26" i="19"/>
  <c r="J25" i="19"/>
  <c r="K25" i="19" s="1"/>
  <c r="G25" i="19"/>
  <c r="H25" i="19" s="1"/>
  <c r="J24" i="19"/>
  <c r="J32" i="19" s="1"/>
  <c r="G24" i="19"/>
  <c r="H24" i="19" s="1"/>
  <c r="J22" i="19"/>
  <c r="G22" i="19"/>
  <c r="F22" i="19"/>
  <c r="K21" i="19"/>
  <c r="H21" i="19"/>
  <c r="K20" i="19"/>
  <c r="H20" i="19"/>
  <c r="K19" i="19"/>
  <c r="H19" i="19"/>
  <c r="I18" i="19"/>
  <c r="I22" i="19" s="1"/>
  <c r="I23" i="19" s="1"/>
  <c r="H18" i="19"/>
  <c r="J17" i="19"/>
  <c r="J23" i="19" s="1"/>
  <c r="I17" i="19"/>
  <c r="F17" i="19"/>
  <c r="J16" i="19"/>
  <c r="K16" i="19" s="1"/>
  <c r="K17" i="19" s="1"/>
  <c r="H16" i="19"/>
  <c r="H17" i="19" s="1"/>
  <c r="G16" i="19"/>
  <c r="G17" i="19" s="1"/>
  <c r="K14" i="19"/>
  <c r="J14" i="19"/>
  <c r="G14" i="19"/>
  <c r="J13" i="19"/>
  <c r="J15" i="19" s="1"/>
  <c r="I13" i="19"/>
  <c r="K13" i="19" s="1"/>
  <c r="K15" i="19" s="1"/>
  <c r="G13" i="19"/>
  <c r="K12" i="19"/>
  <c r="H12" i="19"/>
  <c r="K11" i="19"/>
  <c r="H11" i="19"/>
  <c r="K10" i="19"/>
  <c r="F10" i="19"/>
  <c r="K9" i="19"/>
  <c r="I9" i="19"/>
  <c r="I10" i="19" s="1"/>
  <c r="F9" i="19"/>
  <c r="H9" i="19" s="1"/>
  <c r="K8" i="19"/>
  <c r="H8" i="19"/>
  <c r="K7" i="19"/>
  <c r="H7" i="19"/>
  <c r="K6" i="19"/>
  <c r="H6" i="19"/>
  <c r="K5" i="19"/>
  <c r="H5" i="19"/>
  <c r="H84" i="25" l="1"/>
  <c r="I77" i="25"/>
  <c r="I82" i="25" s="1"/>
  <c r="I58" i="25"/>
  <c r="G62" i="25"/>
  <c r="I47" i="25"/>
  <c r="I61" i="25" s="1"/>
  <c r="I84" i="25" s="1"/>
  <c r="D22" i="27"/>
  <c r="Y19" i="24"/>
  <c r="Y34" i="24"/>
  <c r="E64" i="21"/>
  <c r="E85" i="21"/>
  <c r="D85" i="21"/>
  <c r="D63" i="21"/>
  <c r="D86" i="21" s="1"/>
  <c r="D78" i="21"/>
  <c r="I15" i="19"/>
  <c r="K69" i="19"/>
  <c r="K24" i="19"/>
  <c r="K32" i="19" s="1"/>
  <c r="K35" i="19" s="1"/>
  <c r="I32" i="19"/>
  <c r="I35" i="19" s="1"/>
  <c r="K43" i="19"/>
  <c r="G66" i="19"/>
  <c r="G70" i="19" s="1"/>
  <c r="G23" i="19"/>
  <c r="J43" i="19"/>
  <c r="F35" i="19"/>
  <c r="H72" i="19"/>
  <c r="F13" i="19"/>
  <c r="H10" i="19"/>
  <c r="G15" i="19"/>
  <c r="H14" i="19"/>
  <c r="G34" i="19"/>
  <c r="J38" i="19"/>
  <c r="K37" i="19"/>
  <c r="K38" i="19" s="1"/>
  <c r="I53" i="19"/>
  <c r="I59" i="19" s="1"/>
  <c r="K52" i="19"/>
  <c r="H70" i="19"/>
  <c r="F23" i="19"/>
  <c r="K18" i="19"/>
  <c r="K22" i="19" s="1"/>
  <c r="K23" i="19" s="1"/>
  <c r="H28" i="19"/>
  <c r="H32" i="19" s="1"/>
  <c r="H35" i="19" s="1"/>
  <c r="H43" i="19"/>
  <c r="I66" i="19"/>
  <c r="I70" i="19" s="1"/>
  <c r="K65" i="19"/>
  <c r="K66" i="19" s="1"/>
  <c r="K70" i="19" s="1"/>
  <c r="H22" i="19"/>
  <c r="H23" i="19" s="1"/>
  <c r="J35" i="19"/>
  <c r="G53" i="19"/>
  <c r="J52" i="19"/>
  <c r="G32" i="19"/>
  <c r="H46" i="19"/>
  <c r="H52" i="19" s="1"/>
  <c r="H53" i="19" s="1"/>
  <c r="J56" i="19"/>
  <c r="D64" i="21" l="1"/>
  <c r="G35" i="19"/>
  <c r="G56" i="19" s="1"/>
  <c r="G58" i="19" s="1"/>
  <c r="G59" i="19" s="1"/>
  <c r="G73" i="19" s="1"/>
  <c r="K59" i="19"/>
  <c r="K73" i="19" s="1"/>
  <c r="H13" i="19"/>
  <c r="H15" i="19" s="1"/>
  <c r="F15" i="19"/>
  <c r="I73" i="19"/>
  <c r="K53" i="19"/>
  <c r="K56" i="19"/>
  <c r="K58" i="19" s="1"/>
  <c r="J58" i="19"/>
  <c r="J59" i="19" s="1"/>
  <c r="J73" i="19" s="1"/>
  <c r="F59" i="19"/>
  <c r="J53" i="19"/>
  <c r="H56" i="19" l="1"/>
  <c r="H58" i="19" s="1"/>
  <c r="H59" i="19"/>
  <c r="H73" i="19" s="1"/>
  <c r="F73" i="19"/>
  <c r="I80" i="18" l="1"/>
  <c r="H80" i="18"/>
  <c r="J80" i="18" s="1"/>
  <c r="J79" i="18"/>
  <c r="J78" i="18"/>
  <c r="J77" i="18"/>
  <c r="J76" i="18"/>
  <c r="H76" i="18"/>
  <c r="J75" i="18"/>
  <c r="J70" i="18"/>
  <c r="J69" i="18"/>
  <c r="H68" i="18"/>
  <c r="J68" i="18" s="1"/>
  <c r="J67" i="18"/>
  <c r="J66" i="18"/>
  <c r="I63" i="18"/>
  <c r="I66" i="18" s="1"/>
  <c r="I74" i="18" s="1"/>
  <c r="H63" i="18"/>
  <c r="H66" i="18" s="1"/>
  <c r="K57" i="18"/>
  <c r="I57" i="18"/>
  <c r="J56" i="18"/>
  <c r="J55" i="18"/>
  <c r="J53" i="18"/>
  <c r="I53" i="18"/>
  <c r="H53" i="18"/>
  <c r="J52" i="18"/>
  <c r="J51" i="18"/>
  <c r="I50" i="18"/>
  <c r="H50" i="18"/>
  <c r="J50" i="18" s="1"/>
  <c r="J48" i="18"/>
  <c r="J47" i="18" s="1"/>
  <c r="J57" i="18" s="1"/>
  <c r="I47" i="18"/>
  <c r="H47" i="18"/>
  <c r="H57" i="18" s="1"/>
  <c r="K46" i="18"/>
  <c r="K60" i="18" s="1"/>
  <c r="K82" i="18" s="1"/>
  <c r="J45" i="18"/>
  <c r="J41" i="18" s="1"/>
  <c r="J44" i="18"/>
  <c r="J43" i="18"/>
  <c r="I41" i="18"/>
  <c r="H41" i="18"/>
  <c r="J39" i="18"/>
  <c r="J37" i="18"/>
  <c r="I37" i="18"/>
  <c r="H37" i="18"/>
  <c r="J33" i="18"/>
  <c r="I33" i="18"/>
  <c r="I46" i="18" s="1"/>
  <c r="I60" i="18" s="1"/>
  <c r="H33" i="18"/>
  <c r="H46" i="18" s="1"/>
  <c r="H60" i="18" s="1"/>
  <c r="K29" i="18"/>
  <c r="K81" i="18" s="1"/>
  <c r="J28" i="18"/>
  <c r="J27" i="18"/>
  <c r="J29" i="18" s="1"/>
  <c r="I25" i="18"/>
  <c r="I29" i="18" s="1"/>
  <c r="H25" i="18"/>
  <c r="I21" i="18"/>
  <c r="H14" i="18"/>
  <c r="H21" i="18" s="1"/>
  <c r="H29" i="18" s="1"/>
  <c r="K84" i="18" l="1"/>
  <c r="I61" i="18"/>
  <c r="I81" i="18"/>
  <c r="I82" i="18" s="1"/>
  <c r="I84" i="18" s="1"/>
  <c r="H81" i="18"/>
  <c r="H82" i="18" s="1"/>
  <c r="H84" i="18" s="1"/>
  <c r="H61" i="18"/>
  <c r="J81" i="18"/>
  <c r="J61" i="18"/>
  <c r="J46" i="18"/>
  <c r="J60" i="18" s="1"/>
  <c r="H73" i="18"/>
  <c r="J73" i="18" s="1"/>
  <c r="J74" i="18" s="1"/>
  <c r="K61" i="18"/>
  <c r="L37" i="28"/>
  <c r="O35" i="28"/>
  <c r="L35" i="28"/>
  <c r="O27" i="28"/>
  <c r="L27" i="28"/>
  <c r="P26" i="28"/>
  <c r="O26" i="28"/>
  <c r="L26" i="28"/>
  <c r="N26" i="28" s="1"/>
  <c r="Q22" i="28"/>
  <c r="N22" i="28"/>
  <c r="O20" i="28"/>
  <c r="M20" i="28"/>
  <c r="P19" i="28"/>
  <c r="O19" i="28"/>
  <c r="L19" i="28"/>
  <c r="N19" i="28" s="1"/>
  <c r="P14" i="28"/>
  <c r="Q14" i="28" s="1"/>
  <c r="O14" i="28"/>
  <c r="L14" i="28"/>
  <c r="L36" i="28" s="1"/>
  <c r="L38" i="28" s="1"/>
  <c r="J95" i="15"/>
  <c r="I95" i="15"/>
  <c r="G95" i="15"/>
  <c r="F95" i="15"/>
  <c r="K94" i="15"/>
  <c r="H94" i="15"/>
  <c r="I93" i="15"/>
  <c r="F93" i="15"/>
  <c r="J92" i="15"/>
  <c r="K92" i="15" s="1"/>
  <c r="G92" i="15"/>
  <c r="H92" i="15" s="1"/>
  <c r="J91" i="15"/>
  <c r="K91" i="15" s="1"/>
  <c r="G91" i="15"/>
  <c r="H91" i="15" s="1"/>
  <c r="J90" i="15"/>
  <c r="K90" i="15" s="1"/>
  <c r="H90" i="15"/>
  <c r="G90" i="15"/>
  <c r="J89" i="15"/>
  <c r="K89" i="15" s="1"/>
  <c r="G89" i="15"/>
  <c r="H89" i="15" s="1"/>
  <c r="J88" i="15"/>
  <c r="K88" i="15" s="1"/>
  <c r="G88" i="15"/>
  <c r="H88" i="15" s="1"/>
  <c r="J87" i="15"/>
  <c r="K87" i="15" s="1"/>
  <c r="G87" i="15"/>
  <c r="H87" i="15" s="1"/>
  <c r="J86" i="15"/>
  <c r="K86" i="15" s="1"/>
  <c r="K95" i="15" s="1"/>
  <c r="H86" i="15"/>
  <c r="H95" i="15" s="1"/>
  <c r="G86" i="15"/>
  <c r="K85" i="15"/>
  <c r="H85" i="15"/>
  <c r="K84" i="15"/>
  <c r="J84" i="15"/>
  <c r="G84" i="15"/>
  <c r="H84" i="15" s="1"/>
  <c r="J83" i="15"/>
  <c r="K83" i="15" s="1"/>
  <c r="G83" i="15"/>
  <c r="H83" i="15" s="1"/>
  <c r="J82" i="15"/>
  <c r="K82" i="15" s="1"/>
  <c r="G82" i="15"/>
  <c r="H82" i="15" s="1"/>
  <c r="J81" i="15"/>
  <c r="K81" i="15" s="1"/>
  <c r="G81" i="15"/>
  <c r="H81" i="15" s="1"/>
  <c r="K80" i="15"/>
  <c r="J80" i="15"/>
  <c r="G80" i="15"/>
  <c r="H80" i="15" s="1"/>
  <c r="J79" i="15"/>
  <c r="K79" i="15" s="1"/>
  <c r="G79" i="15"/>
  <c r="H79" i="15" s="1"/>
  <c r="J78" i="15"/>
  <c r="J93" i="15" s="1"/>
  <c r="J96" i="15" s="1"/>
  <c r="G78" i="15"/>
  <c r="H78" i="15" s="1"/>
  <c r="J77" i="15"/>
  <c r="J76" i="15"/>
  <c r="I76" i="15"/>
  <c r="F76" i="15"/>
  <c r="K75" i="15"/>
  <c r="H75" i="15"/>
  <c r="K74" i="15"/>
  <c r="K76" i="15" s="1"/>
  <c r="J73" i="15"/>
  <c r="I73" i="15"/>
  <c r="G73" i="15"/>
  <c r="F73" i="15"/>
  <c r="K72" i="15"/>
  <c r="H72" i="15"/>
  <c r="H73" i="15" s="1"/>
  <c r="K71" i="15"/>
  <c r="K73" i="15" s="1"/>
  <c r="H71" i="15"/>
  <c r="I70" i="15"/>
  <c r="I69" i="15"/>
  <c r="J68" i="15"/>
  <c r="K68" i="15" s="1"/>
  <c r="H68" i="15"/>
  <c r="G68" i="15"/>
  <c r="K67" i="15"/>
  <c r="H67" i="15"/>
  <c r="K66" i="15"/>
  <c r="H66" i="15"/>
  <c r="K65" i="15"/>
  <c r="H65" i="15"/>
  <c r="K64" i="15"/>
  <c r="H64" i="15"/>
  <c r="K63" i="15"/>
  <c r="H63" i="15"/>
  <c r="K62" i="15"/>
  <c r="I62" i="15"/>
  <c r="F62" i="15"/>
  <c r="H62" i="15" s="1"/>
  <c r="K60" i="15"/>
  <c r="H60" i="15"/>
  <c r="K59" i="15"/>
  <c r="H59" i="15"/>
  <c r="K58" i="15"/>
  <c r="H58" i="15"/>
  <c r="K57" i="15"/>
  <c r="H57" i="15"/>
  <c r="K56" i="15"/>
  <c r="H56" i="15"/>
  <c r="K55" i="15"/>
  <c r="F55" i="15"/>
  <c r="F69" i="15" s="1"/>
  <c r="F70" i="15" s="1"/>
  <c r="J54" i="15"/>
  <c r="K54" i="15" s="1"/>
  <c r="H54" i="15"/>
  <c r="G54" i="15"/>
  <c r="J53" i="15"/>
  <c r="K53" i="15" s="1"/>
  <c r="G53" i="15"/>
  <c r="H53" i="15" s="1"/>
  <c r="J52" i="15"/>
  <c r="G52" i="15"/>
  <c r="G69" i="15" s="1"/>
  <c r="G70" i="15" s="1"/>
  <c r="J51" i="15"/>
  <c r="I51" i="15"/>
  <c r="G51" i="15"/>
  <c r="F51" i="15"/>
  <c r="K50" i="15"/>
  <c r="K51" i="15" s="1"/>
  <c r="H50" i="15"/>
  <c r="H51" i="15" s="1"/>
  <c r="J49" i="15"/>
  <c r="K49" i="15" s="1"/>
  <c r="H49" i="15"/>
  <c r="G49" i="15"/>
  <c r="J48" i="15"/>
  <c r="K48" i="15" s="1"/>
  <c r="G48" i="15"/>
  <c r="H48" i="15" s="1"/>
  <c r="I47" i="15"/>
  <c r="F47" i="15"/>
  <c r="K46" i="15"/>
  <c r="K47" i="15" s="1"/>
  <c r="J46" i="15"/>
  <c r="J47" i="15" s="1"/>
  <c r="G46" i="15"/>
  <c r="G47" i="15" s="1"/>
  <c r="J45" i="15"/>
  <c r="F45" i="15"/>
  <c r="I44" i="15"/>
  <c r="F44" i="15"/>
  <c r="K43" i="15"/>
  <c r="H43" i="15"/>
  <c r="J42" i="15"/>
  <c r="K42" i="15" s="1"/>
  <c r="K44" i="15" s="1"/>
  <c r="G42" i="15"/>
  <c r="G44" i="15" s="1"/>
  <c r="I41" i="15"/>
  <c r="I45" i="15" s="1"/>
  <c r="F41" i="15"/>
  <c r="J40" i="15"/>
  <c r="J41" i="15" s="1"/>
  <c r="G40" i="15"/>
  <c r="G41" i="15" s="1"/>
  <c r="G45" i="15" s="1"/>
  <c r="K37" i="15"/>
  <c r="H37" i="15"/>
  <c r="K36" i="15"/>
  <c r="H36" i="15"/>
  <c r="K35" i="15"/>
  <c r="H35" i="15"/>
  <c r="I34" i="15"/>
  <c r="F34" i="15"/>
  <c r="G34" i="15" s="1"/>
  <c r="H34" i="15" s="1"/>
  <c r="K33" i="15"/>
  <c r="J33" i="15"/>
  <c r="G33" i="15"/>
  <c r="H33" i="15" s="1"/>
  <c r="J32" i="15"/>
  <c r="K32" i="15" s="1"/>
  <c r="G32" i="15"/>
  <c r="H32" i="15" s="1"/>
  <c r="J31" i="15"/>
  <c r="K31" i="15" s="1"/>
  <c r="G31" i="15"/>
  <c r="H31" i="15" s="1"/>
  <c r="J30" i="15"/>
  <c r="K30" i="15" s="1"/>
  <c r="G30" i="15"/>
  <c r="H30" i="15" s="1"/>
  <c r="K29" i="15"/>
  <c r="J29" i="15"/>
  <c r="G29" i="15"/>
  <c r="H29" i="15" s="1"/>
  <c r="J28" i="15"/>
  <c r="K28" i="15" s="1"/>
  <c r="G28" i="15"/>
  <c r="H28" i="15" s="1"/>
  <c r="J27" i="15"/>
  <c r="K27" i="15" s="1"/>
  <c r="G27" i="15"/>
  <c r="H27" i="15" s="1"/>
  <c r="J26" i="15"/>
  <c r="K26" i="15" s="1"/>
  <c r="G26" i="15"/>
  <c r="H26" i="15" s="1"/>
  <c r="K25" i="15"/>
  <c r="J25" i="15"/>
  <c r="G25" i="15"/>
  <c r="H25" i="15" s="1"/>
  <c r="J24" i="15"/>
  <c r="K24" i="15" s="1"/>
  <c r="G24" i="15"/>
  <c r="H24" i="15" s="1"/>
  <c r="J23" i="15"/>
  <c r="K23" i="15" s="1"/>
  <c r="G23" i="15"/>
  <c r="H23" i="15" s="1"/>
  <c r="J22" i="15"/>
  <c r="G22" i="15"/>
  <c r="G38" i="15" s="1"/>
  <c r="J21" i="15"/>
  <c r="I21" i="15"/>
  <c r="F21" i="15"/>
  <c r="J20" i="15"/>
  <c r="K20" i="15" s="1"/>
  <c r="G20" i="15"/>
  <c r="H20" i="15" s="1"/>
  <c r="J19" i="15"/>
  <c r="K19" i="15" s="1"/>
  <c r="K21" i="15" s="1"/>
  <c r="G19" i="15"/>
  <c r="H19" i="15" s="1"/>
  <c r="H21" i="15" s="1"/>
  <c r="H17" i="15"/>
  <c r="F17" i="15"/>
  <c r="I16" i="15"/>
  <c r="I18" i="15" s="1"/>
  <c r="J15" i="15"/>
  <c r="J16" i="15" s="1"/>
  <c r="J18" i="15" s="1"/>
  <c r="I15" i="15"/>
  <c r="G15" i="15"/>
  <c r="G16" i="15" s="1"/>
  <c r="G18" i="15" s="1"/>
  <c r="F15" i="15"/>
  <c r="F16" i="15" s="1"/>
  <c r="F18" i="15" s="1"/>
  <c r="K14" i="15"/>
  <c r="H14" i="15"/>
  <c r="K13" i="15"/>
  <c r="H13" i="15"/>
  <c r="K12" i="15"/>
  <c r="H12" i="15"/>
  <c r="K11" i="15"/>
  <c r="K15" i="15" s="1"/>
  <c r="K16" i="15" s="1"/>
  <c r="K18" i="15" s="1"/>
  <c r="H11" i="15"/>
  <c r="K10" i="15"/>
  <c r="H10" i="15"/>
  <c r="H15" i="15" s="1"/>
  <c r="H16" i="15" s="1"/>
  <c r="H18" i="15" s="1"/>
  <c r="K9" i="15"/>
  <c r="H9" i="15"/>
  <c r="K8" i="15"/>
  <c r="H8" i="15"/>
  <c r="K7" i="15"/>
  <c r="H7" i="15"/>
  <c r="K6" i="15"/>
  <c r="H6" i="15"/>
  <c r="J72" i="14"/>
  <c r="J74" i="14" s="1"/>
  <c r="I72" i="14"/>
  <c r="I74" i="14" s="1"/>
  <c r="F72" i="14"/>
  <c r="F74" i="14" s="1"/>
  <c r="K71" i="14"/>
  <c r="J71" i="14"/>
  <c r="G71" i="14"/>
  <c r="H71" i="14" s="1"/>
  <c r="K70" i="14"/>
  <c r="J70" i="14"/>
  <c r="G70" i="14"/>
  <c r="H70" i="14" s="1"/>
  <c r="K69" i="14"/>
  <c r="J69" i="14"/>
  <c r="G69" i="14"/>
  <c r="H69" i="14" s="1"/>
  <c r="K68" i="14"/>
  <c r="J68" i="14"/>
  <c r="G68" i="14"/>
  <c r="H68" i="14" s="1"/>
  <c r="K67" i="14"/>
  <c r="J67" i="14"/>
  <c r="G67" i="14"/>
  <c r="H67" i="14" s="1"/>
  <c r="K66" i="14"/>
  <c r="J66" i="14"/>
  <c r="G66" i="14"/>
  <c r="H66" i="14" s="1"/>
  <c r="K65" i="14"/>
  <c r="J65" i="14"/>
  <c r="G65" i="14"/>
  <c r="H65" i="14" s="1"/>
  <c r="K64" i="14"/>
  <c r="J64" i="14"/>
  <c r="G64" i="14"/>
  <c r="H64" i="14" s="1"/>
  <c r="K63" i="14"/>
  <c r="J63" i="14"/>
  <c r="G63" i="14"/>
  <c r="H63" i="14" s="1"/>
  <c r="K62" i="14"/>
  <c r="J62" i="14"/>
  <c r="G62" i="14"/>
  <c r="H62" i="14" s="1"/>
  <c r="K61" i="14"/>
  <c r="J61" i="14"/>
  <c r="G61" i="14"/>
  <c r="G72" i="14" s="1"/>
  <c r="K58" i="14"/>
  <c r="H58" i="14"/>
  <c r="K57" i="14"/>
  <c r="H57" i="14"/>
  <c r="J56" i="14"/>
  <c r="I56" i="14"/>
  <c r="G56" i="14"/>
  <c r="F56" i="14"/>
  <c r="K55" i="14"/>
  <c r="H55" i="14"/>
  <c r="H56" i="14" s="1"/>
  <c r="K54" i="14"/>
  <c r="K56" i="14" s="1"/>
  <c r="H54" i="14"/>
  <c r="I52" i="14"/>
  <c r="F52" i="14"/>
  <c r="K51" i="14"/>
  <c r="H51" i="14"/>
  <c r="K49" i="14"/>
  <c r="J49" i="14"/>
  <c r="I49" i="14"/>
  <c r="G49" i="14"/>
  <c r="F49" i="14"/>
  <c r="K48" i="14"/>
  <c r="H48" i="14"/>
  <c r="H49" i="14" s="1"/>
  <c r="I46" i="14"/>
  <c r="F46" i="14"/>
  <c r="F47" i="14" s="1"/>
  <c r="K45" i="14"/>
  <c r="H45" i="14"/>
  <c r="J44" i="14"/>
  <c r="K44" i="14" s="1"/>
  <c r="G44" i="14"/>
  <c r="H44" i="14" s="1"/>
  <c r="J43" i="14"/>
  <c r="K43" i="14" s="1"/>
  <c r="G43" i="14"/>
  <c r="H43" i="14" s="1"/>
  <c r="J42" i="14"/>
  <c r="K42" i="14" s="1"/>
  <c r="G42" i="14"/>
  <c r="H42" i="14" s="1"/>
  <c r="J41" i="14"/>
  <c r="K41" i="14" s="1"/>
  <c r="H41" i="14"/>
  <c r="G41" i="14"/>
  <c r="I40" i="14"/>
  <c r="F40" i="14"/>
  <c r="J39" i="14"/>
  <c r="J40" i="14" s="1"/>
  <c r="G39" i="14"/>
  <c r="G40" i="14" s="1"/>
  <c r="K38" i="14"/>
  <c r="J38" i="14"/>
  <c r="G38" i="14"/>
  <c r="H38" i="14" s="1"/>
  <c r="J37" i="14"/>
  <c r="K37" i="14" s="1"/>
  <c r="G37" i="14"/>
  <c r="H37" i="14" s="1"/>
  <c r="J36" i="14"/>
  <c r="K36" i="14" s="1"/>
  <c r="G36" i="14"/>
  <c r="H36" i="14" s="1"/>
  <c r="F35" i="14"/>
  <c r="F53" i="14" s="1"/>
  <c r="I34" i="14"/>
  <c r="F34" i="14"/>
  <c r="K33" i="14"/>
  <c r="K34" i="14" s="1"/>
  <c r="J33" i="14"/>
  <c r="J34" i="14" s="1"/>
  <c r="G33" i="14"/>
  <c r="G34" i="14" s="1"/>
  <c r="J32" i="14"/>
  <c r="J35" i="14" s="1"/>
  <c r="I32" i="14"/>
  <c r="I35" i="14" s="1"/>
  <c r="F32" i="14"/>
  <c r="J31" i="14"/>
  <c r="K31" i="14" s="1"/>
  <c r="K32" i="14" s="1"/>
  <c r="K35" i="14" s="1"/>
  <c r="G31" i="14"/>
  <c r="H31" i="14" s="1"/>
  <c r="H32" i="14" s="1"/>
  <c r="I30" i="14"/>
  <c r="I29" i="14"/>
  <c r="F29" i="14"/>
  <c r="F30" i="14" s="1"/>
  <c r="J28" i="14"/>
  <c r="K28" i="14" s="1"/>
  <c r="G28" i="14"/>
  <c r="H28" i="14" s="1"/>
  <c r="K27" i="14"/>
  <c r="H27" i="14"/>
  <c r="J26" i="14"/>
  <c r="K26" i="14" s="1"/>
  <c r="G26" i="14"/>
  <c r="H26" i="14" s="1"/>
  <c r="J25" i="14"/>
  <c r="K25" i="14" s="1"/>
  <c r="G25" i="14"/>
  <c r="H25" i="14" s="1"/>
  <c r="J24" i="14"/>
  <c r="K24" i="14" s="1"/>
  <c r="G24" i="14"/>
  <c r="H24" i="14" s="1"/>
  <c r="K23" i="14"/>
  <c r="J23" i="14"/>
  <c r="G23" i="14"/>
  <c r="H23" i="14" s="1"/>
  <c r="J22" i="14"/>
  <c r="J29" i="14" s="1"/>
  <c r="J30" i="14" s="1"/>
  <c r="G22" i="14"/>
  <c r="H22" i="14" s="1"/>
  <c r="K21" i="14"/>
  <c r="H21" i="14"/>
  <c r="J20" i="14"/>
  <c r="K20" i="14" s="1"/>
  <c r="G20" i="14"/>
  <c r="H20" i="14" s="1"/>
  <c r="J19" i="14"/>
  <c r="K19" i="14" s="1"/>
  <c r="H19" i="14"/>
  <c r="G19" i="14"/>
  <c r="J18" i="14"/>
  <c r="K18" i="14" s="1"/>
  <c r="G18" i="14"/>
  <c r="H18" i="14" s="1"/>
  <c r="H29" i="14" s="1"/>
  <c r="I17" i="14"/>
  <c r="F17" i="14"/>
  <c r="K16" i="14"/>
  <c r="J16" i="14"/>
  <c r="G16" i="14"/>
  <c r="H16" i="14" s="1"/>
  <c r="J15" i="14"/>
  <c r="J17" i="14" s="1"/>
  <c r="G15" i="14"/>
  <c r="G17" i="14" s="1"/>
  <c r="K13" i="14"/>
  <c r="H13" i="14"/>
  <c r="F13" i="14"/>
  <c r="I12" i="14"/>
  <c r="K12" i="14" s="1"/>
  <c r="K14" i="14" s="1"/>
  <c r="K11" i="14"/>
  <c r="H11" i="14"/>
  <c r="K10" i="14"/>
  <c r="I10" i="14"/>
  <c r="F10" i="14"/>
  <c r="H10" i="14" s="1"/>
  <c r="K9" i="14"/>
  <c r="I9" i="14"/>
  <c r="F9" i="14"/>
  <c r="K8" i="14"/>
  <c r="H8" i="14"/>
  <c r="K7" i="14"/>
  <c r="H7" i="14"/>
  <c r="K6" i="14"/>
  <c r="H6" i="14"/>
  <c r="O61" i="13"/>
  <c r="N61" i="13"/>
  <c r="M61" i="13"/>
  <c r="L61" i="13"/>
  <c r="P59" i="13"/>
  <c r="I59" i="13"/>
  <c r="F59" i="13"/>
  <c r="F61" i="13" s="1"/>
  <c r="R58" i="13"/>
  <c r="Q58" i="13"/>
  <c r="G58" i="13"/>
  <c r="H58" i="13" s="1"/>
  <c r="R57" i="13"/>
  <c r="Q57" i="13"/>
  <c r="G57" i="13"/>
  <c r="H57" i="13" s="1"/>
  <c r="R56" i="13"/>
  <c r="Q56" i="13"/>
  <c r="J56" i="13"/>
  <c r="K56" i="13" s="1"/>
  <c r="H56" i="13"/>
  <c r="G56" i="13"/>
  <c r="Q55" i="13"/>
  <c r="R55" i="13" s="1"/>
  <c r="K55" i="13"/>
  <c r="J55" i="13"/>
  <c r="G55" i="13"/>
  <c r="H55" i="13" s="1"/>
  <c r="R54" i="13"/>
  <c r="Q54" i="13"/>
  <c r="J54" i="13"/>
  <c r="K54" i="13" s="1"/>
  <c r="H54" i="13"/>
  <c r="G54" i="13"/>
  <c r="Q53" i="13"/>
  <c r="K53" i="13"/>
  <c r="J53" i="13"/>
  <c r="G53" i="13"/>
  <c r="R52" i="13"/>
  <c r="Q52" i="13"/>
  <c r="P52" i="13"/>
  <c r="P61" i="13" s="1"/>
  <c r="J52" i="13"/>
  <c r="I52" i="13"/>
  <c r="G52" i="13"/>
  <c r="F52" i="13"/>
  <c r="R51" i="13"/>
  <c r="K51" i="13"/>
  <c r="H51" i="13"/>
  <c r="H52" i="13" s="1"/>
  <c r="K50" i="13"/>
  <c r="K52" i="13" s="1"/>
  <c r="P47" i="13"/>
  <c r="F47" i="13"/>
  <c r="R46" i="13"/>
  <c r="H46" i="13"/>
  <c r="Q44" i="13"/>
  <c r="P44" i="13"/>
  <c r="O44" i="13"/>
  <c r="N44" i="13"/>
  <c r="M44" i="13"/>
  <c r="L44" i="13"/>
  <c r="K44" i="13"/>
  <c r="J44" i="13"/>
  <c r="I44" i="13"/>
  <c r="G44" i="13"/>
  <c r="F44" i="13"/>
  <c r="R43" i="13"/>
  <c r="R44" i="13" s="1"/>
  <c r="H43" i="13"/>
  <c r="H44" i="13" s="1"/>
  <c r="Q41" i="13"/>
  <c r="P41" i="13"/>
  <c r="F41" i="13"/>
  <c r="R40" i="13"/>
  <c r="Q40" i="13"/>
  <c r="G40" i="13"/>
  <c r="H40" i="13" s="1"/>
  <c r="R39" i="13"/>
  <c r="Q39" i="13"/>
  <c r="G39" i="13"/>
  <c r="R38" i="13"/>
  <c r="H38" i="13"/>
  <c r="P37" i="13"/>
  <c r="O37" i="13"/>
  <c r="N37" i="13"/>
  <c r="M37" i="13"/>
  <c r="L37" i="13"/>
  <c r="L42" i="13" s="1"/>
  <c r="L48" i="13" s="1"/>
  <c r="K37" i="13"/>
  <c r="J37" i="13"/>
  <c r="I37" i="13"/>
  <c r="F37" i="13"/>
  <c r="R36" i="13"/>
  <c r="Q36" i="13"/>
  <c r="Q37" i="13" s="1"/>
  <c r="G36" i="13"/>
  <c r="G37" i="13" s="1"/>
  <c r="R35" i="13"/>
  <c r="H35" i="13"/>
  <c r="Q34" i="13"/>
  <c r="R34" i="13" s="1"/>
  <c r="G34" i="13"/>
  <c r="H34" i="13" s="1"/>
  <c r="P33" i="13"/>
  <c r="P42" i="13" s="1"/>
  <c r="P48" i="13" s="1"/>
  <c r="O33" i="13"/>
  <c r="O42" i="13" s="1"/>
  <c r="O48" i="13" s="1"/>
  <c r="N33" i="13"/>
  <c r="M33" i="13"/>
  <c r="L33" i="13"/>
  <c r="K33" i="13"/>
  <c r="J33" i="13"/>
  <c r="I33" i="13"/>
  <c r="G33" i="13"/>
  <c r="F33" i="13"/>
  <c r="Q32" i="13"/>
  <c r="H32" i="13"/>
  <c r="H33" i="13" s="1"/>
  <c r="G32" i="13"/>
  <c r="Q31" i="13"/>
  <c r="P31" i="13"/>
  <c r="M31" i="13"/>
  <c r="L31" i="13"/>
  <c r="I31" i="13"/>
  <c r="R30" i="13"/>
  <c r="R31" i="13" s="1"/>
  <c r="Q30" i="13"/>
  <c r="P30" i="13"/>
  <c r="O30" i="13"/>
  <c r="O31" i="13" s="1"/>
  <c r="N30" i="13"/>
  <c r="N31" i="13" s="1"/>
  <c r="M30" i="13"/>
  <c r="L30" i="13"/>
  <c r="K30" i="13"/>
  <c r="K31" i="13" s="1"/>
  <c r="K42" i="13" s="1"/>
  <c r="K48" i="13" s="1"/>
  <c r="J30" i="13"/>
  <c r="J31" i="13" s="1"/>
  <c r="I30" i="13"/>
  <c r="F30" i="13"/>
  <c r="F31" i="13" s="1"/>
  <c r="R29" i="13"/>
  <c r="Q29" i="13"/>
  <c r="G29" i="13"/>
  <c r="O28" i="13"/>
  <c r="N28" i="13"/>
  <c r="J28" i="13"/>
  <c r="P27" i="13"/>
  <c r="O27" i="13"/>
  <c r="N27" i="13"/>
  <c r="M27" i="13"/>
  <c r="M28" i="13" s="1"/>
  <c r="L27" i="13"/>
  <c r="L28" i="13" s="1"/>
  <c r="K27" i="13"/>
  <c r="K28" i="13" s="1"/>
  <c r="J27" i="13"/>
  <c r="I27" i="13"/>
  <c r="I28" i="13" s="1"/>
  <c r="F27" i="13"/>
  <c r="Q26" i="13"/>
  <c r="R26" i="13" s="1"/>
  <c r="H26" i="13"/>
  <c r="G26" i="13"/>
  <c r="Q25" i="13"/>
  <c r="R25" i="13" s="1"/>
  <c r="H25" i="13"/>
  <c r="G25" i="13"/>
  <c r="R24" i="13"/>
  <c r="H24" i="13"/>
  <c r="R23" i="13"/>
  <c r="Q23" i="13"/>
  <c r="G23" i="13"/>
  <c r="H23" i="13" s="1"/>
  <c r="R22" i="13"/>
  <c r="Q22" i="13"/>
  <c r="G22" i="13"/>
  <c r="H22" i="13" s="1"/>
  <c r="R21" i="13"/>
  <c r="Q21" i="13"/>
  <c r="G21" i="13"/>
  <c r="H21" i="13" s="1"/>
  <c r="R20" i="13"/>
  <c r="Q20" i="13"/>
  <c r="G20" i="13"/>
  <c r="H20" i="13" s="1"/>
  <c r="R19" i="13"/>
  <c r="H19" i="13"/>
  <c r="Q18" i="13"/>
  <c r="R18" i="13" s="1"/>
  <c r="H18" i="13"/>
  <c r="G18" i="13"/>
  <c r="Q17" i="13"/>
  <c r="R17" i="13" s="1"/>
  <c r="H17" i="13"/>
  <c r="G17" i="13"/>
  <c r="R16" i="13"/>
  <c r="R27" i="13" s="1"/>
  <c r="Q16" i="13"/>
  <c r="H16" i="13"/>
  <c r="H27" i="13" s="1"/>
  <c r="G16" i="13"/>
  <c r="R15" i="13"/>
  <c r="R28" i="13" s="1"/>
  <c r="Q15" i="13"/>
  <c r="P15" i="13"/>
  <c r="P28" i="13" s="1"/>
  <c r="F15" i="13"/>
  <c r="F28" i="13" s="1"/>
  <c r="R14" i="13"/>
  <c r="Q14" i="13"/>
  <c r="G14" i="13"/>
  <c r="H14" i="13" s="1"/>
  <c r="R13" i="13"/>
  <c r="Q13" i="13"/>
  <c r="G13" i="13"/>
  <c r="G15" i="13" s="1"/>
  <c r="R11" i="13"/>
  <c r="H11" i="13"/>
  <c r="P10" i="13"/>
  <c r="P12" i="13" s="1"/>
  <c r="R9" i="13"/>
  <c r="H9" i="13"/>
  <c r="R8" i="13"/>
  <c r="H8" i="13"/>
  <c r="R7" i="13"/>
  <c r="H7" i="13"/>
  <c r="R6" i="13"/>
  <c r="H6" i="13"/>
  <c r="P5" i="13"/>
  <c r="R5" i="13" s="1"/>
  <c r="H5" i="13"/>
  <c r="F5" i="13"/>
  <c r="F10" i="13" s="1"/>
  <c r="P20" i="28" l="1"/>
  <c r="Q20" i="28" s="1"/>
  <c r="Q26" i="28"/>
  <c r="H74" i="18"/>
  <c r="J82" i="18"/>
  <c r="J84" i="18" s="1"/>
  <c r="O36" i="28"/>
  <c r="O38" i="28" s="1"/>
  <c r="N14" i="28"/>
  <c r="Q19" i="28"/>
  <c r="L20" i="28"/>
  <c r="N20" i="28" s="1"/>
  <c r="J97" i="15"/>
  <c r="K96" i="15"/>
  <c r="H39" i="15"/>
  <c r="F39" i="15"/>
  <c r="F77" i="15" s="1"/>
  <c r="F97" i="15" s="1"/>
  <c r="G74" i="15"/>
  <c r="H93" i="15"/>
  <c r="G21" i="15"/>
  <c r="G39" i="15" s="1"/>
  <c r="G93" i="15"/>
  <c r="G96" i="15" s="1"/>
  <c r="J38" i="15"/>
  <c r="J39" i="15" s="1"/>
  <c r="K40" i="15"/>
  <c r="K41" i="15" s="1"/>
  <c r="K45" i="15" s="1"/>
  <c r="H52" i="15"/>
  <c r="H69" i="15" s="1"/>
  <c r="H70" i="15" s="1"/>
  <c r="K78" i="15"/>
  <c r="K93" i="15" s="1"/>
  <c r="K22" i="15"/>
  <c r="K34" i="15"/>
  <c r="J34" i="15"/>
  <c r="I38" i="15"/>
  <c r="I39" i="15" s="1"/>
  <c r="I77" i="15" s="1"/>
  <c r="I97" i="15" s="1"/>
  <c r="H42" i="15"/>
  <c r="H44" i="15" s="1"/>
  <c r="J69" i="15"/>
  <c r="J70" i="15" s="1"/>
  <c r="H55" i="15"/>
  <c r="F38" i="15"/>
  <c r="J44" i="15"/>
  <c r="H22" i="15"/>
  <c r="H38" i="15" s="1"/>
  <c r="H40" i="15"/>
  <c r="H41" i="15" s="1"/>
  <c r="H46" i="15"/>
  <c r="H47" i="15" s="1"/>
  <c r="K52" i="15"/>
  <c r="K69" i="15" s="1"/>
  <c r="K70" i="15" s="1"/>
  <c r="K60" i="14"/>
  <c r="K72" i="14" s="1"/>
  <c r="K74" i="14" s="1"/>
  <c r="H46" i="14"/>
  <c r="H47" i="14" s="1"/>
  <c r="F12" i="14"/>
  <c r="H9" i="14"/>
  <c r="G29" i="14"/>
  <c r="G30" i="14" s="1"/>
  <c r="I14" i="14"/>
  <c r="K15" i="14"/>
  <c r="K17" i="14" s="1"/>
  <c r="K22" i="14"/>
  <c r="K29" i="14" s="1"/>
  <c r="K30" i="14" s="1"/>
  <c r="K46" i="14"/>
  <c r="H59" i="14"/>
  <c r="H60" i="14" s="1"/>
  <c r="G32" i="14"/>
  <c r="G35" i="14" s="1"/>
  <c r="J47" i="14"/>
  <c r="J50" i="14" s="1"/>
  <c r="G73" i="14"/>
  <c r="H73" i="14" s="1"/>
  <c r="K39" i="14"/>
  <c r="K40" i="14" s="1"/>
  <c r="G46" i="14"/>
  <c r="G47" i="14" s="1"/>
  <c r="G50" i="14" s="1"/>
  <c r="I47" i="14"/>
  <c r="I53" i="14" s="1"/>
  <c r="G74" i="14"/>
  <c r="J73" i="14"/>
  <c r="K73" i="14" s="1"/>
  <c r="K59" i="14"/>
  <c r="H61" i="14"/>
  <c r="H15" i="14"/>
  <c r="H17" i="14" s="1"/>
  <c r="H30" i="14" s="1"/>
  <c r="H33" i="14"/>
  <c r="H34" i="14" s="1"/>
  <c r="H35" i="14" s="1"/>
  <c r="H39" i="14"/>
  <c r="H40" i="14" s="1"/>
  <c r="G28" i="13"/>
  <c r="H10" i="13"/>
  <c r="H12" i="13" s="1"/>
  <c r="J42" i="13"/>
  <c r="J48" i="13" s="1"/>
  <c r="N42" i="13"/>
  <c r="N48" i="13" s="1"/>
  <c r="F42" i="13"/>
  <c r="F48" i="13" s="1"/>
  <c r="F62" i="13" s="1"/>
  <c r="G60" i="13"/>
  <c r="H60" i="13" s="1"/>
  <c r="G59" i="13"/>
  <c r="G61" i="13" s="1"/>
  <c r="H61" i="13" s="1"/>
  <c r="H53" i="13"/>
  <c r="H59" i="13" s="1"/>
  <c r="Q59" i="13"/>
  <c r="F12" i="13"/>
  <c r="H13" i="13"/>
  <c r="H15" i="13" s="1"/>
  <c r="H28" i="13" s="1"/>
  <c r="Q33" i="13"/>
  <c r="R32" i="13"/>
  <c r="R33" i="13" s="1"/>
  <c r="R37" i="13"/>
  <c r="R41" i="13"/>
  <c r="R42" i="13" s="1"/>
  <c r="I61" i="13"/>
  <c r="K59" i="13"/>
  <c r="K61" i="13" s="1"/>
  <c r="R10" i="13"/>
  <c r="R12" i="13" s="1"/>
  <c r="G27" i="13"/>
  <c r="G45" i="13" s="1"/>
  <c r="G41" i="13"/>
  <c r="G42" i="13" s="1"/>
  <c r="H39" i="13"/>
  <c r="H41" i="13" s="1"/>
  <c r="J59" i="13"/>
  <c r="P62" i="13"/>
  <c r="Q27" i="13"/>
  <c r="Q45" i="13" s="1"/>
  <c r="G30" i="13"/>
  <c r="G31" i="13" s="1"/>
  <c r="H29" i="13"/>
  <c r="H30" i="13" s="1"/>
  <c r="H31" i="13" s="1"/>
  <c r="I42" i="13"/>
  <c r="I48" i="13" s="1"/>
  <c r="M42" i="13"/>
  <c r="M48" i="13" s="1"/>
  <c r="Q60" i="13"/>
  <c r="R60" i="13" s="1"/>
  <c r="R53" i="13"/>
  <c r="R59" i="13" s="1"/>
  <c r="H36" i="13"/>
  <c r="H37" i="13" s="1"/>
  <c r="K77" i="15" l="1"/>
  <c r="K97" i="15" s="1"/>
  <c r="G97" i="15"/>
  <c r="H96" i="15"/>
  <c r="G76" i="15"/>
  <c r="G77" i="15" s="1"/>
  <c r="H74" i="15"/>
  <c r="H76" i="15" s="1"/>
  <c r="K38" i="15"/>
  <c r="K39" i="15" s="1"/>
  <c r="H45" i="15"/>
  <c r="J52" i="14"/>
  <c r="J53" i="14" s="1"/>
  <c r="K53" i="14" s="1"/>
  <c r="K50" i="14"/>
  <c r="K52" i="14" s="1"/>
  <c r="J75" i="14"/>
  <c r="H50" i="14"/>
  <c r="H52" i="14" s="1"/>
  <c r="G52" i="14"/>
  <c r="G53" i="14" s="1"/>
  <c r="H53" i="14" s="1"/>
  <c r="G75" i="14"/>
  <c r="H72" i="14"/>
  <c r="H74" i="14" s="1"/>
  <c r="F14" i="14"/>
  <c r="F75" i="14" s="1"/>
  <c r="H12" i="14"/>
  <c r="H14" i="14" s="1"/>
  <c r="I75" i="14"/>
  <c r="K75" i="14" s="1"/>
  <c r="K47" i="14"/>
  <c r="G47" i="13"/>
  <c r="G48" i="13" s="1"/>
  <c r="H45" i="13"/>
  <c r="H47" i="13" s="1"/>
  <c r="H42" i="13"/>
  <c r="H48" i="13" s="1"/>
  <c r="H62" i="13" s="1"/>
  <c r="R45" i="13"/>
  <c r="R47" i="13" s="1"/>
  <c r="Q47" i="13"/>
  <c r="Q48" i="13" s="1"/>
  <c r="R48" i="13"/>
  <c r="Q28" i="13"/>
  <c r="Q42" i="13" s="1"/>
  <c r="Q61" i="13"/>
  <c r="R61" i="13" s="1"/>
  <c r="Q62" i="13"/>
  <c r="J61" i="13"/>
  <c r="J60" i="13"/>
  <c r="K60" i="13" s="1"/>
  <c r="G62" i="13"/>
  <c r="H77" i="15" l="1"/>
  <c r="H97" i="15" s="1"/>
  <c r="H75" i="14"/>
  <c r="R62" i="13"/>
  <c r="H80" i="11" l="1"/>
  <c r="J79" i="11"/>
  <c r="J78" i="11"/>
  <c r="J77" i="11"/>
  <c r="I76" i="11"/>
  <c r="I80" i="11" s="1"/>
  <c r="H76" i="11"/>
  <c r="J75" i="11"/>
  <c r="H73" i="11"/>
  <c r="J73" i="11" s="1"/>
  <c r="J70" i="11"/>
  <c r="J69" i="11"/>
  <c r="I68" i="11"/>
  <c r="I73" i="11" s="1"/>
  <c r="H68" i="11"/>
  <c r="J67" i="11"/>
  <c r="J66" i="11"/>
  <c r="I63" i="11"/>
  <c r="I66" i="11" s="1"/>
  <c r="I74" i="11" s="1"/>
  <c r="H63" i="11"/>
  <c r="H66" i="11" s="1"/>
  <c r="H74" i="11" s="1"/>
  <c r="K57" i="11"/>
  <c r="K60" i="11" s="1"/>
  <c r="J56" i="11"/>
  <c r="J53" i="11" s="1"/>
  <c r="J55" i="11"/>
  <c r="I53" i="11"/>
  <c r="H53" i="11"/>
  <c r="H57" i="11" s="1"/>
  <c r="J52" i="11"/>
  <c r="J51" i="11"/>
  <c r="J50" i="11"/>
  <c r="I50" i="11"/>
  <c r="H50" i="11"/>
  <c r="J48" i="11"/>
  <c r="J47" i="11"/>
  <c r="I47" i="11"/>
  <c r="I57" i="11" s="1"/>
  <c r="H47" i="11"/>
  <c r="K46" i="11"/>
  <c r="J45" i="11"/>
  <c r="J44" i="11"/>
  <c r="J43" i="11"/>
  <c r="J41" i="11" s="1"/>
  <c r="H41" i="11" s="1"/>
  <c r="I42" i="11"/>
  <c r="H42" i="11"/>
  <c r="I41" i="11"/>
  <c r="J39" i="11"/>
  <c r="J37" i="11"/>
  <c r="J46" i="11" s="1"/>
  <c r="I37" i="11"/>
  <c r="I46" i="11" s="1"/>
  <c r="H37" i="11"/>
  <c r="J33" i="11"/>
  <c r="I33" i="11"/>
  <c r="H33" i="11"/>
  <c r="K29" i="11"/>
  <c r="K81" i="11" s="1"/>
  <c r="J28" i="11"/>
  <c r="J27" i="11"/>
  <c r="J25" i="11"/>
  <c r="I25" i="11"/>
  <c r="H25" i="11"/>
  <c r="J21" i="11"/>
  <c r="J29" i="11" s="1"/>
  <c r="I21" i="11"/>
  <c r="I29" i="11" s="1"/>
  <c r="H21" i="11"/>
  <c r="I14" i="11"/>
  <c r="H14" i="11"/>
  <c r="H29" i="11" l="1"/>
  <c r="H81" i="11" s="1"/>
  <c r="J60" i="11"/>
  <c r="K82" i="11"/>
  <c r="K84" i="11" s="1"/>
  <c r="K61" i="11"/>
  <c r="J74" i="11"/>
  <c r="I81" i="11"/>
  <c r="H46" i="11"/>
  <c r="H60" i="11" s="1"/>
  <c r="H82" i="11" s="1"/>
  <c r="I60" i="11"/>
  <c r="I82" i="11" s="1"/>
  <c r="J57" i="11"/>
  <c r="J80" i="11"/>
  <c r="J81" i="11" s="1"/>
  <c r="J68" i="11"/>
  <c r="J76" i="11"/>
  <c r="AL39" i="6"/>
  <c r="X39" i="6"/>
  <c r="AL33" i="6"/>
  <c r="AL35" i="6" s="1"/>
  <c r="AL36" i="6" s="1"/>
  <c r="X33" i="6"/>
  <c r="X35" i="6" s="1"/>
  <c r="X36" i="6" s="1"/>
  <c r="AL22" i="6"/>
  <c r="X22" i="6"/>
  <c r="AI14" i="5"/>
  <c r="AI15" i="5" s="1"/>
  <c r="AI17" i="5" s="1"/>
  <c r="V14" i="5"/>
  <c r="AI9" i="5"/>
  <c r="V9" i="5"/>
  <c r="V15" i="5" s="1"/>
  <c r="V17" i="5" s="1"/>
  <c r="D62" i="4"/>
  <c r="C62" i="4"/>
  <c r="B62" i="4"/>
  <c r="F61" i="4"/>
  <c r="D61" i="4"/>
  <c r="C61" i="4"/>
  <c r="F44" i="4"/>
  <c r="F12" i="4" s="1"/>
  <c r="E44" i="4"/>
  <c r="E62" i="4" s="1"/>
  <c r="B44" i="4"/>
  <c r="F31" i="4"/>
  <c r="E31" i="4"/>
  <c r="D31" i="4"/>
  <c r="B31" i="4"/>
  <c r="F20" i="4"/>
  <c r="E20" i="4"/>
  <c r="D20" i="4"/>
  <c r="B20" i="4"/>
  <c r="F17" i="4"/>
  <c r="E17" i="4"/>
  <c r="D17" i="4"/>
  <c r="B17" i="4"/>
  <c r="E12" i="4"/>
  <c r="D12" i="4"/>
  <c r="C12" i="4"/>
  <c r="B12" i="4"/>
  <c r="F7" i="4"/>
  <c r="E7" i="4"/>
  <c r="D7" i="4"/>
  <c r="B7" i="4"/>
  <c r="I25" i="3"/>
  <c r="I13" i="3"/>
  <c r="I20" i="3" s="1"/>
  <c r="I35" i="3" s="1"/>
  <c r="E31" i="3"/>
  <c r="E25" i="3"/>
  <c r="E26" i="3" s="1"/>
  <c r="E20" i="3"/>
  <c r="I84" i="11" l="1"/>
  <c r="H61" i="11"/>
  <c r="H84" i="11"/>
  <c r="J82" i="11"/>
  <c r="J84" i="11" s="1"/>
  <c r="I61" i="11"/>
  <c r="J61" i="11"/>
  <c r="F62" i="4"/>
  <c r="E21" i="3"/>
  <c r="H16" i="2"/>
  <c r="K84" i="2"/>
  <c r="I83" i="2"/>
  <c r="J81" i="2"/>
  <c r="J80" i="2"/>
  <c r="J79" i="2"/>
  <c r="I78" i="2"/>
  <c r="H78" i="2"/>
  <c r="H83" i="2" s="1"/>
  <c r="I75" i="2"/>
  <c r="J71" i="2"/>
  <c r="J70" i="2"/>
  <c r="J69" i="2"/>
  <c r="I69" i="2"/>
  <c r="H69" i="2"/>
  <c r="H75" i="2" s="1"/>
  <c r="J75" i="2" s="1"/>
  <c r="J68" i="2"/>
  <c r="J65" i="2"/>
  <c r="J64" i="2" s="1"/>
  <c r="J67" i="2" s="1"/>
  <c r="I64" i="2"/>
  <c r="I67" i="2" s="1"/>
  <c r="I76" i="2" s="1"/>
  <c r="H64" i="2"/>
  <c r="H67" i="2" s="1"/>
  <c r="H76" i="2" s="1"/>
  <c r="J63" i="2"/>
  <c r="K58" i="2"/>
  <c r="H58" i="2"/>
  <c r="J57" i="2"/>
  <c r="J56" i="2"/>
  <c r="J55" i="2"/>
  <c r="I54" i="2"/>
  <c r="I58" i="2" s="1"/>
  <c r="H54" i="2"/>
  <c r="J53" i="2"/>
  <c r="J52" i="2"/>
  <c r="J51" i="2"/>
  <c r="I51" i="2"/>
  <c r="H51" i="2"/>
  <c r="J50" i="2"/>
  <c r="J49" i="2"/>
  <c r="I48" i="2"/>
  <c r="H48" i="2"/>
  <c r="K47" i="2"/>
  <c r="K61" i="2" s="1"/>
  <c r="K85" i="2" s="1"/>
  <c r="J46" i="2"/>
  <c r="J45" i="2"/>
  <c r="J44" i="2"/>
  <c r="J43" i="2"/>
  <c r="I42" i="2"/>
  <c r="H42" i="2"/>
  <c r="J41" i="2"/>
  <c r="J40" i="2"/>
  <c r="I40" i="2" s="1"/>
  <c r="J39" i="2"/>
  <c r="J37" i="2"/>
  <c r="J36" i="2"/>
  <c r="J35" i="2"/>
  <c r="I34" i="2"/>
  <c r="H34" i="2"/>
  <c r="J33" i="2"/>
  <c r="K30" i="2"/>
  <c r="I26" i="2"/>
  <c r="H26" i="2"/>
  <c r="J24" i="2"/>
  <c r="J23" i="2"/>
  <c r="J21" i="2"/>
  <c r="J19" i="2"/>
  <c r="J17" i="2"/>
  <c r="I17" i="2"/>
  <c r="J15" i="2"/>
  <c r="I15" i="2"/>
  <c r="J13" i="2"/>
  <c r="I13" i="2"/>
  <c r="J12" i="2"/>
  <c r="J11" i="2"/>
  <c r="J10" i="2"/>
  <c r="H17" i="2" l="1"/>
  <c r="J26" i="2"/>
  <c r="J42" i="2"/>
  <c r="J38" i="2"/>
  <c r="I14" i="2"/>
  <c r="I22" i="2" s="1"/>
  <c r="I30" i="2" s="1"/>
  <c r="J48" i="2"/>
  <c r="J14" i="2"/>
  <c r="J22" i="2" s="1"/>
  <c r="J30" i="2" s="1"/>
  <c r="J84" i="2" s="1"/>
  <c r="H13" i="2"/>
  <c r="J54" i="2"/>
  <c r="H15" i="2"/>
  <c r="H14" i="2" s="1"/>
  <c r="H22" i="2" s="1"/>
  <c r="H30" i="2" s="1"/>
  <c r="J34" i="2"/>
  <c r="J78" i="2"/>
  <c r="J83" i="2" s="1"/>
  <c r="I38" i="2"/>
  <c r="H40" i="2"/>
  <c r="H38" i="2" s="1"/>
  <c r="H47" i="2" s="1"/>
  <c r="I47" i="2"/>
  <c r="J76" i="2"/>
  <c r="K62" i="2"/>
  <c r="I61" i="2" l="1"/>
  <c r="I85" i="2" s="1"/>
  <c r="I86" i="2" s="1"/>
  <c r="J47" i="2"/>
  <c r="H85" i="2"/>
  <c r="H61" i="2"/>
  <c r="I62" i="2"/>
  <c r="I84" i="2"/>
  <c r="J58" i="2"/>
  <c r="J61" i="2" s="1"/>
  <c r="J62" i="2" s="1"/>
  <c r="H62" i="2"/>
  <c r="H84" i="2"/>
  <c r="H86" i="2" l="1"/>
  <c r="J85" i="2"/>
  <c r="J86" i="2"/>
  <c r="I15" i="9"/>
  <c r="I16" i="9"/>
  <c r="F15" i="9"/>
  <c r="E64" i="2"/>
  <c r="E54" i="2"/>
  <c r="E51" i="2"/>
  <c r="E48" i="2"/>
  <c r="E58" i="2" s="1"/>
  <c r="E42" i="2"/>
  <c r="E34" i="2"/>
  <c r="F28" i="25"/>
  <c r="E28" i="25"/>
  <c r="E21" i="25"/>
  <c r="E50" i="25"/>
  <c r="E48" i="25" s="1"/>
  <c r="F55" i="25"/>
  <c r="E55" i="25"/>
  <c r="E49" i="25"/>
  <c r="F23" i="25"/>
  <c r="E23" i="25"/>
  <c r="O22" i="20" l="1"/>
  <c r="F12" i="25" l="1"/>
  <c r="F19" i="25"/>
  <c r="E15" i="9" l="1"/>
  <c r="I22" i="9"/>
  <c r="N12" i="17" l="1"/>
  <c r="E76" i="11"/>
  <c r="E80" i="11" s="1"/>
  <c r="E68" i="11"/>
  <c r="E73" i="11" s="1"/>
  <c r="E63" i="11"/>
  <c r="E66" i="11" s="1"/>
  <c r="E53" i="11"/>
  <c r="E50" i="11"/>
  <c r="E47" i="11"/>
  <c r="E42" i="11"/>
  <c r="E41" i="11"/>
  <c r="E37" i="11"/>
  <c r="E33" i="11"/>
  <c r="E46" i="11" s="1"/>
  <c r="E25" i="11"/>
  <c r="E14" i="11"/>
  <c r="E21" i="11" s="1"/>
  <c r="E29" i="11" s="1"/>
  <c r="E74" i="11" l="1"/>
  <c r="E57" i="11"/>
  <c r="E81" i="11"/>
  <c r="E60" i="11"/>
  <c r="E82" i="11" l="1"/>
  <c r="E61" i="11"/>
  <c r="F50" i="25" l="1"/>
  <c r="F49" i="25"/>
  <c r="F78" i="25"/>
  <c r="F69" i="25"/>
  <c r="F75" i="25" s="1"/>
  <c r="F51" i="25"/>
  <c r="F40" i="25"/>
  <c r="E40" i="25" s="1"/>
  <c r="E77" i="25"/>
  <c r="F77" i="25" s="1"/>
  <c r="F54" i="25"/>
  <c r="E45" i="25"/>
  <c r="F45" i="25" s="1"/>
  <c r="E43" i="25"/>
  <c r="E39" i="25"/>
  <c r="F39" i="25" s="1"/>
  <c r="E41" i="25"/>
  <c r="F41" i="25" s="1"/>
  <c r="E37" i="25"/>
  <c r="F37" i="25" s="1"/>
  <c r="E36" i="25"/>
  <c r="F36" i="25" s="1"/>
  <c r="E35" i="25"/>
  <c r="F35" i="25" s="1"/>
  <c r="E33" i="25"/>
  <c r="F33" i="25" s="1"/>
  <c r="E24" i="25"/>
  <c r="F24" i="25" s="1"/>
  <c r="E20" i="25"/>
  <c r="F20" i="25" s="1"/>
  <c r="E18" i="25"/>
  <c r="F18" i="25" s="1"/>
  <c r="E16" i="25"/>
  <c r="E51" i="25"/>
  <c r="E54" i="25"/>
  <c r="E69" i="25"/>
  <c r="E75" i="25" s="1"/>
  <c r="F48" i="25" l="1"/>
  <c r="E34" i="25"/>
  <c r="F58" i="25"/>
  <c r="F34" i="25"/>
  <c r="E42" i="25"/>
  <c r="F38" i="25"/>
  <c r="E58" i="25"/>
  <c r="E14" i="25"/>
  <c r="F82" i="25"/>
  <c r="F16" i="25"/>
  <c r="F14" i="25" s="1"/>
  <c r="F43" i="25"/>
  <c r="F42" i="25" s="1"/>
  <c r="E78" i="25"/>
  <c r="E82" i="25" s="1"/>
  <c r="D78" i="25"/>
  <c r="D69" i="25"/>
  <c r="D75" i="25" s="1"/>
  <c r="E65" i="25"/>
  <c r="F65" i="25" s="1"/>
  <c r="D54" i="25"/>
  <c r="D51" i="25"/>
  <c r="D48" i="25"/>
  <c r="D42" i="25"/>
  <c r="F21" i="25"/>
  <c r="F47" i="25" l="1"/>
  <c r="F61" i="25" s="1"/>
  <c r="D64" i="25"/>
  <c r="D67" i="25" s="1"/>
  <c r="D76" i="25" s="1"/>
  <c r="E10" i="25"/>
  <c r="F10" i="25"/>
  <c r="D26" i="25"/>
  <c r="F11" i="25"/>
  <c r="E11" i="25"/>
  <c r="D58" i="25"/>
  <c r="F64" i="25"/>
  <c r="F67" i="25" s="1"/>
  <c r="F76" i="25" s="1"/>
  <c r="E64" i="25"/>
  <c r="N8" i="22"/>
  <c r="N9" i="22"/>
  <c r="N10" i="22"/>
  <c r="N11" i="22"/>
  <c r="N12" i="22"/>
  <c r="N13" i="22"/>
  <c r="N14" i="22"/>
  <c r="N15" i="22"/>
  <c r="N16" i="22"/>
  <c r="N17" i="22"/>
  <c r="N7" i="22"/>
  <c r="F84" i="25" l="1"/>
  <c r="E67" i="25"/>
  <c r="E76" i="25" s="1"/>
  <c r="E26" i="25"/>
  <c r="F26" i="25"/>
  <c r="E22" i="25"/>
  <c r="M22" i="20"/>
  <c r="L22" i="20"/>
  <c r="K22" i="20"/>
  <c r="J22" i="20"/>
  <c r="I22" i="20"/>
  <c r="H22" i="20"/>
  <c r="G22" i="20"/>
  <c r="F22" i="20"/>
  <c r="E22" i="20"/>
  <c r="D22" i="20"/>
  <c r="C22" i="20"/>
  <c r="N21" i="20"/>
  <c r="B20" i="20"/>
  <c r="N20" i="20" s="1"/>
  <c r="N19" i="20"/>
  <c r="N18" i="20"/>
  <c r="B17" i="20"/>
  <c r="N17" i="20" s="1"/>
  <c r="N16" i="20"/>
  <c r="B16" i="20"/>
  <c r="B22" i="20" s="1"/>
  <c r="O14" i="20"/>
  <c r="M14" i="20"/>
  <c r="L14" i="20"/>
  <c r="K14" i="20"/>
  <c r="J14" i="20"/>
  <c r="I14" i="20"/>
  <c r="H14" i="20"/>
  <c r="G14" i="20"/>
  <c r="F14" i="20"/>
  <c r="E14" i="20"/>
  <c r="D14" i="20"/>
  <c r="C14" i="20"/>
  <c r="B14" i="20"/>
  <c r="N12" i="20"/>
  <c r="N11" i="20"/>
  <c r="N10" i="20"/>
  <c r="N9" i="20"/>
  <c r="N8" i="20"/>
  <c r="N7" i="20"/>
  <c r="E80" i="18"/>
  <c r="F79" i="18"/>
  <c r="F78" i="18"/>
  <c r="F77" i="18"/>
  <c r="D76" i="18"/>
  <c r="D80" i="18" s="1"/>
  <c r="F80" i="18" s="1"/>
  <c r="F75" i="18"/>
  <c r="F70" i="18"/>
  <c r="F69" i="18"/>
  <c r="D68" i="18"/>
  <c r="D73" i="18" s="1"/>
  <c r="F73" i="18" s="1"/>
  <c r="F67" i="18"/>
  <c r="F66" i="18"/>
  <c r="E63" i="18"/>
  <c r="E66" i="18" s="1"/>
  <c r="E74" i="18" s="1"/>
  <c r="D63" i="18"/>
  <c r="D66" i="18" s="1"/>
  <c r="G57" i="18"/>
  <c r="F56" i="18"/>
  <c r="F55" i="18"/>
  <c r="E53" i="18"/>
  <c r="D53" i="18"/>
  <c r="F52" i="18"/>
  <c r="F51" i="18"/>
  <c r="E50" i="18"/>
  <c r="D50" i="18"/>
  <c r="F50" i="18" s="1"/>
  <c r="F48" i="18"/>
  <c r="F47" i="18" s="1"/>
  <c r="E47" i="18"/>
  <c r="E57" i="18" s="1"/>
  <c r="D47" i="18"/>
  <c r="G46" i="18"/>
  <c r="F45" i="18"/>
  <c r="F44" i="18"/>
  <c r="F43" i="18"/>
  <c r="F41" i="18" s="1"/>
  <c r="E41" i="18"/>
  <c r="D41" i="18"/>
  <c r="F39" i="18"/>
  <c r="F37" i="18" s="1"/>
  <c r="E37" i="18"/>
  <c r="D37" i="18"/>
  <c r="F33" i="18"/>
  <c r="E33" i="18"/>
  <c r="E46" i="18" s="1"/>
  <c r="D33" i="18"/>
  <c r="D46" i="18" s="1"/>
  <c r="G29" i="18"/>
  <c r="G81" i="18" s="1"/>
  <c r="F28" i="18"/>
  <c r="F27" i="18"/>
  <c r="F29" i="18" s="1"/>
  <c r="E25" i="18"/>
  <c r="D25" i="18"/>
  <c r="E21" i="18"/>
  <c r="D14" i="18"/>
  <c r="D21" i="18" s="1"/>
  <c r="N22" i="20" l="1"/>
  <c r="D29" i="18"/>
  <c r="F53" i="18"/>
  <c r="F68" i="18"/>
  <c r="N14" i="20"/>
  <c r="E29" i="18"/>
  <c r="E81" i="18" s="1"/>
  <c r="E82" i="18" s="1"/>
  <c r="E84" i="18" s="1"/>
  <c r="D74" i="18"/>
  <c r="D57" i="18"/>
  <c r="G60" i="18"/>
  <c r="G61" i="18" s="1"/>
  <c r="F74" i="18"/>
  <c r="E30" i="25"/>
  <c r="E83" i="25" s="1"/>
  <c r="D81" i="18"/>
  <c r="D82" i="18" s="1"/>
  <c r="D84" i="18" s="1"/>
  <c r="F81" i="18"/>
  <c r="F46" i="18"/>
  <c r="G82" i="18"/>
  <c r="G84" i="18" s="1"/>
  <c r="E60" i="18"/>
  <c r="F57" i="18"/>
  <c r="D60" i="18"/>
  <c r="D61" i="18" s="1"/>
  <c r="F76" i="18"/>
  <c r="E61" i="18" l="1"/>
  <c r="F60" i="18"/>
  <c r="F82" i="18" l="1"/>
  <c r="F84" i="18" s="1"/>
  <c r="F61" i="18"/>
  <c r="Q49" i="17" l="1"/>
  <c r="M22" i="17"/>
  <c r="L22" i="17"/>
  <c r="K22" i="17"/>
  <c r="J22" i="17"/>
  <c r="I22" i="17"/>
  <c r="H22" i="17"/>
  <c r="G22" i="17"/>
  <c r="F22" i="17"/>
  <c r="E22" i="17"/>
  <c r="D22" i="17"/>
  <c r="C22" i="17"/>
  <c r="B22" i="17"/>
  <c r="N21" i="17"/>
  <c r="N20" i="17"/>
  <c r="O22" i="17"/>
  <c r="N19" i="17"/>
  <c r="N18" i="17"/>
  <c r="N17" i="17"/>
  <c r="N16" i="17"/>
  <c r="M14" i="17"/>
  <c r="L14" i="17"/>
  <c r="K14" i="17"/>
  <c r="J14" i="17"/>
  <c r="I14" i="17"/>
  <c r="H14" i="17"/>
  <c r="G14" i="17"/>
  <c r="F14" i="17"/>
  <c r="E14" i="17"/>
  <c r="D14" i="17"/>
  <c r="C14" i="17"/>
  <c r="B14" i="17"/>
  <c r="N11" i="17"/>
  <c r="N10" i="17"/>
  <c r="N9" i="17"/>
  <c r="N8" i="17"/>
  <c r="N7" i="17"/>
  <c r="G81" i="11"/>
  <c r="D80" i="11"/>
  <c r="F80" i="11" s="1"/>
  <c r="F79" i="11"/>
  <c r="F78" i="11"/>
  <c r="F77" i="11"/>
  <c r="F76" i="11"/>
  <c r="D76" i="11"/>
  <c r="F75" i="11"/>
  <c r="F70" i="11"/>
  <c r="F69" i="11"/>
  <c r="D68" i="11"/>
  <c r="D73" i="11" s="1"/>
  <c r="F73" i="11" s="1"/>
  <c r="F67" i="11"/>
  <c r="F66" i="11"/>
  <c r="D63" i="11"/>
  <c r="D66" i="11" s="1"/>
  <c r="G57" i="11"/>
  <c r="F56" i="11"/>
  <c r="F55" i="11"/>
  <c r="D53" i="11"/>
  <c r="F52" i="11"/>
  <c r="F51" i="11"/>
  <c r="D50" i="11"/>
  <c r="F50" i="11" s="1"/>
  <c r="F48" i="11"/>
  <c r="F47" i="11" s="1"/>
  <c r="D47" i="11"/>
  <c r="G46" i="11"/>
  <c r="G60" i="11" s="1"/>
  <c r="F45" i="11"/>
  <c r="F44" i="11"/>
  <c r="F43" i="11"/>
  <c r="D42" i="11"/>
  <c r="F39" i="11"/>
  <c r="F37" i="11" s="1"/>
  <c r="D37" i="11"/>
  <c r="F33" i="11"/>
  <c r="D33" i="11"/>
  <c r="G29" i="11"/>
  <c r="F28" i="11"/>
  <c r="F27" i="11"/>
  <c r="F25" i="11"/>
  <c r="D25" i="11"/>
  <c r="F21" i="11"/>
  <c r="D14" i="11"/>
  <c r="D21" i="11" s="1"/>
  <c r="B23" i="17" l="1"/>
  <c r="D23" i="17"/>
  <c r="F41" i="11"/>
  <c r="D41" i="11" s="1"/>
  <c r="D57" i="11"/>
  <c r="D74" i="11"/>
  <c r="F68" i="11"/>
  <c r="N14" i="17"/>
  <c r="D46" i="11"/>
  <c r="D60" i="11" s="1"/>
  <c r="F53" i="11"/>
  <c r="F57" i="11" s="1"/>
  <c r="F29" i="11"/>
  <c r="O14" i="17"/>
  <c r="E23" i="17"/>
  <c r="M23" i="17"/>
  <c r="H23" i="17"/>
  <c r="L23" i="17"/>
  <c r="F23" i="17"/>
  <c r="J23" i="17"/>
  <c r="I23" i="17"/>
  <c r="C23" i="17"/>
  <c r="G23" i="17"/>
  <c r="K23" i="17"/>
  <c r="N23" i="17"/>
  <c r="F74" i="11"/>
  <c r="D29" i="11"/>
  <c r="D81" i="11" s="1"/>
  <c r="N22" i="17"/>
  <c r="E84" i="11"/>
  <c r="G82" i="11"/>
  <c r="G84" i="11" s="1"/>
  <c r="G61" i="11"/>
  <c r="F81" i="11"/>
  <c r="F46" i="11"/>
  <c r="E21" i="7"/>
  <c r="E22" i="7"/>
  <c r="F60" i="11" l="1"/>
  <c r="F82" i="11" s="1"/>
  <c r="F84" i="11" s="1"/>
  <c r="D82" i="11"/>
  <c r="D84" i="11" s="1"/>
  <c r="D61" i="11"/>
  <c r="E78" i="2"/>
  <c r="E83" i="2" s="1"/>
  <c r="E69" i="2"/>
  <c r="E75" i="2" s="1"/>
  <c r="E67" i="2"/>
  <c r="E76" i="2" l="1"/>
  <c r="F61" i="11"/>
  <c r="B18" i="22" l="1"/>
  <c r="G15" i="9" l="1"/>
  <c r="H15" i="9"/>
  <c r="I18" i="9"/>
  <c r="I19" i="9"/>
  <c r="I20" i="9"/>
  <c r="I21" i="9"/>
  <c r="D79" i="7"/>
  <c r="C79" i="7"/>
  <c r="B79" i="7"/>
  <c r="E79" i="7" s="1"/>
  <c r="E78" i="7"/>
  <c r="E77" i="7"/>
  <c r="D72" i="7"/>
  <c r="C72" i="7"/>
  <c r="B72" i="7"/>
  <c r="E71" i="7"/>
  <c r="E70" i="7"/>
  <c r="E69" i="7"/>
  <c r="E68" i="7"/>
  <c r="E67" i="7"/>
  <c r="E66" i="7"/>
  <c r="D51" i="7"/>
  <c r="C51" i="7"/>
  <c r="B51" i="7"/>
  <c r="E50" i="7"/>
  <c r="E48" i="7"/>
  <c r="D44" i="7"/>
  <c r="C44" i="7"/>
  <c r="B44" i="7"/>
  <c r="E43" i="7"/>
  <c r="E42" i="7"/>
  <c r="E41" i="7"/>
  <c r="E40" i="7"/>
  <c r="E39" i="7"/>
  <c r="E38" i="7"/>
  <c r="D24" i="7"/>
  <c r="C24" i="7"/>
  <c r="B24" i="7"/>
  <c r="E23" i="7"/>
  <c r="E20" i="7"/>
  <c r="D17" i="7"/>
  <c r="C17" i="7"/>
  <c r="B17" i="7"/>
  <c r="E16" i="7"/>
  <c r="E15" i="7"/>
  <c r="E14" i="7"/>
  <c r="E13" i="7"/>
  <c r="E12" i="7"/>
  <c r="E11" i="7"/>
  <c r="E51" i="7" l="1"/>
  <c r="E44" i="7"/>
  <c r="E24" i="7"/>
  <c r="E72" i="7"/>
  <c r="E17" i="7"/>
  <c r="Q57" i="22" l="1"/>
  <c r="B31" i="22"/>
  <c r="N26" i="22"/>
  <c r="N25" i="22"/>
  <c r="N24" i="22"/>
  <c r="N23" i="22"/>
  <c r="N22" i="22"/>
  <c r="N21" i="22"/>
  <c r="N20" i="22"/>
  <c r="O18" i="22"/>
  <c r="M18" i="22"/>
  <c r="L18" i="22"/>
  <c r="L31" i="22" s="1"/>
  <c r="K18" i="22"/>
  <c r="J18" i="22"/>
  <c r="I18" i="22"/>
  <c r="I31" i="22" s="1"/>
  <c r="H18" i="22"/>
  <c r="G18" i="22"/>
  <c r="G31" i="22" s="1"/>
  <c r="F18" i="22"/>
  <c r="E18" i="22"/>
  <c r="E31" i="22" s="1"/>
  <c r="D18" i="22"/>
  <c r="D31" i="22" s="1"/>
  <c r="C18" i="22"/>
  <c r="C31" i="22" s="1"/>
  <c r="Q14" i="10"/>
  <c r="J14" i="10"/>
  <c r="C14" i="10"/>
  <c r="C20" i="10" s="1"/>
  <c r="I26" i="9"/>
  <c r="E25" i="9"/>
  <c r="D25" i="9"/>
  <c r="I24" i="9"/>
  <c r="H23" i="9"/>
  <c r="G23" i="9"/>
  <c r="I23" i="9" s="1"/>
  <c r="I17" i="9"/>
  <c r="D15" i="9"/>
  <c r="I14" i="9"/>
  <c r="I13" i="9"/>
  <c r="H12" i="9"/>
  <c r="G12" i="9"/>
  <c r="G27" i="9" s="1"/>
  <c r="F12" i="9"/>
  <c r="E12" i="9"/>
  <c r="D12" i="9"/>
  <c r="I11" i="9"/>
  <c r="I10" i="9"/>
  <c r="D9" i="9"/>
  <c r="C26" i="8"/>
  <c r="D26" i="8"/>
  <c r="D31" i="3"/>
  <c r="J25" i="3"/>
  <c r="D25" i="3"/>
  <c r="D20" i="3"/>
  <c r="F81" i="2"/>
  <c r="F80" i="2"/>
  <c r="F79" i="2"/>
  <c r="D78" i="2"/>
  <c r="D83" i="2" s="1"/>
  <c r="F71" i="2"/>
  <c r="F70" i="2"/>
  <c r="D69" i="2"/>
  <c r="F69" i="2" s="1"/>
  <c r="F68" i="2"/>
  <c r="F65" i="2"/>
  <c r="F64" i="2" s="1"/>
  <c r="F67" i="2" s="1"/>
  <c r="D64" i="2"/>
  <c r="D67" i="2" s="1"/>
  <c r="F63" i="2"/>
  <c r="G58" i="2"/>
  <c r="F57" i="2"/>
  <c r="F56" i="2"/>
  <c r="F55" i="2"/>
  <c r="D54" i="2"/>
  <c r="F53" i="2"/>
  <c r="F52" i="2"/>
  <c r="D51" i="2"/>
  <c r="F51" i="2" s="1"/>
  <c r="F50" i="2"/>
  <c r="F49" i="2"/>
  <c r="G47" i="2"/>
  <c r="F46" i="2"/>
  <c r="F45" i="2"/>
  <c r="F44" i="2"/>
  <c r="F43" i="2"/>
  <c r="F41" i="2"/>
  <c r="F40" i="2"/>
  <c r="F39" i="2"/>
  <c r="F37" i="2"/>
  <c r="F36" i="2"/>
  <c r="D34" i="2" s="1"/>
  <c r="F35" i="2"/>
  <c r="F33" i="2"/>
  <c r="G30" i="2"/>
  <c r="G84" i="2" s="1"/>
  <c r="F29" i="2"/>
  <c r="E26" i="2"/>
  <c r="D26" i="2"/>
  <c r="F24" i="2"/>
  <c r="F23" i="2"/>
  <c r="F21" i="2"/>
  <c r="F19" i="2"/>
  <c r="F17" i="2"/>
  <c r="E17" i="2"/>
  <c r="F15" i="2"/>
  <c r="E15" i="2"/>
  <c r="F13" i="2"/>
  <c r="E13" i="2"/>
  <c r="F12" i="2"/>
  <c r="F11" i="2"/>
  <c r="F10" i="2"/>
  <c r="K31" i="22" l="1"/>
  <c r="N30" i="22"/>
  <c r="H31" i="22"/>
  <c r="E40" i="2"/>
  <c r="E38" i="2" s="1"/>
  <c r="E47" i="2" s="1"/>
  <c r="E61" i="2" s="1"/>
  <c r="F78" i="2"/>
  <c r="F83" i="2" s="1"/>
  <c r="H27" i="9"/>
  <c r="G61" i="2"/>
  <c r="G85" i="2" s="1"/>
  <c r="F26" i="2"/>
  <c r="J31" i="22"/>
  <c r="M31" i="22"/>
  <c r="D15" i="2"/>
  <c r="D13" i="2"/>
  <c r="D17" i="2"/>
  <c r="D48" i="2"/>
  <c r="D58" i="2" s="1"/>
  <c r="F31" i="22"/>
  <c r="N31" i="22"/>
  <c r="N18" i="22"/>
  <c r="I12" i="9"/>
  <c r="D27" i="9"/>
  <c r="E27" i="9"/>
  <c r="F27" i="9"/>
  <c r="D26" i="3"/>
  <c r="F34" i="2"/>
  <c r="F42" i="2"/>
  <c r="J20" i="3"/>
  <c r="F54" i="2"/>
  <c r="F14" i="2"/>
  <c r="F22" i="2" s="1"/>
  <c r="D42" i="2"/>
  <c r="I25" i="9"/>
  <c r="D35" i="3"/>
  <c r="E14" i="2"/>
  <c r="E22" i="2" s="1"/>
  <c r="F38" i="2"/>
  <c r="F48" i="2"/>
  <c r="D75" i="2"/>
  <c r="F75" i="2" s="1"/>
  <c r="F76" i="2" s="1"/>
  <c r="G87" i="2" l="1"/>
  <c r="G86" i="2"/>
  <c r="D40" i="2"/>
  <c r="D38" i="2" s="1"/>
  <c r="D47" i="2" s="1"/>
  <c r="D61" i="2" s="1"/>
  <c r="G62" i="2"/>
  <c r="D14" i="2"/>
  <c r="D22" i="2" s="1"/>
  <c r="E85" i="2"/>
  <c r="F58" i="2"/>
  <c r="F30" i="2"/>
  <c r="F84" i="2" s="1"/>
  <c r="D21" i="3"/>
  <c r="I27" i="9"/>
  <c r="E30" i="2"/>
  <c r="E62" i="2" s="1"/>
  <c r="D76" i="2"/>
  <c r="F47" i="2"/>
  <c r="F61" i="2" l="1"/>
  <c r="F85" i="2" s="1"/>
  <c r="D85" i="2"/>
  <c r="E84" i="2"/>
  <c r="E87" i="2" s="1"/>
  <c r="D30" i="2"/>
  <c r="F62" i="2"/>
  <c r="E86" i="2" l="1"/>
  <c r="F87" i="2"/>
  <c r="F86" i="2"/>
  <c r="D84" i="2"/>
  <c r="D86" i="2" s="1"/>
  <c r="D62" i="2"/>
  <c r="D87" i="2" l="1"/>
  <c r="D17" i="25" l="1"/>
  <c r="D15" i="25"/>
  <c r="D14" i="25" l="1"/>
  <c r="D22" i="25" s="1"/>
  <c r="D30" i="25" s="1"/>
  <c r="D83" i="25" s="1"/>
  <c r="E38" i="25"/>
  <c r="D40" i="25"/>
  <c r="D38" i="25"/>
  <c r="D47" i="25" s="1"/>
  <c r="D61" i="25" s="1"/>
  <c r="D62" i="25" l="1"/>
  <c r="E47" i="25"/>
  <c r="E61" i="25" s="1"/>
  <c r="E62" i="25" s="1"/>
  <c r="E84" i="25"/>
  <c r="D84" i="25"/>
  <c r="D13" i="25"/>
  <c r="F22" i="25"/>
  <c r="F30" i="25" s="1"/>
  <c r="F62" i="25" l="1"/>
  <c r="F83" i="25"/>
  <c r="H14" i="25"/>
  <c r="H22" i="25" s="1"/>
  <c r="H30" i="25" s="1"/>
  <c r="H62" i="25" l="1"/>
  <c r="H83" i="25"/>
  <c r="I14" i="25"/>
  <c r="I22" i="25" s="1"/>
  <c r="I30" i="25" s="1"/>
  <c r="I83" i="25" l="1"/>
  <c r="I62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</authors>
  <commentList>
    <comment ref="AL27" authorId="0" shapeId="0" xr:uid="{7A84EEA8-F6D9-4212-B07B-C84AB14901A5}">
      <text>
        <r>
          <rPr>
            <b/>
            <sz val="9"/>
            <color indexed="81"/>
            <rFont val="Tahoma"/>
            <family val="2"/>
            <charset val="238"/>
          </rPr>
          <t>dell:</t>
        </r>
        <r>
          <rPr>
            <sz val="9"/>
            <color indexed="81"/>
            <rFont val="Tahoma"/>
            <family val="2"/>
            <charset val="238"/>
          </rPr>
          <t xml:space="preserve">
750 ezer Ft-tal csökkentésre került a támogatás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</authors>
  <commentList>
    <comment ref="AA7" authorId="0" shapeId="0" xr:uid="{0BC2FF1E-8993-48CA-9885-F20C3A5DE369}">
      <text>
        <r>
          <rPr>
            <b/>
            <sz val="9"/>
            <color indexed="81"/>
            <rFont val="Tahoma"/>
            <family val="2"/>
            <charset val="238"/>
          </rPr>
          <t>dell:</t>
        </r>
        <r>
          <rPr>
            <sz val="9"/>
            <color indexed="81"/>
            <rFont val="Tahoma"/>
            <family val="2"/>
            <charset val="238"/>
          </rPr>
          <t xml:space="preserve">
8 fő diákmunkás bére
</t>
        </r>
      </text>
    </comment>
    <comment ref="AB7" authorId="0" shapeId="0" xr:uid="{95E814BE-E382-4DC7-9F0E-C1D3CBAB9107}">
      <text>
        <r>
          <rPr>
            <b/>
            <sz val="9"/>
            <color indexed="81"/>
            <rFont val="Tahoma"/>
            <family val="2"/>
            <charset val="238"/>
          </rPr>
          <t>dell:</t>
        </r>
        <r>
          <rPr>
            <sz val="9"/>
            <color indexed="81"/>
            <rFont val="Tahoma"/>
            <family val="2"/>
            <charset val="238"/>
          </rPr>
          <t xml:space="preserve">
egészségügyi dolgozók 1 HAVI JUTTATÁSA</t>
        </r>
      </text>
    </comment>
    <comment ref="AF7" authorId="0" shapeId="0" xr:uid="{273CB4F3-C30B-415D-B820-D1A2C1E355AB}">
      <text>
        <r>
          <rPr>
            <b/>
            <sz val="9"/>
            <color indexed="81"/>
            <rFont val="Tahoma"/>
            <family val="2"/>
            <charset val="238"/>
          </rPr>
          <t>dell:</t>
        </r>
        <r>
          <rPr>
            <sz val="9"/>
            <color indexed="81"/>
            <rFont val="Tahoma"/>
            <family val="2"/>
            <charset val="238"/>
          </rPr>
          <t xml:space="preserve">
660000:Matyi Zsuzsanna 07.01-től 09.30-ig a bére
</t>
        </r>
      </text>
    </comment>
    <comment ref="Y8" authorId="0" shapeId="0" xr:uid="{6CF6C110-3311-45A7-BD98-3315C95AA978}">
      <text>
        <r>
          <rPr>
            <b/>
            <sz val="9"/>
            <color indexed="81"/>
            <rFont val="Tahoma"/>
            <family val="2"/>
            <charset val="238"/>
          </rPr>
          <t>dell:</t>
        </r>
        <r>
          <rPr>
            <sz val="9"/>
            <color indexed="81"/>
            <rFont val="Tahoma"/>
            <family val="2"/>
            <charset val="238"/>
          </rPr>
          <t xml:space="preserve">
A betervezett éves jutalmak összege elvonásra került.</t>
        </r>
      </text>
    </comment>
    <comment ref="Z12" authorId="0" shapeId="0" xr:uid="{E32BC289-5826-444F-8E34-DC9441D603E6}">
      <text>
        <r>
          <rPr>
            <b/>
            <sz val="9"/>
            <color indexed="81"/>
            <rFont val="Tahoma"/>
            <family val="2"/>
            <charset val="238"/>
          </rPr>
          <t>dell:</t>
        </r>
        <r>
          <rPr>
            <sz val="9"/>
            <color indexed="81"/>
            <rFont val="Tahoma"/>
            <family val="2"/>
            <charset val="238"/>
          </rPr>
          <t xml:space="preserve">
Jutalom összegével csökkent</t>
        </r>
      </text>
    </comment>
    <comment ref="AE13" authorId="0" shapeId="0" xr:uid="{61F07181-F250-412E-9021-736129588F71}">
      <text>
        <r>
          <rPr>
            <b/>
            <sz val="9"/>
            <color indexed="81"/>
            <rFont val="Tahoma"/>
            <family val="2"/>
            <charset val="238"/>
          </rPr>
          <t>dell:</t>
        </r>
        <r>
          <rPr>
            <sz val="9"/>
            <color indexed="81"/>
            <rFont val="Tahoma"/>
            <family val="2"/>
            <charset val="238"/>
          </rPr>
          <t xml:space="preserve">
átcsortosítás a külső személyi juttatásról
</t>
        </r>
      </text>
    </comment>
    <comment ref="AI13" authorId="0" shapeId="0" xr:uid="{0CE46F06-F20B-4AB6-8A41-8F56D4DA2BDA}">
      <text>
        <r>
          <rPr>
            <b/>
            <sz val="9"/>
            <color indexed="81"/>
            <rFont val="Tahoma"/>
            <family val="2"/>
            <charset val="238"/>
          </rPr>
          <t>dell:</t>
        </r>
        <r>
          <rPr>
            <sz val="9"/>
            <color indexed="81"/>
            <rFont val="Tahoma"/>
            <family val="2"/>
            <charset val="238"/>
          </rPr>
          <t xml:space="preserve">
Kovács Janka főépítész megbízási díja</t>
        </r>
      </text>
    </comment>
    <comment ref="Y16" authorId="0" shapeId="0" xr:uid="{EEB76506-1FFD-4849-B0A2-7B2D5EE8003E}">
      <text>
        <r>
          <rPr>
            <b/>
            <sz val="9"/>
            <color indexed="81"/>
            <rFont val="Tahoma"/>
            <family val="2"/>
            <charset val="238"/>
          </rPr>
          <t>dell:</t>
        </r>
        <r>
          <rPr>
            <sz val="9"/>
            <color indexed="81"/>
            <rFont val="Tahoma"/>
            <family val="2"/>
            <charset val="238"/>
          </rPr>
          <t xml:space="preserve">
Az éves jutalom utáni járulék összegével csökkent, illetve a Matyi Zsuzsanna 3 havi bérének a járulék összegével emelkedett, valamint a 8 fő diákmunkás munkabére utáni járulék összegének emelkedése, és a július 1től életbe lépő járulék csökkentés összege szerepel itt 
</t>
        </r>
      </text>
    </comment>
    <comment ref="Z16" authorId="0" shapeId="0" xr:uid="{94D2880A-A61A-4BDF-B54A-50B8A6064A71}">
      <text>
        <r>
          <rPr>
            <b/>
            <sz val="9"/>
            <color indexed="81"/>
            <rFont val="Tahoma"/>
            <family val="2"/>
            <charset val="238"/>
          </rPr>
          <t>dell:</t>
        </r>
        <r>
          <rPr>
            <sz val="9"/>
            <color indexed="81"/>
            <rFont val="Tahoma"/>
            <family val="2"/>
            <charset val="238"/>
          </rPr>
          <t xml:space="preserve">
járulék csökkenése miatt
</t>
        </r>
      </text>
    </comment>
    <comment ref="AA16" authorId="0" shapeId="0" xr:uid="{A630DF09-5F2C-42E6-828A-7EF19E28D844}">
      <text>
        <r>
          <rPr>
            <b/>
            <sz val="9"/>
            <color indexed="81"/>
            <rFont val="Tahoma"/>
            <family val="2"/>
            <charset val="238"/>
          </rPr>
          <t>dell:</t>
        </r>
        <r>
          <rPr>
            <sz val="9"/>
            <color indexed="81"/>
            <rFont val="Tahoma"/>
            <family val="2"/>
            <charset val="238"/>
          </rPr>
          <t xml:space="preserve">
8 fő diákmunkás bére utáni járulék
</t>
        </r>
      </text>
    </comment>
    <comment ref="AB16" authorId="0" shapeId="0" xr:uid="{9FE34D5A-4985-447F-A08D-AD8A6B9F7A7A}">
      <text>
        <r>
          <rPr>
            <b/>
            <sz val="9"/>
            <color indexed="81"/>
            <rFont val="Tahoma"/>
            <family val="2"/>
            <charset val="238"/>
          </rPr>
          <t>dell:</t>
        </r>
        <r>
          <rPr>
            <sz val="9"/>
            <color indexed="81"/>
            <rFont val="Tahoma"/>
            <family val="2"/>
            <charset val="238"/>
          </rPr>
          <t xml:space="preserve">
járulék százalékának csökkenése, valamint az egészségügyi dolgozók juttatása utáni járulék
</t>
        </r>
      </text>
    </comment>
    <comment ref="AC16" authorId="0" shapeId="0" xr:uid="{C8874560-78B7-4BB4-8E3F-5CFD6D8469E2}">
      <text>
        <r>
          <rPr>
            <b/>
            <sz val="9"/>
            <color indexed="81"/>
            <rFont val="Tahoma"/>
            <family val="2"/>
            <charset val="238"/>
          </rPr>
          <t>dell:</t>
        </r>
        <r>
          <rPr>
            <sz val="9"/>
            <color indexed="81"/>
            <rFont val="Tahoma"/>
            <family val="2"/>
            <charset val="238"/>
          </rPr>
          <t xml:space="preserve">
járulék csökkenése miatt
</t>
        </r>
      </text>
    </comment>
    <comment ref="AD16" authorId="0" shapeId="0" xr:uid="{27EB9470-4CC7-4759-88F4-58055DDB775C}">
      <text>
        <r>
          <rPr>
            <b/>
            <sz val="9"/>
            <color indexed="81"/>
            <rFont val="Tahoma"/>
            <family val="2"/>
            <charset val="238"/>
          </rPr>
          <t>dell:</t>
        </r>
        <r>
          <rPr>
            <sz val="9"/>
            <color indexed="81"/>
            <rFont val="Tahoma"/>
            <family val="2"/>
            <charset val="238"/>
          </rPr>
          <t xml:space="preserve">
járulék csökkenése miatt</t>
        </r>
      </text>
    </comment>
  </commentList>
</comments>
</file>

<file path=xl/sharedStrings.xml><?xml version="1.0" encoding="utf-8"?>
<sst xmlns="http://schemas.openxmlformats.org/spreadsheetml/2006/main" count="2067" uniqueCount="948">
  <si>
    <t>CÍMREND</t>
  </si>
  <si>
    <t>I.</t>
  </si>
  <si>
    <t>Sármelléki Önkormányzat</t>
  </si>
  <si>
    <t>Sármellék Község Önkormányzata</t>
  </si>
  <si>
    <t>Kiadásainak és bevételeinek fő összesítője</t>
  </si>
  <si>
    <t>2.melléklet</t>
  </si>
  <si>
    <t>Sor-szám</t>
  </si>
  <si>
    <t>Megnevezés</t>
  </si>
  <si>
    <t>Sármellék összesen</t>
  </si>
  <si>
    <t>Kötelező feladat</t>
  </si>
  <si>
    <t>Önként vállalt feladat</t>
  </si>
  <si>
    <t>Állami feladat</t>
  </si>
  <si>
    <t>KIADÁSOK</t>
  </si>
  <si>
    <t>Személyi juttatások</t>
  </si>
  <si>
    <t xml:space="preserve">Munkaadókat terhelő járulékok </t>
  </si>
  <si>
    <t>Dologi és egyéb folyó kiadások</t>
  </si>
  <si>
    <t>4.</t>
  </si>
  <si>
    <t>Ellátottak pénzbeli juttatásai</t>
  </si>
  <si>
    <t>5.</t>
  </si>
  <si>
    <t>Egyéb működési kiadások (a+b+c+d)</t>
  </si>
  <si>
    <t>a.</t>
  </si>
  <si>
    <t>b.</t>
  </si>
  <si>
    <t>Működési célú pénzeszközátadás AHT-n kívülre és belül</t>
  </si>
  <si>
    <t>c.</t>
  </si>
  <si>
    <t>Társadalom-, szociálpolitikai és egyéb juttatás, Önormányzat által folyósított ellátások</t>
  </si>
  <si>
    <t>d.</t>
  </si>
  <si>
    <t>Általános és céltartalék</t>
  </si>
  <si>
    <t>Kötött, - céltartalék</t>
  </si>
  <si>
    <t>Működési kiadások (1+….+5)</t>
  </si>
  <si>
    <t>6.</t>
  </si>
  <si>
    <t>Beruházás</t>
  </si>
  <si>
    <t>7.</t>
  </si>
  <si>
    <t>Felújítás</t>
  </si>
  <si>
    <t>8.</t>
  </si>
  <si>
    <t>Felhalmozási célú támogatásérétkű kiadás</t>
  </si>
  <si>
    <t>II.</t>
  </si>
  <si>
    <t>Felhalmozási kiadások (6+7+8)</t>
  </si>
  <si>
    <t>III.</t>
  </si>
  <si>
    <t>IV.</t>
  </si>
  <si>
    <t>V.</t>
  </si>
  <si>
    <t>A.</t>
  </si>
  <si>
    <r>
      <t xml:space="preserve">Költségvetési kiadások összesen </t>
    </r>
    <r>
      <rPr>
        <i/>
        <sz val="16"/>
        <rFont val="Times New Roman"/>
        <family val="1"/>
        <charset val="238"/>
      </rPr>
      <t>(I+II+III+IV+V)</t>
    </r>
  </si>
  <si>
    <t>BEVÉTELEK</t>
  </si>
  <si>
    <t>1.</t>
  </si>
  <si>
    <t>Intézményi Működési bevételek</t>
  </si>
  <si>
    <t>2.</t>
  </si>
  <si>
    <t>Önkormányzatok sajátos működési bevételei</t>
  </si>
  <si>
    <t>2.1.</t>
  </si>
  <si>
    <t>Helyi adók</t>
  </si>
  <si>
    <t>2.2.</t>
  </si>
  <si>
    <t>Átengedett központi adók</t>
  </si>
  <si>
    <t>2.3.</t>
  </si>
  <si>
    <t>Bírságok, egyéb bevételek</t>
  </si>
  <si>
    <t>3.</t>
  </si>
  <si>
    <t>Működési támogatások</t>
  </si>
  <si>
    <t>3.1.</t>
  </si>
  <si>
    <t>Helyi Önkormányzatok általános működésének támogatása</t>
  </si>
  <si>
    <t>3.2.</t>
  </si>
  <si>
    <t>Központosított előirányzatokból a működési célúak</t>
  </si>
  <si>
    <t>3.3.</t>
  </si>
  <si>
    <t>Helyi önkormányzatok kiegészítő támogatása</t>
  </si>
  <si>
    <t>Egyéb működési bevételek</t>
  </si>
  <si>
    <t>4.1.</t>
  </si>
  <si>
    <t>Támogatásértékű működési bevételek összesen</t>
  </si>
  <si>
    <t>4.2.</t>
  </si>
  <si>
    <t>Működési célú pénzeszköz átvétel államháztartáson kívülről</t>
  </si>
  <si>
    <t>4.3.</t>
  </si>
  <si>
    <t>ÁFA visszaigénylés</t>
  </si>
  <si>
    <t>4.4.</t>
  </si>
  <si>
    <t>Előző évi költségvetési kiegészítések, visszatérülések</t>
  </si>
  <si>
    <t>Működési bevételek (1+2+3+4)</t>
  </si>
  <si>
    <t>Felhalmozási és tőkejellegű bevételek</t>
  </si>
  <si>
    <t>5.1.</t>
  </si>
  <si>
    <t>Tárgyi eszközök, immateriális javak értékesítése</t>
  </si>
  <si>
    <t>5.2.</t>
  </si>
  <si>
    <t>Önkormányzatok sajátos felhalmozási és tőke bevételei</t>
  </si>
  <si>
    <t>Felhalmozási támogatások</t>
  </si>
  <si>
    <t>6.1.</t>
  </si>
  <si>
    <t>Köpontosított előirányzatokból fejlesztési célúak</t>
  </si>
  <si>
    <t>6.2.</t>
  </si>
  <si>
    <t>Fejlesztési célú támogatások</t>
  </si>
  <si>
    <t>Egyéb felhalmozási bevételek</t>
  </si>
  <si>
    <t>7.1.</t>
  </si>
  <si>
    <t>Támogatásértékű felhalmozási bevételek összesen</t>
  </si>
  <si>
    <t>7.2.</t>
  </si>
  <si>
    <t>Felhalmozási célú pénzeszközátvétel államháztartáson kívülről</t>
  </si>
  <si>
    <t>7.3.</t>
  </si>
  <si>
    <t>előző évi felhalmozási célú előirányzat-maradvány</t>
  </si>
  <si>
    <t>Felhalmozási bevételek (5+6+7)</t>
  </si>
  <si>
    <t>Támogatási kölcsönök visszatérülése</t>
  </si>
  <si>
    <t>Pénzforgalom nélküli bevételek</t>
  </si>
  <si>
    <t>B.</t>
  </si>
  <si>
    <t>Költségvetési bevételek összesen (I+II+III+IV)</t>
  </si>
  <si>
    <t>A.Költségvetési kiadások és B.költségvetési bevételek egyenlege (A-B)</t>
  </si>
  <si>
    <t>Felügyeleti szervtől kapott támogatás</t>
  </si>
  <si>
    <t>Pénzmaradvány igénybevétele</t>
  </si>
  <si>
    <t>Működési célra</t>
  </si>
  <si>
    <t>Felhalmozási célra</t>
  </si>
  <si>
    <t>C.</t>
  </si>
  <si>
    <t>Költségvetési hiány belső finanszírozására szolgáló pénzforgalom nélküli bevételek (V)</t>
  </si>
  <si>
    <t>VI.</t>
  </si>
  <si>
    <t>Értékpapír értékesítésének bevétele</t>
  </si>
  <si>
    <t>VII.</t>
  </si>
  <si>
    <t>Hitelek felvétele</t>
  </si>
  <si>
    <t>ÁHT-n kívülre nyújtott működési célú hitel bevétele</t>
  </si>
  <si>
    <t>Felhalmozási célú hitel felvétele</t>
  </si>
  <si>
    <t>Bérhitel</t>
  </si>
  <si>
    <t>Folyószámlahitel</t>
  </si>
  <si>
    <t>D.</t>
  </si>
  <si>
    <t>Költségvetési hiány belső finanszírozását meghaladó összegének külső finanszírozására szolgáló bevételek  (VI+VII)</t>
  </si>
  <si>
    <t>E.</t>
  </si>
  <si>
    <t>Finanszírozási bevételek (C+D)</t>
  </si>
  <si>
    <t>VIII.</t>
  </si>
  <si>
    <t>Felügyeleti szervi támogatás</t>
  </si>
  <si>
    <t>IX.</t>
  </si>
  <si>
    <t>Hitelek törlesztése</t>
  </si>
  <si>
    <t>Működési célú hitel nyújtása (éven belüli)</t>
  </si>
  <si>
    <t>Működési célú hitel nyújtása (éven túli)</t>
  </si>
  <si>
    <t>Felhalmozási célú hitel törlesztése</t>
  </si>
  <si>
    <t>X.</t>
  </si>
  <si>
    <t>F.</t>
  </si>
  <si>
    <t>Finanszírozási kiadások összesen (VIII+IX+X)</t>
  </si>
  <si>
    <t>G.</t>
  </si>
  <si>
    <t>Tárgyévi kiadások  össsesen (A+F)</t>
  </si>
  <si>
    <t>H.</t>
  </si>
  <si>
    <t>Tárgyévi bevételek összesen (B+E)</t>
  </si>
  <si>
    <t xml:space="preserve"> működési és felhalmozási célú bevételi éskiadási előirányzatok bemutatása tájékoztató jelleggel</t>
  </si>
  <si>
    <t>3 melléklet</t>
  </si>
  <si>
    <t>Önkormányzat összesen</t>
  </si>
  <si>
    <t>Működési bevételek</t>
  </si>
  <si>
    <t>Támogatásértékű működési kiadások</t>
  </si>
  <si>
    <t xml:space="preserve">Működési célú pénzeszközátadás </t>
  </si>
  <si>
    <t>Előző évi állami támogatás visszafizetés</t>
  </si>
  <si>
    <t>Irányítószerv alá tartozó költségvetési szervnek folyósított támogatás</t>
  </si>
  <si>
    <t>Működési bevételek (1+2+3+49)</t>
  </si>
  <si>
    <t xml:space="preserve">Működési bevételek és működési kiadások különbözete: </t>
  </si>
  <si>
    <t>Beruházási kiadások</t>
  </si>
  <si>
    <t>Egyéb felhalmozási kiadások</t>
  </si>
  <si>
    <t>Felhalmozási kiadások (6+….+8)</t>
  </si>
  <si>
    <t>Felhalmozási bevételek és kiadások különbözete:</t>
  </si>
  <si>
    <t>9.</t>
  </si>
  <si>
    <t>10.</t>
  </si>
  <si>
    <t>11.</t>
  </si>
  <si>
    <t xml:space="preserve">Hitelek </t>
  </si>
  <si>
    <t>Finanszírozási bevételek (8+9+10+11)</t>
  </si>
  <si>
    <t>Finanszírozási kiadások</t>
  </si>
  <si>
    <t>Költségvetési Bevételek Összesen (A+B+C)</t>
  </si>
  <si>
    <r>
      <t xml:space="preserve">Költségvetési kiadások összesen </t>
    </r>
    <r>
      <rPr>
        <sz val="12"/>
        <rFont val="Times New Roman"/>
        <family val="1"/>
        <charset val="238"/>
      </rPr>
      <t>(A+B+C+D)</t>
    </r>
  </si>
  <si>
    <t>Tárgyévi kiadások és bevételek egyenlege</t>
  </si>
  <si>
    <t>adatok Ft-ban</t>
  </si>
  <si>
    <t>Felhalmozási kiadások feladatonként</t>
  </si>
  <si>
    <t>4.melléklet</t>
  </si>
  <si>
    <t>Felhalmozási kiadás  megnevezése</t>
  </si>
  <si>
    <t>Teljes költség</t>
  </si>
  <si>
    <t>Kivitelezés kezdési és befejezési éve</t>
  </si>
  <si>
    <t>Felújítási kiadások célonként</t>
  </si>
  <si>
    <t>Gyerek mesekönyvek (K64)</t>
  </si>
  <si>
    <t>Mágneses kapuzár (K64)</t>
  </si>
  <si>
    <t>Cipőtároló (K64)</t>
  </si>
  <si>
    <t>Tálalószekrény (K64)</t>
  </si>
  <si>
    <t>Ruhaszárító 3 db  (K64)</t>
  </si>
  <si>
    <t>Kés, kenyérszeletelő 2 db  (K64)</t>
  </si>
  <si>
    <t>Szőnyeg 2 csoportszobába  (K64)</t>
  </si>
  <si>
    <t>Tornaszoba ablakokra redőny+szúnyogháló (K64)</t>
  </si>
  <si>
    <t>Óvoda összesen:</t>
  </si>
  <si>
    <t>Kerékpártároló (K64)</t>
  </si>
  <si>
    <t>Fogas, esernyőtartó (K64)</t>
  </si>
  <si>
    <t>pedagógus asztal (K64)</t>
  </si>
  <si>
    <t>Bölcsőde összesen:</t>
  </si>
  <si>
    <t>ÁMK aula világítás (K64)</t>
  </si>
  <si>
    <t>Könyvtári, közművelődési tev. Összesen:</t>
  </si>
  <si>
    <t xml:space="preserve">Beruházási kiadások összesen </t>
  </si>
  <si>
    <t>Önkormányzatok által folyósított ellátások részletezése</t>
  </si>
  <si>
    <t>ezer forintban</t>
  </si>
  <si>
    <t xml:space="preserve">Lakásfenntartási támogatás  </t>
  </si>
  <si>
    <t>Gyógyszer támogatás</t>
  </si>
  <si>
    <t>Települési támogatás</t>
  </si>
  <si>
    <t>Egyéb rendkívüli települési támogatás</t>
  </si>
  <si>
    <t>Babakötvény</t>
  </si>
  <si>
    <t>Rendkívüli települési támogatás</t>
  </si>
  <si>
    <t>Települési + rendkívüli települési támogatás</t>
  </si>
  <si>
    <t>Rendszeres gyerekvédelmi támogatás</t>
  </si>
  <si>
    <t>Mindösszesen</t>
  </si>
  <si>
    <t>Működési célú pénzeszköz-átadások részletezése</t>
  </si>
  <si>
    <t>forintban</t>
  </si>
  <si>
    <t>Eredeti előirányzat</t>
  </si>
  <si>
    <t>Rovatkód</t>
  </si>
  <si>
    <t>Működési célú pénzeszköz átadás ÁHT-n belül</t>
  </si>
  <si>
    <t>Bursa Hungarica ösztöndíj-támogatás</t>
  </si>
  <si>
    <t>K506-04</t>
  </si>
  <si>
    <t>K506-08</t>
  </si>
  <si>
    <t>K506-09</t>
  </si>
  <si>
    <t>Működési célú pénzeszköz átadás ÁHT-n belül összesen</t>
  </si>
  <si>
    <t>Működési célú pénzeszköz átadás ÁHT-n kívül</t>
  </si>
  <si>
    <t>Sármelléki Polgárőrség</t>
  </si>
  <si>
    <t>Sármelléki Sportegyesület</t>
  </si>
  <si>
    <t>K512-03</t>
  </si>
  <si>
    <t>K512-02</t>
  </si>
  <si>
    <t>Keszthelyi Mentőszolg.Alapítvány</t>
  </si>
  <si>
    <t>K512-08</t>
  </si>
  <si>
    <t>Működési célú pénzeszköz átadás ÁHT-n kívül összesen</t>
  </si>
  <si>
    <t>Működési célú pénzeszköz átadás ÁHT-n belűl és kívül összesen</t>
  </si>
  <si>
    <t>K89-02</t>
  </si>
  <si>
    <t>K89-01</t>
  </si>
  <si>
    <t>Felhalmozási célúcélú pénzeszköz átadás  összesen</t>
  </si>
  <si>
    <t>Európai Uniós támogatással megvalósuló projektek bevételei, kiadásai, hozzájárulások</t>
  </si>
  <si>
    <t>EU-s projekt azonosítója:</t>
  </si>
  <si>
    <t>Források</t>
  </si>
  <si>
    <t>Összesen</t>
  </si>
  <si>
    <t>Saját erő</t>
  </si>
  <si>
    <t>saját erőből központi támogatás</t>
  </si>
  <si>
    <t>EU-s forrás</t>
  </si>
  <si>
    <t>Társfinanszírozás</t>
  </si>
  <si>
    <t>Hitel</t>
  </si>
  <si>
    <t xml:space="preserve">Egyéb forrás </t>
  </si>
  <si>
    <t>Források összesen</t>
  </si>
  <si>
    <t>Kiadások, költségek</t>
  </si>
  <si>
    <t>Személyi jellegű</t>
  </si>
  <si>
    <t>Beruházások, beszerzések</t>
  </si>
  <si>
    <t>Szolgáltatások igénybevétele</t>
  </si>
  <si>
    <t>Tartalék</t>
  </si>
  <si>
    <t>7.melléklet</t>
  </si>
  <si>
    <t xml:space="preserve">Adott, közvetett támogatások  </t>
  </si>
  <si>
    <t>8.melléklet</t>
  </si>
  <si>
    <t>Bevételi jogcím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</si>
  <si>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</si>
  <si>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</si>
  <si>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</si>
  <si>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</si>
  <si>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</si>
  <si>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</si>
  <si>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</si>
  <si>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</si>
  <si>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</si>
  <si>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</si>
  <si>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</si>
  <si>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</si>
  <si>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</si>
  <si>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>12.</t>
  </si>
  <si>
    <t xml:space="preserve">Iparűzési adó állandó jelleggel végzett iparűzési tevékenység után </t>
  </si>
  <si>
    <t>13.</t>
  </si>
  <si>
    <t>Gépjárműadóból biztosított kedvezmény, mentesség</t>
  </si>
  <si>
    <t>14.</t>
  </si>
  <si>
    <t>Helyiségek hasznosítása utáni kedvezmény, menteség</t>
  </si>
  <si>
    <t>15.</t>
  </si>
  <si>
    <t>Eszközök hasznosítása utáni kedvezmény, menteség</t>
  </si>
  <si>
    <t>16.</t>
  </si>
  <si>
    <t>Egyéb kedvezmény</t>
  </si>
  <si>
    <t>17.</t>
  </si>
  <si>
    <t>Egyéb kölcsön elengedése</t>
  </si>
  <si>
    <t>18.</t>
  </si>
  <si>
    <t>19.</t>
  </si>
  <si>
    <t>Összesen:</t>
  </si>
  <si>
    <t>9.melléklet</t>
  </si>
  <si>
    <t>Többéves kihatással járó kötelezettségvállalások listája</t>
  </si>
  <si>
    <t xml:space="preserve"> Ezer forintban </t>
  </si>
  <si>
    <t>Sor-
szám</t>
  </si>
  <si>
    <t>Kötelezettség jogcíme</t>
  </si>
  <si>
    <t>Köt. váll.
 éve</t>
  </si>
  <si>
    <t>Kiadás vonzata évenként</t>
  </si>
  <si>
    <t>2019.</t>
  </si>
  <si>
    <t>2021. után</t>
  </si>
  <si>
    <t>9=(4+5+6+7+8)</t>
  </si>
  <si>
    <t>Működési célú hiteltörlesztés tőke</t>
  </si>
  <si>
    <t>Felhalmozási célú hiteltörlesztés (tőke+kamat)</t>
  </si>
  <si>
    <t>Beruházás feladatonként</t>
  </si>
  <si>
    <t>............................</t>
  </si>
  <si>
    <t xml:space="preserve">Egyéb </t>
  </si>
  <si>
    <t>Összesen (1+4+7+9+11)</t>
  </si>
  <si>
    <t>10. melléklet</t>
  </si>
  <si>
    <t>Sármelléki Óvoda Művelődési Központ</t>
  </si>
  <si>
    <t>Sármelléki Közös Önkormányzati Hivatal</t>
  </si>
  <si>
    <t>Éves létszám-előirányzat</t>
  </si>
  <si>
    <t>Szakfeladat száma</t>
  </si>
  <si>
    <t>Szakfeladat megnevezése</t>
  </si>
  <si>
    <t>Éves létszám-előirányzat  (fő)</t>
  </si>
  <si>
    <t>096015</t>
  </si>
  <si>
    <t>Iskiolai Intézményi étkeztetés</t>
  </si>
  <si>
    <t>011130</t>
  </si>
  <si>
    <t>Önkormányzatok igazgatási tevékenysége</t>
  </si>
  <si>
    <t>091110</t>
  </si>
  <si>
    <t>Óvodai nevelés szakmai feladatai</t>
  </si>
  <si>
    <t>066020</t>
  </si>
  <si>
    <t>Községgazdálkodás</t>
  </si>
  <si>
    <t>011131</t>
  </si>
  <si>
    <t>Önkományzati jogalkotás</t>
  </si>
  <si>
    <t>082092</t>
  </si>
  <si>
    <t>Közművelődés</t>
  </si>
  <si>
    <t>Önkormányzati jogalkotás</t>
  </si>
  <si>
    <t>011220</t>
  </si>
  <si>
    <t>Bölcsőde</t>
  </si>
  <si>
    <t>074031</t>
  </si>
  <si>
    <t>család és nővédelem</t>
  </si>
  <si>
    <t>Óvoda működtetés</t>
  </si>
  <si>
    <t>Közfoglalkoztatás éves létszám-előirányzata</t>
  </si>
  <si>
    <t>Éves létszám-előirányzat (fő)</t>
  </si>
  <si>
    <t>041233</t>
  </si>
  <si>
    <t>Közfoglalkoztatás</t>
  </si>
  <si>
    <t>Sármelléki Óvoda Általános Művelődési Központ</t>
  </si>
  <si>
    <t>Előző évi működési célú előirányzat-maradvány, pénzmaradvány átadás</t>
  </si>
  <si>
    <r>
      <t xml:space="preserve">Költségvetési kiadások összesen </t>
    </r>
    <r>
      <rPr>
        <sz val="12"/>
        <rFont val="Times New Roman"/>
        <family val="1"/>
        <charset val="238"/>
      </rPr>
      <t>(I+II+III+IV+V)</t>
    </r>
  </si>
  <si>
    <t>Előző évi működési célú előirányzat-maradvány, pénzmaradvány átvétel</t>
  </si>
  <si>
    <t xml:space="preserve">Működési célú hitel felvétele </t>
  </si>
  <si>
    <t>Értékpapír vásárlásainak kiadása</t>
  </si>
  <si>
    <t>Működési célú hitel törlesztése (folyószámlahitel)</t>
  </si>
  <si>
    <t>Működési célú hitel törlesztése (éven túli)</t>
  </si>
  <si>
    <t>Finanszírozási kiadások összesen (VIII+IX)</t>
  </si>
  <si>
    <t>összeg</t>
  </si>
  <si>
    <t>ÁFA</t>
  </si>
  <si>
    <t>Törvény szerinti illetmények, munkabérek (K1101)</t>
  </si>
  <si>
    <t>Céljuttatás, projektprémium (K1103)</t>
  </si>
  <si>
    <t>Béren kívüli juttatások (K1107)</t>
  </si>
  <si>
    <t>Közlekedési költségtérítés (K1109)</t>
  </si>
  <si>
    <t>Foglalkoztatottak személyi juttatásai (K11)</t>
  </si>
  <si>
    <t>Tiszteletdíj: Ferge Józsefné (K122)</t>
  </si>
  <si>
    <t>Tiszteletdíj: Balogh Anikó (K122)</t>
  </si>
  <si>
    <t>Külső személyi juttatások összesen (K12)</t>
  </si>
  <si>
    <t>SZEMÉLYI JUTTATÁSOK MINDÖSSZESEN (K1)</t>
  </si>
  <si>
    <t>MUNKAADÓKAT TERHELŐ JÁRULÉKOK ÉS SZOCIÁLIS HOZZÁJÁRULÁSI ADÓ (K2)</t>
  </si>
  <si>
    <t>Szakmai ismeretek, folyóirat előfizetése</t>
  </si>
  <si>
    <t>szakmai anyagok csoport foglalkozásokhoz</t>
  </si>
  <si>
    <t>szakmai anyagok beszerzése összesen (K311)</t>
  </si>
  <si>
    <t xml:space="preserve">papír, írószer, fénymásoló papír, nyomtatvány </t>
  </si>
  <si>
    <t>tintaparton, toner</t>
  </si>
  <si>
    <t>tisztítószer</t>
  </si>
  <si>
    <t>10 db 12 személyes asztalterítő</t>
  </si>
  <si>
    <t>Üzemeltetési anyagok beszerzése összesen  (K312)</t>
  </si>
  <si>
    <t>KÉSZLETBESZERZÉS (K31)</t>
  </si>
  <si>
    <t>Adatátviteli célú távközlési díj:internet</t>
  </si>
  <si>
    <t>Informatikai szolgáltatások igénybevétele (K321)</t>
  </si>
  <si>
    <t xml:space="preserve">Telefondíj, mobil telefon díjak </t>
  </si>
  <si>
    <t>Egyéb kommunikációs szolgáltatások (K322)</t>
  </si>
  <si>
    <t>KOMMUNIKÁCIÓS SZOLGÁLTATÁSOK (K32)</t>
  </si>
  <si>
    <t>Közüzemi  díjak (K331)</t>
  </si>
  <si>
    <t>Karbantartási, kisjavítási szolgáltatások (K334)</t>
  </si>
  <si>
    <t>szakmai tréning (K336)</t>
  </si>
  <si>
    <t>Szakmai tevékenységet segítő szolgáltatások (K336)</t>
  </si>
  <si>
    <t>rágcsálóírtás</t>
  </si>
  <si>
    <t>SÖTYE-Nőklub éves működés (K337)</t>
  </si>
  <si>
    <t>Otelló Borbarátok éves működés (K337)</t>
  </si>
  <si>
    <t>BRACCS éves működés (K337)</t>
  </si>
  <si>
    <t>Horváth Szilárd heti 1 óra furulyaoktatás 1500 Ft/óra (K337)</t>
  </si>
  <si>
    <t>Egyéb szolgáltatások (K337)</t>
  </si>
  <si>
    <t>Szolgáltatási kiadások (K33)</t>
  </si>
  <si>
    <t>Kiküldetések kiadásai (K341)</t>
  </si>
  <si>
    <t>ARTISJUS egész éves rendezvény díja (K341)</t>
  </si>
  <si>
    <t>Kiküldetések, reklám- és propagandakiadások (K34)</t>
  </si>
  <si>
    <t>Működési célú általános forgalmi adó (K351)</t>
  </si>
  <si>
    <t>Különféle befizetések és egyéb dologi kiadások (K35)</t>
  </si>
  <si>
    <t>DOLOGI KIADÁSOK ÖSSZESEN (K3)</t>
  </si>
  <si>
    <t>Egyéb dologi kiadás (K355)</t>
  </si>
  <si>
    <t>Egyéb tárgyi eszközök összesen (K64)</t>
  </si>
  <si>
    <t>Beruházási célú előzetesen felszámított ÁFA (K67)</t>
  </si>
  <si>
    <t>KÖLTSÉGVETÉSI KIADÁSOK MINDÖSSZESEN</t>
  </si>
  <si>
    <t xml:space="preserve">Szakmai ismeretek, folyóirat előfizetése:Kereplő újság </t>
  </si>
  <si>
    <t>ezer ft-ban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</si>
  <si>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</si>
  <si>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</si>
  <si>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</si>
  <si>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</si>
  <si>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</si>
  <si>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</si>
  <si>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</si>
  <si>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</si>
  <si>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</si>
  <si>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</si>
  <si>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</si>
  <si>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</si>
  <si>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</si>
  <si>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Munkaadót terhelő járulékok</t>
  </si>
  <si>
    <t>Végleges pénzeszközátadás, egyéb támogatás</t>
  </si>
  <si>
    <t>Társadalom és szoc.pol. Ellátások</t>
  </si>
  <si>
    <t>Felhalmozási kiadások</t>
  </si>
  <si>
    <t xml:space="preserve">Kiadások összesen </t>
  </si>
  <si>
    <t>Intézményi müködési bevételek</t>
  </si>
  <si>
    <t>Intézményfinanszírozás</t>
  </si>
  <si>
    <t>Támogatásértékű bevételek, átvett pénzeszközök</t>
  </si>
  <si>
    <t xml:space="preserve">Bevételek összesen </t>
  </si>
  <si>
    <t>Közös Önk.Hiv.</t>
  </si>
  <si>
    <t>Foglalkoztatottak egyéb személyi juttatásai (K1113)</t>
  </si>
  <si>
    <t>Költségvetési levelek előfizetése</t>
  </si>
  <si>
    <t>wINsZOC program díja: ABAUS</t>
  </si>
  <si>
    <t>informatikai eszk. Karbantartás:TC Informatika</t>
  </si>
  <si>
    <t>ECOSTAT rendszer karbantartás:CompuTrend</t>
  </si>
  <si>
    <t xml:space="preserve">Internet modem bérleti díja </t>
  </si>
  <si>
    <t>Bérleti és lízing díjak (K333)</t>
  </si>
  <si>
    <t>Szakmai tev.segítő szolg.:üzemorvosi dÍj (K336)</t>
  </si>
  <si>
    <t>Postaköltségek, postafiókbérlet (K337)</t>
  </si>
  <si>
    <t>Bankköltségek (K337)</t>
  </si>
  <si>
    <t>KIADÁSOK MINDÖSSZESEN</t>
  </si>
  <si>
    <t>Sármellék Község Önkormányzat</t>
  </si>
  <si>
    <t>16.melléklet</t>
  </si>
  <si>
    <t>Előző évi állami visszafiz.</t>
  </si>
  <si>
    <t>Intézmény finanszírozás</t>
  </si>
  <si>
    <t>Hitelek</t>
  </si>
  <si>
    <t xml:space="preserve">Dologi és egyéb folyó kiadásai intézményi és összesített kimutatása </t>
  </si>
  <si>
    <t>Rovatszám</t>
  </si>
  <si>
    <t>Tartozik</t>
  </si>
  <si>
    <t>Szakmai anyagok beszerzése</t>
  </si>
  <si>
    <t>01</t>
  </si>
  <si>
    <t>311</t>
  </si>
  <si>
    <t>Üzemeltetési anyagok beszerzése</t>
  </si>
  <si>
    <t>02</t>
  </si>
  <si>
    <t>312</t>
  </si>
  <si>
    <t>5102</t>
  </si>
  <si>
    <t>Árubeszerzés</t>
  </si>
  <si>
    <t>03</t>
  </si>
  <si>
    <t>313</t>
  </si>
  <si>
    <t>5113</t>
  </si>
  <si>
    <t>Készletbeszerzés (01+…+3)</t>
  </si>
  <si>
    <t>04</t>
  </si>
  <si>
    <t>5103</t>
  </si>
  <si>
    <t>Informatikai szolgáltatások igénybevétele</t>
  </si>
  <si>
    <t>05</t>
  </si>
  <si>
    <t>321</t>
  </si>
  <si>
    <t>Egyéb kommunikációs szolgáltatások</t>
  </si>
  <si>
    <t>06</t>
  </si>
  <si>
    <t>322</t>
  </si>
  <si>
    <t>Kommunikációs szolgáltatások (5+6)</t>
  </si>
  <si>
    <t>07</t>
  </si>
  <si>
    <t>Közüzemi díjak</t>
  </si>
  <si>
    <t>08</t>
  </si>
  <si>
    <t>331</t>
  </si>
  <si>
    <t>Vásárolt élelmezés</t>
  </si>
  <si>
    <t>09</t>
  </si>
  <si>
    <t>332</t>
  </si>
  <si>
    <t>5108</t>
  </si>
  <si>
    <t>Bérleti és lízing díjak</t>
  </si>
  <si>
    <t>10</t>
  </si>
  <si>
    <t>333</t>
  </si>
  <si>
    <t>ebből PPP alapuló szerződéses konstrukció</t>
  </si>
  <si>
    <t>11</t>
  </si>
  <si>
    <t>5110</t>
  </si>
  <si>
    <t>Karbantartási kisjavítási szolgáltatások</t>
  </si>
  <si>
    <t>12</t>
  </si>
  <si>
    <t>334</t>
  </si>
  <si>
    <t>Közvetített szolgáltatások</t>
  </si>
  <si>
    <t>13</t>
  </si>
  <si>
    <t>335</t>
  </si>
  <si>
    <t>5112</t>
  </si>
  <si>
    <t>ebből ÁHT-n belül</t>
  </si>
  <si>
    <t>14</t>
  </si>
  <si>
    <t>Szakmai tevékenységet segítő szolgáltatások</t>
  </si>
  <si>
    <t>15</t>
  </si>
  <si>
    <t>336</t>
  </si>
  <si>
    <t>Egyéb szolgáltatások</t>
  </si>
  <si>
    <t>16</t>
  </si>
  <si>
    <t>337</t>
  </si>
  <si>
    <t>5201</t>
  </si>
  <si>
    <t>Szolgáltatási kiadások (08+09+10+12+13+15+16)</t>
  </si>
  <si>
    <t>17</t>
  </si>
  <si>
    <t>Kiküldetés kiadásai</t>
  </si>
  <si>
    <t>18</t>
  </si>
  <si>
    <t>341</t>
  </si>
  <si>
    <t>Reklám- és propaganda kiadások</t>
  </si>
  <si>
    <t>19</t>
  </si>
  <si>
    <t>342</t>
  </si>
  <si>
    <t>Kiküldetés, reklám kiadások (18+19)</t>
  </si>
  <si>
    <t>20</t>
  </si>
  <si>
    <t>5204</t>
  </si>
  <si>
    <t>Műk.c. előzetesen felszámított ÁFA</t>
  </si>
  <si>
    <t>21</t>
  </si>
  <si>
    <t>351</t>
  </si>
  <si>
    <t>5205</t>
  </si>
  <si>
    <t>Fizetendő ÁFA</t>
  </si>
  <si>
    <t>22</t>
  </si>
  <si>
    <t>352</t>
  </si>
  <si>
    <t>Kamatkiadások   (24+25)</t>
  </si>
  <si>
    <t>23</t>
  </si>
  <si>
    <t>353</t>
  </si>
  <si>
    <t>ebből ÁÁHT-n belül</t>
  </si>
  <si>
    <t>24</t>
  </si>
  <si>
    <t>5207</t>
  </si>
  <si>
    <t>ebből fedezeti ügyletek kamatkiadásai</t>
  </si>
  <si>
    <t>25</t>
  </si>
  <si>
    <t>5208</t>
  </si>
  <si>
    <t>Egyéb pénzügyi műveletek kiadásai(27+28+29)</t>
  </si>
  <si>
    <t>26</t>
  </si>
  <si>
    <t>354</t>
  </si>
  <si>
    <t>ebből valuta, deviza eszközök realizált árf. Veszt.</t>
  </si>
  <si>
    <t>27</t>
  </si>
  <si>
    <t>5210</t>
  </si>
  <si>
    <t>ebből hitelviszonyt megtestesítő értékp. Árf. Különbözet</t>
  </si>
  <si>
    <t>28</t>
  </si>
  <si>
    <t>5211</t>
  </si>
  <si>
    <t>ebből deviza kötelezettségek realizált árf. Veszt.</t>
  </si>
  <si>
    <t>29</t>
  </si>
  <si>
    <t>5212</t>
  </si>
  <si>
    <t>Egyéb dologi kiadások</t>
  </si>
  <si>
    <t>30</t>
  </si>
  <si>
    <t>355</t>
  </si>
  <si>
    <t>KLF. Befizetések, egyéb dologi kiadások (21+22+23+26+30)</t>
  </si>
  <si>
    <t>31</t>
  </si>
  <si>
    <t>DOLOGI KIADÁSOK  (4+7+17+20+31)</t>
  </si>
  <si>
    <t>32</t>
  </si>
  <si>
    <t>reprezentáció (K123)</t>
  </si>
  <si>
    <t>Kiadásainak és bevételeinek fő összesítője költségvetési évet követő három év</t>
  </si>
  <si>
    <t>17.melléklet</t>
  </si>
  <si>
    <t>Általánostartalék</t>
  </si>
  <si>
    <t>kötött, - céltartalék</t>
  </si>
  <si>
    <t>1. sz. melléklet</t>
  </si>
  <si>
    <t>EU-s  projekt azonosítója:</t>
  </si>
  <si>
    <t>Sármellék  öszesen</t>
  </si>
  <si>
    <t>Önkormányzati hivatal működésének általános támogatása</t>
  </si>
  <si>
    <t>B111</t>
  </si>
  <si>
    <t>Települési önkormányzatok egyes köznevelési feladatainak támogatás</t>
  </si>
  <si>
    <t>B112</t>
  </si>
  <si>
    <t>Települési önkormányzatok szociális, gyermekjóléti és gyermekétkeztetési feladatainak támogatása</t>
  </si>
  <si>
    <t>B113</t>
  </si>
  <si>
    <t>Települési önkormányzatok kulturális feladatainak támogatás</t>
  </si>
  <si>
    <t>B114</t>
  </si>
  <si>
    <t>Kiegészítő támogatás</t>
  </si>
  <si>
    <t>Bérkompenzáció ÁMK</t>
  </si>
  <si>
    <t>B115</t>
  </si>
  <si>
    <t>Bérkompenzáció Közös Hivatal</t>
  </si>
  <si>
    <t>Szociális ágazati és kiegészítő pótlék ÁMK</t>
  </si>
  <si>
    <t>Mezőőri támogatás</t>
  </si>
  <si>
    <t>B16-04</t>
  </si>
  <si>
    <t>B16-06</t>
  </si>
  <si>
    <t>B16-05</t>
  </si>
  <si>
    <t>EU-tól kapott támogatások</t>
  </si>
  <si>
    <t>EU Támogatások összesen:</t>
  </si>
  <si>
    <t>Intézményi működési</t>
  </si>
  <si>
    <t>Nettó</t>
  </si>
  <si>
    <t>Bruttó</t>
  </si>
  <si>
    <t>Temető fenntartási ktg.</t>
  </si>
  <si>
    <t>nettó</t>
  </si>
  <si>
    <t>Garázsbérlet</t>
  </si>
  <si>
    <t>B402</t>
  </si>
  <si>
    <t>Lakbér</t>
  </si>
  <si>
    <t>Háziorvosi rezsi hozzájárulás</t>
  </si>
  <si>
    <t>B406</t>
  </si>
  <si>
    <t>Földbérleti díjak</t>
  </si>
  <si>
    <t>Közműfejlesztési hozzáj.</t>
  </si>
  <si>
    <t>Sírhely megváltás</t>
  </si>
  <si>
    <t xml:space="preserve">Helység bérleti díjak </t>
  </si>
  <si>
    <t>Óvodai étkeztetés</t>
  </si>
  <si>
    <t>B405</t>
  </si>
  <si>
    <t>Iskolai étkeztetés</t>
  </si>
  <si>
    <t>Szocétkeztetés</t>
  </si>
  <si>
    <t>Koncessziós díj Iv .név ÁFA</t>
  </si>
  <si>
    <t>levonható ÁFA  étkeztetés, tisztítószer csak iskola+óvoda</t>
  </si>
  <si>
    <t>Visszaigényelhető ÁFA</t>
  </si>
  <si>
    <t>B407</t>
  </si>
  <si>
    <t>Előző évi visszaigényelhető ÁFA</t>
  </si>
  <si>
    <t>összes visszaigényelhető ÁFA</t>
  </si>
  <si>
    <t>ZSA osztalék</t>
  </si>
  <si>
    <t>B404-05</t>
  </si>
  <si>
    <t xml:space="preserve">Hévíz </t>
  </si>
  <si>
    <t>B404-02</t>
  </si>
  <si>
    <t>Koncessziós díj</t>
  </si>
  <si>
    <t>Westel torony</t>
  </si>
  <si>
    <t>Felhalmozási és tőke jellegű bevétel összesen:</t>
  </si>
  <si>
    <t>pénzmaradvány igénybevétele:</t>
  </si>
  <si>
    <t>B8131</t>
  </si>
  <si>
    <t>pénztár</t>
  </si>
  <si>
    <t>elszámolási szlák összesen</t>
  </si>
  <si>
    <t>lakás bevétel</t>
  </si>
  <si>
    <t>B52</t>
  </si>
  <si>
    <t>Lakáseladás részletének bevétele</t>
  </si>
  <si>
    <t>Mándi Imréné</t>
  </si>
  <si>
    <t xml:space="preserve">Nagy Orsolya 570600/év </t>
  </si>
  <si>
    <t xml:space="preserve">Bittó Katalin </t>
  </si>
  <si>
    <t>építmény</t>
  </si>
  <si>
    <t>B34-01</t>
  </si>
  <si>
    <t>B34-03</t>
  </si>
  <si>
    <t>iparűzés</t>
  </si>
  <si>
    <t>B351-07</t>
  </si>
  <si>
    <t>talajtrh.</t>
  </si>
  <si>
    <t>B36-15</t>
  </si>
  <si>
    <t>gépjármű</t>
  </si>
  <si>
    <t>B354-01</t>
  </si>
  <si>
    <t>termőf. Bérbead.</t>
  </si>
  <si>
    <t>B311-03</t>
  </si>
  <si>
    <t>Jövedéki adó</t>
  </si>
  <si>
    <t>B36-12</t>
  </si>
  <si>
    <t>idegenforg.</t>
  </si>
  <si>
    <t>B355-08</t>
  </si>
  <si>
    <t>egyéb bev.:</t>
  </si>
  <si>
    <t>mezőőri jár.</t>
  </si>
  <si>
    <t>Önkormányzat sajátos működési bevételei összesen:</t>
  </si>
  <si>
    <t xml:space="preserve">Összesen: </t>
  </si>
  <si>
    <t xml:space="preserve">Állami támogatás </t>
  </si>
  <si>
    <t xml:space="preserve">Kiadás </t>
  </si>
  <si>
    <t>különbség</t>
  </si>
  <si>
    <t>Óvoda</t>
  </si>
  <si>
    <t>Óvodai állami támogatás összesen</t>
  </si>
  <si>
    <t>Bölcsődei állami támogatás összesen</t>
  </si>
  <si>
    <t>Bölcsőde és Óvodai állami támogatások összesen</t>
  </si>
  <si>
    <t>Kulturális illetménypótlék</t>
  </si>
  <si>
    <t>Könyvtári, közművelődési feladatok támogatása mindösszesen</t>
  </si>
  <si>
    <t>Bérleti díj:Nyitok</t>
  </si>
  <si>
    <t>Helység bérleti díjak</t>
  </si>
  <si>
    <t>ÁMK bevételek mindösszesen</t>
  </si>
  <si>
    <t>ÁMK kiadások mindösszesen</t>
  </si>
  <si>
    <t>Különbség</t>
  </si>
  <si>
    <t>Bevétel</t>
  </si>
  <si>
    <t xml:space="preserve">pénztár: </t>
  </si>
  <si>
    <t>bankszámla</t>
  </si>
  <si>
    <t>KÖLTSÉGVETÉSI BEVÉTELEK  ÖSSZESEN:</t>
  </si>
  <si>
    <t>kiadások</t>
  </si>
  <si>
    <t>Különbözet</t>
  </si>
  <si>
    <t>2019. Évi költségvetés</t>
  </si>
  <si>
    <t>Felhasználás
2019.XII.31-ig</t>
  </si>
  <si>
    <t>hűtőszekrény vásárlása (K64)</t>
  </si>
  <si>
    <t>Patriot Burst 120GB SSD PC 8 db számítógépre</t>
  </si>
  <si>
    <t>Közös Hivatal beszerzése Összesen:</t>
  </si>
  <si>
    <t>Sármellék Zalavár Kármentesítő Társulás</t>
  </si>
  <si>
    <t>Keszthely város környéki Önkormányztok Ügyelet és orvosi ügyelet éves díja</t>
  </si>
  <si>
    <t>Keszthelyi Kistérségi támogatás ( belső ellenőrzési hozzájárulás)</t>
  </si>
  <si>
    <t>Egyéb alapítványok támogatása</t>
  </si>
  <si>
    <t>Erdős Bt (Iskola e.ü.) 8400 Ft/hó</t>
  </si>
  <si>
    <t>TOP ipari park pályázat</t>
  </si>
  <si>
    <t>ÁMK összesen</t>
  </si>
  <si>
    <t>Foglalkoztatottak személyi juttatásai (K1113)</t>
  </si>
  <si>
    <t>Megbízási díj december havi: Takácsné Ilku Anita (K122)</t>
  </si>
  <si>
    <t xml:space="preserve">SZEMÉLYI JUTTATÁSOK ÉS MUNKAADÓKAT TERHELŐ JÁRULÉKOK ÉS SZOCIÁLIS HOZZÁJÁRULÁSI ADÓ ÖSSZESEN </t>
  </si>
  <si>
    <t xml:space="preserve">Szakmai anyagok beszerzése </t>
  </si>
  <si>
    <t>papír, írószer, fénymásoló papír, nyomtatvány+ SHIP irodaköltségek</t>
  </si>
  <si>
    <t xml:space="preserve">tintaparton, toner SHIP iroda költségei </t>
  </si>
  <si>
    <t>tisztítószer ÁMK+SHIP iroda</t>
  </si>
  <si>
    <t>Tisztasági festéséhez anyagok beszerzése</t>
  </si>
  <si>
    <t>12 db tálca, 6 db kancsó beszerzése</t>
  </si>
  <si>
    <t xml:space="preserve">kávés csésze készletek  </t>
  </si>
  <si>
    <t xml:space="preserve">2 dl-es üvegpoharak  100 db </t>
  </si>
  <si>
    <t>programok, rendezvények költségei:koszorú, oklevél, könyvjutalom, dekorációk, liszt beszerzése  kenyérszenteléshez, könyvtári foglalkozásokhoz anyagbeszerzések</t>
  </si>
  <si>
    <t xml:space="preserve"> díszfák, virágosítás, játéktároló kosarak, melléképület betonozása </t>
  </si>
  <si>
    <t xml:space="preserve">Vizdíj, gázdíj, áramdíj </t>
  </si>
  <si>
    <t>üzemorvosi díj (K336)</t>
  </si>
  <si>
    <t>Üst Gyula heti 6 alkalom 4500 Ft/37 iskolai hét 6 óra (K337)</t>
  </si>
  <si>
    <t>Színjátszó csoport éves működési díjA: Lasics Henrietta  (K337)</t>
  </si>
  <si>
    <t xml:space="preserve">programok, rendezvények költségei: fellépők díja, gyerekelőadások díja, zenekari szolgáltatások, Őrség messemondó díja </t>
  </si>
  <si>
    <t>tűzvédelmi és baleseti oktatás: Vörös Tibor (K337)</t>
  </si>
  <si>
    <t>munkahelyi kockázati tényezők szabályzata: Vörös Tibor  (K337)</t>
  </si>
  <si>
    <t>rágcsálóírtás (K337)</t>
  </si>
  <si>
    <t>teleszkópos pókhálózó (K64)</t>
  </si>
  <si>
    <t>teleszkópos ablaklehúzó szett (K64)</t>
  </si>
  <si>
    <t>ragasztó pisztoly  (K64)</t>
  </si>
  <si>
    <t>bölcsődei beruházások:</t>
  </si>
  <si>
    <t>homokozóra takaróponyva (64)</t>
  </si>
  <si>
    <t>munkaruha 3 fő részére</t>
  </si>
  <si>
    <t>tisztasági festés</t>
  </si>
  <si>
    <t>üzemorvosi díj  (K336)</t>
  </si>
  <si>
    <t>munkahelyi tűzvédelmi és baleseti oktatás: Vörös Tibor  (K337)</t>
  </si>
  <si>
    <t>Könyvtár festéséhez anyagok beszerzése</t>
  </si>
  <si>
    <t>Intézményi bevételek</t>
  </si>
  <si>
    <t>2018. december 31-i pénzkészlet összesen:</t>
  </si>
  <si>
    <t>pénztár 2018.december 31-i egyenlege</t>
  </si>
  <si>
    <t>költségvetési elszámolási számla 2018. december 31-i egyenlege</t>
  </si>
  <si>
    <t>Megbízási díj (K122)</t>
  </si>
  <si>
    <t>Információs biztonsági referens éves díj:Cloudworks Kft</t>
  </si>
  <si>
    <t>Adatvédelmi tevékenység:CloudFactory Internet_kft.</t>
  </si>
  <si>
    <t>Szabályzatok elkészítése (2 Önk +intézm.+ROMA Önk.)(K337)</t>
  </si>
  <si>
    <t xml:space="preserve">szerver  </t>
  </si>
  <si>
    <t>Beruházások mindösszesen (K6)</t>
  </si>
  <si>
    <t>14. melléklet</t>
  </si>
  <si>
    <t xml:space="preserve">Személyi juttatásai és munkaadókat terhelő járulékai intézményi és összesített kimutatása </t>
  </si>
  <si>
    <t>066020 községgazdálkodás</t>
  </si>
  <si>
    <t>041233 közfoglalkoz-tatás</t>
  </si>
  <si>
    <t>096015    iskolai étkeztetés</t>
  </si>
  <si>
    <t>82091       EFOP 1.5.2 pályázat</t>
  </si>
  <si>
    <t>82092       EFOP 4.1.7 pályázat</t>
  </si>
  <si>
    <t>82093        EFOP 3.7.3 pályázat</t>
  </si>
  <si>
    <t>önk.ig.tev.</t>
  </si>
  <si>
    <t>Törvény szerinti illetmények, munkabérek</t>
  </si>
  <si>
    <t>1101</t>
  </si>
  <si>
    <t>Céljuttatás, projektprémium</t>
  </si>
  <si>
    <t>1103</t>
  </si>
  <si>
    <t>Béren kívüli juttatások</t>
  </si>
  <si>
    <t>1107</t>
  </si>
  <si>
    <t>Közlekedési költségtérítés</t>
  </si>
  <si>
    <t>1109</t>
  </si>
  <si>
    <t>Foglalkoztatottak egyéb személyi juttatásai</t>
  </si>
  <si>
    <t>1113</t>
  </si>
  <si>
    <t xml:space="preserve"> választott tisztségviselők juttatásai</t>
  </si>
  <si>
    <t>121</t>
  </si>
  <si>
    <t>munkavégzésre irányuló egyéb jogv.megbízásidíjai)</t>
  </si>
  <si>
    <t>122</t>
  </si>
  <si>
    <t>egyéb külső személyi juttatás</t>
  </si>
  <si>
    <t>123</t>
  </si>
  <si>
    <t xml:space="preserve">Személyi juttatások összesen </t>
  </si>
  <si>
    <t>Szociális hozzájárulási adó</t>
  </si>
  <si>
    <t>K2</t>
  </si>
  <si>
    <t>Munkáltatói SZJA</t>
  </si>
  <si>
    <t xml:space="preserve">Munkaadókat terhelő járulékok  és szociális hozzárjárulási adó összesen </t>
  </si>
  <si>
    <t xml:space="preserve">Személyi juttatások és munkaadókat terhelő járulékok és szoc.hj.adó összesen </t>
  </si>
  <si>
    <t>ÁLLAMI TÁMOGATÁSOK ÉS KIEGÉSZÍTŐ TÁMOGATÁSOK MINDÖSSZESEN</t>
  </si>
  <si>
    <t>Közfoglalkoztatottak támogatása</t>
  </si>
  <si>
    <t>Védőnői támogatás OEP támogatás (iskolaeü. 8400 Ft/hó, védőnő 407200 Ft/hó)</t>
  </si>
  <si>
    <t xml:space="preserve">TOP ipari park pályázat </t>
  </si>
  <si>
    <t>Támogatások mindösszesen</t>
  </si>
  <si>
    <t>Dr. Erdős Júlianna 106000/hó</t>
  </si>
  <si>
    <t>magánszemélyek kommunális adója</t>
  </si>
  <si>
    <t xml:space="preserve"> pótlék</t>
  </si>
  <si>
    <t xml:space="preserve">Kiadásainak és bevételeinek fő összesítője </t>
  </si>
  <si>
    <t>Tartalék (kötött, kötelezettségekkel terhelt)</t>
  </si>
  <si>
    <t xml:space="preserve">közművelődés -ifjúságvéd.program </t>
  </si>
  <si>
    <t>5. számú melléklet</t>
  </si>
  <si>
    <t>11.melléklet</t>
  </si>
  <si>
    <t>12. melléklet</t>
  </si>
  <si>
    <t>13. melléklet</t>
  </si>
  <si>
    <t>6. számú melléklet</t>
  </si>
  <si>
    <t>2021.</t>
  </si>
  <si>
    <t>2019. előtti kifizetés</t>
  </si>
  <si>
    <t xml:space="preserve">Támogatásértékű működési bevételek összesen </t>
  </si>
  <si>
    <t xml:space="preserve">2020 ÉVI KÖLTSÉGVETÉS  </t>
  </si>
  <si>
    <t>2020 évi eredeti előirányzat (Ft)</t>
  </si>
  <si>
    <t xml:space="preserve">2020. ÉVI KÖLTSÉGVETÉS  </t>
  </si>
  <si>
    <t>Idősek rendkívüli települési támogatás 367* 7000/fő</t>
  </si>
  <si>
    <t>Gyerekek rendkívüli települési támogatás  268 fő * 7500/fő</t>
  </si>
  <si>
    <t>Keszthelyi és Környéke többcélú Kistérségi Társulás  házi segítségnyújtás, család és gyermekjóléti szolgáltatás támogatás</t>
  </si>
  <si>
    <t>TÖOSZ  tagdíj</t>
  </si>
  <si>
    <t>Keszthelyi és Környéke többcélú Kistérségi Társulás  tagdíj</t>
  </si>
  <si>
    <t>Fogászati tagdíj</t>
  </si>
  <si>
    <t>Hévíz éves tagdíj</t>
  </si>
  <si>
    <t>Da Bibere Zalai Borlovagrend Keszthely támogatása</t>
  </si>
  <si>
    <t>Keszthelyi Yacht Club támogatása</t>
  </si>
  <si>
    <t>Zala Megye Polgári védelmi Szövetség Zalaegerszeg támogatása</t>
  </si>
  <si>
    <t>2020. évi eredeti előirányzat (eFt)</t>
  </si>
  <si>
    <t>BÖLCSŐDE  2020. évi KÖLTSÉGVETÉSI KIADÁSAI ÖSSZESEN</t>
  </si>
  <si>
    <t>törölköző</t>
  </si>
  <si>
    <t>kávéspoharak beszerzése</t>
  </si>
  <si>
    <t>előke beszerzése</t>
  </si>
  <si>
    <t xml:space="preserve">élelmiszer beszerzések </t>
  </si>
  <si>
    <t>korláthoz anyagbeszerzések</t>
  </si>
  <si>
    <t>Játékok beszerzése bölcsőde</t>
  </si>
  <si>
    <t>postaköltségek   (K337)</t>
  </si>
  <si>
    <t>Wifi erősítő beszerzése (K63)</t>
  </si>
  <si>
    <t>Wifi erőstő ÁFA (K67)</t>
  </si>
  <si>
    <t>Informatikai beszerzések összesen: (K63+67)</t>
  </si>
  <si>
    <t>Falipolc (K64)</t>
  </si>
  <si>
    <t>Szőnyeg 2x3 méteres (K64)</t>
  </si>
  <si>
    <t>BERUHÁZÁSOK MINDÖSSZESEN</t>
  </si>
  <si>
    <t>ÓVODA KÖLTSÉGVETÉSI KIADÁSAI ÖSSZESEN</t>
  </si>
  <si>
    <t>Jubilumi jutalom 25 éves Zsiborás Katalin (K1106)</t>
  </si>
  <si>
    <t>hosszabító, viaszkos vászon, lábtörlő, öntözőkanna</t>
  </si>
  <si>
    <t>homok , virágföld</t>
  </si>
  <si>
    <t>játékok beszerzése</t>
  </si>
  <si>
    <t>hinta köré kerítés anyagok</t>
  </si>
  <si>
    <t xml:space="preserve">munkaruha 6 fő részére </t>
  </si>
  <si>
    <t>kés, késszeletelő deszka</t>
  </si>
  <si>
    <t>érintésvédelmi vizsgálat  (K337)</t>
  </si>
  <si>
    <t>bankköltségek, postaköltségek   (K337)</t>
  </si>
  <si>
    <t>Udvari árnyékolás (K64)</t>
  </si>
  <si>
    <t>Függönyök (K64)</t>
  </si>
  <si>
    <t>színes nyomtató (K64)</t>
  </si>
  <si>
    <t>Akkus elemek és töltő  (K64)</t>
  </si>
  <si>
    <t>hangfalak (2 db) (K64)</t>
  </si>
  <si>
    <t>melegítő lábos (2 db) (K64)</t>
  </si>
  <si>
    <t>Beruházási kiadások mindösszesen (K63+K64+K67)</t>
  </si>
  <si>
    <t>Közművelődés 2020. évi KÖLTSÉGVETÉSI KIADÁSAI ÖSSZESEN</t>
  </si>
  <si>
    <t>Tiszteletdíj: Bakos Sándor (K122) (Király Gyula)</t>
  </si>
  <si>
    <t>Szakmai anyagok beszerzése (Sötye)</t>
  </si>
  <si>
    <t>Egyéb anyagok beszerzése (Sötye, Braccs, Otelló)</t>
  </si>
  <si>
    <t>társasjátékok</t>
  </si>
  <si>
    <t>festéshez anyagbeszerzések</t>
  </si>
  <si>
    <t>Darts készlet 2 db</t>
  </si>
  <si>
    <t>Hálózati router tp linkhez szükséges kábelek és elemek:Extreme Digital Zrt.</t>
  </si>
  <si>
    <t>Hangosító berendezésekhez csatlakozók, átalakítók, audió kábelek:Muziker Bratislava</t>
  </si>
  <si>
    <t xml:space="preserve">Szatmári férfi viselet 2db, szatmári női viselet 6 db, sármelléki női viselet 6 db (Csóri Sándor pályázat) varrása:Bertalanné Varga Ildikó </t>
  </si>
  <si>
    <t>ARTISJUS egész éves rendezvény díja (K322)</t>
  </si>
  <si>
    <t>Bérleti díj (légvár bérlése) (K333)</t>
  </si>
  <si>
    <t xml:space="preserve"> néptánc felléspések rendezvényeken  (K337)</t>
  </si>
  <si>
    <t>Muharay Elemér Népművészeti Szövetség tagdíja (K337)</t>
  </si>
  <si>
    <t>Csóri Sándor pályázat (népviseletek készítése, stb) (K337)</t>
  </si>
  <si>
    <t>Bánáti György  könyvtári szolgáltatás, közműv.tev. (K337) (átkerül a Sármelléki Önkormányzat közművelődési tevékenységéhez)</t>
  </si>
  <si>
    <t>Csóri Sándor pályázat elszámolása: Zene és táncművészeti tevékenység: Üst Gyula</t>
  </si>
  <si>
    <t>Csóri Sándor pályázat elszámolása: Táncoktatás:Szabó Csaba</t>
  </si>
  <si>
    <t>Csóri Sándor pályázat elszámolása: Előadó művészeti tevékenység Horváth László zenekar tiszteletdíja</t>
  </si>
  <si>
    <t>Informatikai eszközök utáni szállítási költségek: Extreme Digital Zrt.</t>
  </si>
  <si>
    <t>Hangosító berendezésekhez csatlakozók, átalakítók, audió kábelek utáni szállítási költségek:Muziker Bratislava</t>
  </si>
  <si>
    <t>Tüskevár Egyesület  Ajkán tartandó rendezvény személyszállítás díja (K337)</t>
  </si>
  <si>
    <t>mentőláda (64)</t>
  </si>
  <si>
    <t>Katlan, főző üst, üst ház, gázrózsa (64)</t>
  </si>
  <si>
    <t>csocsó és ping-pong kellékek (64)</t>
  </si>
  <si>
    <t>EPSONL120 külső tintatartályos nyomtató vásárlása (K64)</t>
  </si>
  <si>
    <t>Függöny + karnis (K64)</t>
  </si>
  <si>
    <t>Akkus elemek és töltő (K64)</t>
  </si>
  <si>
    <t>Vasalódeszka (K64)</t>
  </si>
  <si>
    <t>Billentős szemeteskuka 3 db  (K64)</t>
  </si>
  <si>
    <t>Mikrofon 2 db  (K64)</t>
  </si>
  <si>
    <t>Dybox (K64)</t>
  </si>
  <si>
    <t>Informatikai eszközök beszerzése:Ihgálózati ROUTER TP-link   (K63) (extreme digital)</t>
  </si>
  <si>
    <t>Informatikai eszközök összesen (K63)</t>
  </si>
  <si>
    <t>Zöld Gólya Óvoda és Bölcsőde ÁMK bevétele</t>
  </si>
  <si>
    <t>Ifjúsági Garancia GINOP 5.2.1-14-2015-00001 bérköltség támogatás</t>
  </si>
  <si>
    <t>ZM Kormányhivataltól 2019.05.01-08.31-ig: Varga Bálint</t>
  </si>
  <si>
    <t>Egyéb működési bevételek (kamatbevételek)</t>
  </si>
  <si>
    <t>2020. ÉVI ELŐIRÁNYZAT-FELHASZNÁLÁSI TERV</t>
  </si>
  <si>
    <t>Sármelléki Közös Hivatal 2020. évi kiadásai mindösszesen</t>
  </si>
  <si>
    <t xml:space="preserve">Egyéb külső személyi juttatások (K123) </t>
  </si>
  <si>
    <t>MUNKAADÓKAT TERHELŐ JÁRULÉKOK (K2)</t>
  </si>
  <si>
    <t>SZEMÉLYI JUTTATÁSOK MINDÖSSZESEN (K1) + MUNKAADÓKAT TERHELŐ JÁRULÉKOK ÉS SZOCIÁLIS HOZZÁJÁRULÁSI ADÓ (K2)</t>
  </si>
  <si>
    <t>EP választás  kiadásai(K312)</t>
  </si>
  <si>
    <t>2019.10.13-i  önk.választás kiadásai (K312)</t>
  </si>
  <si>
    <t>IT rendszergazdai szolgáltatás:TC Informatika</t>
  </si>
  <si>
    <t>E-szoftverfejlesztő Kft (kataszteri nyilvántartás)</t>
  </si>
  <si>
    <t>Fiók bérleti díja:posta 8250/név</t>
  </si>
  <si>
    <t>Szakmai tev.segítő szolg.:továbbképzési díjak (K336)</t>
  </si>
  <si>
    <t>Szakmai tev.segítő szolg.összesen (K336)</t>
  </si>
  <si>
    <t>tisztviselői normatíva :Nemzeti Közszolgálati Egyetem</t>
  </si>
  <si>
    <t>munkavédelmi szabályzatok elkészítése:Vörös Tibor</t>
  </si>
  <si>
    <t xml:space="preserve"> e-hiteles térképmásolat költségei (K337)</t>
  </si>
  <si>
    <t>Egyéb szolgálatatások (EP választási költségek) (K337)</t>
  </si>
  <si>
    <t>Egészségügyi szolgáltatás költsége (K337)</t>
  </si>
  <si>
    <t xml:space="preserve">Rackszekrény </t>
  </si>
  <si>
    <t>Szünetmentes tápegység a rackszekrénybe</t>
  </si>
  <si>
    <t xml:space="preserve">Router+WIFI </t>
  </si>
  <si>
    <t xml:space="preserve">számítástechnikai eszközök </t>
  </si>
  <si>
    <t>Informatikai eszközök beszerzése (K63)</t>
  </si>
  <si>
    <t>Egyéb tárgyi eszközök beszerzése (K64)</t>
  </si>
  <si>
    <t>Egyéb működési célú kiadások államháztartáson kívülre (K512)</t>
  </si>
  <si>
    <t>Nagykanizsai Tankerületi Központ részére támogatás</t>
  </si>
  <si>
    <t>Sármelléki Gyermekekért Alapítvány részére támogatás (menő menza pályázat megelőlegezése)</t>
  </si>
  <si>
    <t>K512</t>
  </si>
  <si>
    <t xml:space="preserve">Sármellékért Közhasznú Nonprofit Kft. </t>
  </si>
  <si>
    <t>2020. ÉVI KÖLTSÉGVETÉS</t>
  </si>
  <si>
    <t>Kölcsön nyújtása áht-N KÍVÜLRE</t>
  </si>
  <si>
    <t>d</t>
  </si>
  <si>
    <t>Államháztartáson belüli megelőlegezések visszafizetése</t>
  </si>
  <si>
    <t>Államháztartáson belüli megelőlegezések</t>
  </si>
  <si>
    <t>2020. ÉVI Sármellék Önk,</t>
  </si>
  <si>
    <t xml:space="preserve">2020.  ÉVI KÖLTSÉGVETÉS  </t>
  </si>
  <si>
    <t>eredeti előirányzat (Ft)</t>
  </si>
  <si>
    <t>2020 ÉVI ELŐIRÁNYZAT-FELHASZNÁLÁSI ütemTERV</t>
  </si>
  <si>
    <t>államháztartáson belüli megelőlegezések</t>
  </si>
  <si>
    <t>16.a. számú melléklet</t>
  </si>
  <si>
    <t xml:space="preserve">2020.  ÉVI KÖLTSÉGVETÉS </t>
  </si>
  <si>
    <t>082092 Közművelődés-</t>
  </si>
  <si>
    <t>074031 védőnő</t>
  </si>
  <si>
    <t>16.b. számú melléklet</t>
  </si>
  <si>
    <t>étkezések</t>
  </si>
  <si>
    <t>helyesbített pénzmaradvány</t>
  </si>
  <si>
    <t>2020. Évi költségvetés</t>
  </si>
  <si>
    <t xml:space="preserve"> 2020. évi költségevetés</t>
  </si>
  <si>
    <t>Államháztartáson belüli megelőlegezés visszafizetése</t>
  </si>
  <si>
    <t xml:space="preserve">Óvoda felújításai pályázat </t>
  </si>
  <si>
    <t xml:space="preserve">TOP. Művelődési ház fejlesztési energetikai korszerűsítése </t>
  </si>
  <si>
    <t>TOP. Ált.isk. fejlesztési energetikai korszerűsítése</t>
  </si>
  <si>
    <t xml:space="preserve">EFOP 1.5.2. Humán szolgáltatások fejlesztése pályázat </t>
  </si>
  <si>
    <t xml:space="preserve">VP6 Külterületi utak  pályázat </t>
  </si>
  <si>
    <t xml:space="preserve">TOP 1.2.1. Kerékpárút építés pályázat  </t>
  </si>
  <si>
    <t xml:space="preserve">2020 év Költségvetés </t>
  </si>
  <si>
    <t>Szolgálati lakás felújítás, lakásszámla</t>
  </si>
  <si>
    <t xml:space="preserve">2020. évi eredeti előirányzat </t>
  </si>
  <si>
    <t>udvari árnyékolás (K64)</t>
  </si>
  <si>
    <t>Színes nyomtató (K64)</t>
  </si>
  <si>
    <t>2 db hangfal (K64)</t>
  </si>
  <si>
    <t>melegítő lábos 2 db (K64)</t>
  </si>
  <si>
    <t>wifi erősítő (K63)</t>
  </si>
  <si>
    <t>kerékpár tároló (K64)</t>
  </si>
  <si>
    <t>informatikai eszközök beszerzése</t>
  </si>
  <si>
    <t>11. d. számú melléklet</t>
  </si>
  <si>
    <t xml:space="preserve">eredeti </t>
  </si>
  <si>
    <t>előirányzat</t>
  </si>
  <si>
    <t>eredeti előirányzat</t>
  </si>
  <si>
    <t>2020 évi eredeti előirányzat</t>
  </si>
  <si>
    <t xml:space="preserve">2020. ÉVI KÖLTSÉGVETÉS </t>
  </si>
  <si>
    <t>2020. évi tervezett bevételek</t>
  </si>
  <si>
    <t>Önk.hivatal működési támogatás</t>
  </si>
  <si>
    <t>Szentgyörgyvári Önk. Átvett pénzeszköz:int.fin.</t>
  </si>
  <si>
    <t>2019. december 31.-i pénzmaradvány</t>
  </si>
  <si>
    <t>Eredeti előirányzat Sármellék összesen</t>
  </si>
  <si>
    <t>2020 év eredeti előir.</t>
  </si>
  <si>
    <t>2020 évi módosított előirányzat (Ft)</t>
  </si>
  <si>
    <t>Állami támogatás visszafizetése</t>
  </si>
  <si>
    <t>Államháztartáson belüli megelőlegezés</t>
  </si>
  <si>
    <t>módosított</t>
  </si>
  <si>
    <t>módosított előirányzat</t>
  </si>
  <si>
    <t xml:space="preserve">2020. évi módosított előirányzat </t>
  </si>
  <si>
    <t>Szitaközi utcai szolgálati lakás felújítása</t>
  </si>
  <si>
    <t>TOP : műv.ház energetikai korszerűsítése pályázat</t>
  </si>
  <si>
    <t>TOP 3.2.1. általános iskola energetikai korszerűsítési pályázat</t>
  </si>
  <si>
    <t>Beruházási kiadások feladatonként (óvoda,bölcsőde,ámk)</t>
  </si>
  <si>
    <t xml:space="preserve">3 db pénzkazetta beszerzése </t>
  </si>
  <si>
    <t>NJOY Seth 650 UPS szünetmentes beszerzése</t>
  </si>
  <si>
    <t xml:space="preserve">Kerékpárút építés végszámla </t>
  </si>
  <si>
    <t>TOP 1.1.15 Ipari park pályázat</t>
  </si>
  <si>
    <t xml:space="preserve">Települési videomegfigyelő rendszer EFOP 1.5.2 Humán pályázat </t>
  </si>
  <si>
    <t>Irodai bútor EFOP 1.5.2 humán szolg. Pályázat</t>
  </si>
  <si>
    <t>Corina kamra és konyhaszekrény a Szitaközi szolgálati lakás részére</t>
  </si>
  <si>
    <t>Kombihütő beszerzése Szitaközi u. 2. szolgálati lakás részére</t>
  </si>
  <si>
    <t>Beépthető sütő beszerzése Szitaközi u. 2. szolgálati lakás részére</t>
  </si>
  <si>
    <t>Beépthető kerámialap beszerzése Szitaközi u. 2. szolgálati lakás részére</t>
  </si>
  <si>
    <t>Labdarugó kapu és kapuháló beszerzése iskola udvarra</t>
  </si>
  <si>
    <t>irodaszék beszerzése 1 db</t>
  </si>
  <si>
    <t xml:space="preserve">VP6 külterületi utak pályázat </t>
  </si>
  <si>
    <t>játszótéri játélok beszerzése:Nagy ho-ho-ho horgász, halacska</t>
  </si>
  <si>
    <t xml:space="preserve">Trianoni emlékmű </t>
  </si>
  <si>
    <t>Muziker:LED reflektor, mikrofonkábel,csatlakozók</t>
  </si>
  <si>
    <t>Mixvill.: Led reflektor 9 db beszerzése</t>
  </si>
  <si>
    <t xml:space="preserve">RGBW LED-es szinpadi mozgófénysugárzó távirányítós 2 db </t>
  </si>
  <si>
    <t>Beruházási kiadások ÖSSZESEN:</t>
  </si>
  <si>
    <t>4. számú melléklet</t>
  </si>
  <si>
    <t>2020 évi módosított előirányzat</t>
  </si>
  <si>
    <t>2020 évi eredeti</t>
  </si>
  <si>
    <t>2020 évi módosított</t>
  </si>
  <si>
    <t>Módosított előirányzat</t>
  </si>
  <si>
    <t>2020. évi módosított előirányzat (eFt)</t>
  </si>
  <si>
    <t>11.a. számú melléklet</t>
  </si>
  <si>
    <t>2020. évi terv eredeti</t>
  </si>
  <si>
    <t>2020. évi  módosított</t>
  </si>
  <si>
    <t>2020. évi terv</t>
  </si>
  <si>
    <t>2020. évi módosított</t>
  </si>
  <si>
    <t>11.c melléklet</t>
  </si>
  <si>
    <t>11. b.számú melléklet</t>
  </si>
  <si>
    <t>2020 évi terv</t>
  </si>
  <si>
    <t>Egyéb működési bevételek (áramdíj, gázdíj visszatérítés)</t>
  </si>
  <si>
    <t>2019. december 31-i helyesbített pénzmaradvány:</t>
  </si>
  <si>
    <t>Szakmai tev.segítő szolg.:Ügyviteli vezetési tanácsadás(K336)</t>
  </si>
  <si>
    <t>pénzkazetták beszerzése (3 db) (K64)</t>
  </si>
  <si>
    <t>NJOY Seth 650 UPS szünetmentes vásárlása (1 db) (K64)</t>
  </si>
  <si>
    <t>Major Zoltán helyi választási tag megbízási díjának és járulékának megtérítése a munkáltatója felé (2019.október 13-i önkormányzati választás)</t>
  </si>
  <si>
    <t>13.a. számú melléklet</t>
  </si>
  <si>
    <t>2020. évi módosított bevételek Közös Hivatal Sármellék</t>
  </si>
  <si>
    <t>2020. évi módosított bevételek</t>
  </si>
  <si>
    <t xml:space="preserve">kamatbevételek </t>
  </si>
  <si>
    <t>2019. december 31.-i helyesbített pénzmaradvány</t>
  </si>
  <si>
    <t>13.b. számú melléklet</t>
  </si>
  <si>
    <t>módosított előirányzat (Ft)</t>
  </si>
  <si>
    <t>2019. évi állami támogatás visszafizetése</t>
  </si>
  <si>
    <t>15. számú melléklet</t>
  </si>
  <si>
    <t>Kölcsönök visszatérülése</t>
  </si>
  <si>
    <t>2020. évi módosított költségvetés</t>
  </si>
  <si>
    <t>Módosított előirányzat Sármellék összesen</t>
  </si>
  <si>
    <t>ipari park</t>
  </si>
  <si>
    <t>2020.évi eredeti költségvetés</t>
  </si>
  <si>
    <t xml:space="preserve">Sármellék Község Önkormányzat 2020. évi intézményi, működési és felhalmozási bevételei                    </t>
  </si>
  <si>
    <t xml:space="preserve">2020. év eredeti </t>
  </si>
  <si>
    <t>2020. évi mód. Előir.</t>
  </si>
  <si>
    <t>Kamatbevételek, egyéb működési bevételek (kerekítés)</t>
  </si>
  <si>
    <t>B411</t>
  </si>
  <si>
    <t>B814</t>
  </si>
  <si>
    <t xml:space="preserve">SÁRMELLÉK KÖZSÉG ÖNKORMÁNYZAT 2020. ÉVI ÁLLAMI TÁMOGATÁSA                                           </t>
  </si>
  <si>
    <t>2020 év módosított</t>
  </si>
  <si>
    <t>ZM Kormányhivataltól átvett pénzeszköz 8 fő diákmunkás bére és járuléka</t>
  </si>
  <si>
    <t>B16</t>
  </si>
  <si>
    <t>Egészségügyi dolgozók részére 1 havi juttatás (védőnő) átvett OEP tám.</t>
  </si>
  <si>
    <t>TOP 1.1.1-15-ZA1-2016-00003 Ipari park fejlesztése pályázat</t>
  </si>
  <si>
    <t>B25</t>
  </si>
  <si>
    <t xml:space="preserve">TOP Kerékpárút pályázat </t>
  </si>
  <si>
    <t>Keszthelyi Mentők Alapítvántól átvett támogatás a 2019.évben adott támogatás fel nem használt részének</t>
  </si>
  <si>
    <t>visszautalása</t>
  </si>
  <si>
    <t>B65</t>
  </si>
  <si>
    <t>Sármelléki Polgárőrség kölcsön visszafizetése</t>
  </si>
  <si>
    <t>B64</t>
  </si>
  <si>
    <t>Előző évi állami támogatás visszafizetése</t>
  </si>
  <si>
    <t xml:space="preserve">Államháztartáson belüli megelőlegezések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</si>
</sst>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Ft&quot;_-;\-* #,##0.00\ &quot;Ft&quot;_-;_-* &quot;-&quot;??\ &quot;Ft&quot;_-;_-@_-"/>
    <numFmt numFmtId="164" formatCode="_-* #,##0.00\ _F_t_-;\-* #,##0.00\ _F_t_-;_-* &quot;-&quot;??\ _F_t_-;_-@_-"/>
    <numFmt numFmtId="165" formatCode="#,##0\ _F_t"/>
    <numFmt numFmtId="166" formatCode="_-* #,##0.00\ _€_-;\-* #,##0.00\ _€_-;_-* &quot;-&quot;??\ _€_-;_-@_-"/>
    <numFmt numFmtId="167" formatCode="_-* #,##0\ _F_t_-;\-* #,##0\ _F_t_-;_-* &quot;-&quot;??\ _F_t_-;_-@_-"/>
    <numFmt numFmtId="168" formatCode="#,###"/>
    <numFmt numFmtId="169" formatCode="0__"/>
    <numFmt numFmtId="170" formatCode="#"/>
    <numFmt numFmtId="171" formatCode="#,##0_ ;\-#,##0\ "/>
  </numFmts>
  <fonts count="103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2"/>
      <name val="Times New Roman"/>
      <family val="1"/>
      <charset val="238"/>
    </font>
    <font>
      <u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12"/>
      <name val="Arial"/>
      <family val="2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name val="Arial CE"/>
      <charset val="238"/>
    </font>
    <font>
      <b/>
      <sz val="10"/>
      <name val="Arial CE"/>
      <charset val="238"/>
    </font>
    <font>
      <b/>
      <sz val="12"/>
      <name val="Arial"/>
      <family val="2"/>
      <charset val="238"/>
    </font>
    <font>
      <b/>
      <i/>
      <sz val="16"/>
      <name val="Times New Roman"/>
      <family val="1"/>
      <charset val="238"/>
    </font>
    <font>
      <i/>
      <sz val="16"/>
      <name val="Times New Roman"/>
      <family val="1"/>
      <charset val="238"/>
    </font>
    <font>
      <b/>
      <sz val="14"/>
      <name val="Arial"/>
      <family val="2"/>
      <charset val="238"/>
    </font>
    <font>
      <b/>
      <sz val="13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Arial CE"/>
      <charset val="238"/>
    </font>
    <font>
      <sz val="10"/>
      <name val="Times New Roman CE"/>
      <charset val="238"/>
    </font>
    <font>
      <b/>
      <sz val="14"/>
      <name val="Times New Roman CE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4"/>
      <name val="Arial CE"/>
      <charset val="238"/>
    </font>
    <font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sz val="12"/>
      <name val="Arial CE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sz val="12"/>
      <name val="Arial CE"/>
      <charset val="238"/>
    </font>
    <font>
      <b/>
      <sz val="16"/>
      <name val="Times New Roman CE"/>
      <family val="1"/>
      <charset val="238"/>
    </font>
    <font>
      <b/>
      <sz val="16"/>
      <name val="Times New Roman CE"/>
      <charset val="238"/>
    </font>
    <font>
      <sz val="16"/>
      <name val="Arial CE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i/>
      <sz val="12"/>
      <name val="Times New Roman"/>
      <family val="1"/>
      <charset val="238"/>
    </font>
    <font>
      <i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8"/>
      <name val="Times New Roman CE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sz val="14"/>
      <name val="Times New Roman CE"/>
      <charset val="238"/>
    </font>
    <font>
      <b/>
      <i/>
      <sz val="10"/>
      <name val="Times New Roman CE"/>
      <family val="1"/>
      <charset val="238"/>
    </font>
    <font>
      <sz val="8"/>
      <name val="Times New Roman CE"/>
      <family val="1"/>
      <charset val="238"/>
    </font>
    <font>
      <b/>
      <sz val="11"/>
      <name val="Times New Roman CE"/>
      <charset val="238"/>
    </font>
    <font>
      <b/>
      <sz val="16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8"/>
      <name val="Arial"/>
      <family val="2"/>
      <charset val="238"/>
    </font>
    <font>
      <b/>
      <sz val="14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color indexed="10"/>
      <name val="Arial CE"/>
      <charset val="238"/>
    </font>
    <font>
      <sz val="10"/>
      <color rgb="FFFF0000"/>
      <name val="Arial CE"/>
      <charset val="238"/>
    </font>
    <font>
      <i/>
      <sz val="10"/>
      <name val="Arial CE"/>
      <charset val="238"/>
    </font>
    <font>
      <b/>
      <sz val="12"/>
      <color theme="0"/>
      <name val="Arial CE"/>
      <charset val="238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8"/>
      <name val="Calibri"/>
      <family val="2"/>
      <charset val="238"/>
      <scheme val="minor"/>
    </font>
    <font>
      <sz val="10"/>
      <name val="Arial"/>
      <family val="2"/>
    </font>
    <font>
      <sz val="11"/>
      <name val="Times New Roman CE"/>
      <charset val="238"/>
    </font>
    <font>
      <b/>
      <sz val="12"/>
      <color rgb="FFFF000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9"/>
      <color indexed="8"/>
      <name val="Times New Roman"/>
      <family val="1"/>
      <charset val="238"/>
    </font>
    <font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theme="1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gray0625">
        <bgColor indexed="43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lightHorizontal"/>
    </fill>
    <fill>
      <patternFill patternType="lightHorizontal">
        <bgColor theme="9" tint="0.5999633777886288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23" fillId="0" borderId="0"/>
    <xf numFmtId="0" fontId="4" fillId="0" borderId="0"/>
    <xf numFmtId="44" fontId="2" fillId="0" borderId="0" applyFont="0" applyFill="0" applyBorder="0" applyAlignment="0" applyProtection="0"/>
  </cellStyleXfs>
  <cellXfs count="1216">
    <xf numFmtId="0" fontId="0" fillId="0" borderId="0" xfId="0"/>
    <xf numFmtId="0" fontId="6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7" fillId="0" borderId="0" xfId="2" applyFont="1" applyAlignment="1">
      <alignment vertical="center"/>
    </xf>
    <xf numFmtId="0" fontId="7" fillId="0" borderId="9" xfId="2" applyFont="1" applyBorder="1" applyAlignment="1">
      <alignment vertical="center"/>
    </xf>
    <xf numFmtId="0" fontId="12" fillId="0" borderId="10" xfId="2" applyFont="1" applyBorder="1" applyAlignment="1">
      <alignment horizontal="center" vertical="center" wrapText="1"/>
    </xf>
    <xf numFmtId="0" fontId="13" fillId="2" borderId="11" xfId="2" applyFont="1" applyFill="1" applyBorder="1" applyAlignment="1">
      <alignment horizontal="center" vertical="center" wrapText="1"/>
    </xf>
    <xf numFmtId="0" fontId="13" fillId="2" borderId="12" xfId="2" applyFont="1" applyFill="1" applyBorder="1" applyAlignment="1">
      <alignment horizontal="center" vertical="center" wrapText="1"/>
    </xf>
    <xf numFmtId="0" fontId="13" fillId="2" borderId="13" xfId="2" applyFont="1" applyFill="1" applyBorder="1" applyAlignment="1">
      <alignment horizontal="center" vertical="center" wrapText="1"/>
    </xf>
    <xf numFmtId="165" fontId="6" fillId="0" borderId="14" xfId="2" applyNumberFormat="1" applyFont="1" applyBorder="1" applyAlignment="1">
      <alignment horizontal="center" vertical="center"/>
    </xf>
    <xf numFmtId="165" fontId="6" fillId="0" borderId="5" xfId="3" applyNumberFormat="1" applyFont="1" applyFill="1" applyBorder="1" applyAlignment="1">
      <alignment horizontal="center"/>
    </xf>
    <xf numFmtId="167" fontId="7" fillId="0" borderId="6" xfId="1" applyNumberFormat="1" applyFont="1" applyBorder="1" applyAlignment="1">
      <alignment vertical="center"/>
    </xf>
    <xf numFmtId="167" fontId="6" fillId="0" borderId="6" xfId="1" applyNumberFormat="1" applyFont="1" applyBorder="1" applyAlignment="1">
      <alignment horizontal="center" vertical="center"/>
    </xf>
    <xf numFmtId="167" fontId="7" fillId="0" borderId="15" xfId="1" applyNumberFormat="1" applyFont="1" applyBorder="1" applyAlignment="1">
      <alignment vertical="center"/>
    </xf>
    <xf numFmtId="165" fontId="6" fillId="0" borderId="16" xfId="2" applyNumberFormat="1" applyFont="1" applyBorder="1" applyAlignment="1">
      <alignment horizontal="center" vertical="center"/>
    </xf>
    <xf numFmtId="165" fontId="6" fillId="0" borderId="5" xfId="2" applyNumberFormat="1" applyFont="1" applyBorder="1" applyAlignment="1">
      <alignment horizontal="center" vertical="center"/>
    </xf>
    <xf numFmtId="165" fontId="6" fillId="0" borderId="15" xfId="2" applyNumberFormat="1" applyFont="1" applyBorder="1" applyAlignment="1">
      <alignment horizontal="center" vertical="center"/>
    </xf>
    <xf numFmtId="165" fontId="6" fillId="0" borderId="5" xfId="3" applyNumberFormat="1" applyFont="1" applyBorder="1" applyAlignment="1">
      <alignment horizontal="center"/>
    </xf>
    <xf numFmtId="0" fontId="8" fillId="0" borderId="4" xfId="2" applyFont="1" applyBorder="1" applyAlignment="1">
      <alignment horizontal="center" vertical="center"/>
    </xf>
    <xf numFmtId="165" fontId="8" fillId="3" borderId="5" xfId="2" applyNumberFormat="1" applyFont="1" applyFill="1" applyBorder="1" applyAlignment="1">
      <alignment horizontal="center" vertical="center"/>
    </xf>
    <xf numFmtId="165" fontId="8" fillId="3" borderId="15" xfId="2" applyNumberFormat="1" applyFont="1" applyFill="1" applyBorder="1" applyAlignment="1">
      <alignment horizontal="center" vertical="center"/>
    </xf>
    <xf numFmtId="0" fontId="15" fillId="0" borderId="0" xfId="0" applyFont="1"/>
    <xf numFmtId="165" fontId="8" fillId="3" borderId="5" xfId="3" applyNumberFormat="1" applyFont="1" applyFill="1" applyBorder="1" applyAlignment="1">
      <alignment horizontal="center"/>
    </xf>
    <xf numFmtId="167" fontId="16" fillId="3" borderId="6" xfId="1" applyNumberFormat="1" applyFont="1" applyFill="1" applyBorder="1" applyAlignment="1">
      <alignment vertical="center"/>
    </xf>
    <xf numFmtId="165" fontId="6" fillId="0" borderId="14" xfId="3" applyNumberFormat="1" applyFont="1" applyBorder="1" applyAlignment="1">
      <alignment horizontal="center"/>
    </xf>
    <xf numFmtId="165" fontId="8" fillId="0" borderId="5" xfId="3" applyNumberFormat="1" applyFont="1" applyBorder="1" applyAlignment="1">
      <alignment horizontal="center"/>
    </xf>
    <xf numFmtId="165" fontId="8" fillId="0" borderId="14" xfId="3" applyNumberFormat="1" applyFont="1" applyBorder="1" applyAlignment="1">
      <alignment horizontal="center"/>
    </xf>
    <xf numFmtId="165" fontId="6" fillId="4" borderId="18" xfId="3" applyNumberFormat="1" applyFont="1" applyFill="1" applyBorder="1" applyAlignment="1">
      <alignment horizontal="center"/>
    </xf>
    <xf numFmtId="0" fontId="5" fillId="0" borderId="4" xfId="2" applyFont="1" applyBorder="1" applyAlignment="1">
      <alignment horizontal="center" vertical="center"/>
    </xf>
    <xf numFmtId="165" fontId="5" fillId="5" borderId="16" xfId="3" applyNumberFormat="1" applyFont="1" applyFill="1" applyBorder="1" applyAlignment="1">
      <alignment horizontal="center"/>
    </xf>
    <xf numFmtId="165" fontId="5" fillId="5" borderId="5" xfId="3" applyNumberFormat="1" applyFont="1" applyFill="1" applyBorder="1" applyAlignment="1">
      <alignment horizontal="center"/>
    </xf>
    <xf numFmtId="165" fontId="5" fillId="5" borderId="15" xfId="3" applyNumberFormat="1" applyFont="1" applyFill="1" applyBorder="1" applyAlignment="1">
      <alignment horizontal="center"/>
    </xf>
    <xf numFmtId="0" fontId="6" fillId="6" borderId="4" xfId="2" applyFont="1" applyFill="1" applyBorder="1" applyAlignment="1">
      <alignment horizontal="center" vertical="center"/>
    </xf>
    <xf numFmtId="165" fontId="6" fillId="7" borderId="16" xfId="3" applyNumberFormat="1" applyFont="1" applyFill="1" applyBorder="1" applyAlignment="1">
      <alignment horizontal="center"/>
    </xf>
    <xf numFmtId="165" fontId="6" fillId="7" borderId="5" xfId="3" applyNumberFormat="1" applyFont="1" applyFill="1" applyBorder="1" applyAlignment="1">
      <alignment horizontal="center"/>
    </xf>
    <xf numFmtId="165" fontId="6" fillId="7" borderId="14" xfId="3" applyNumberFormat="1" applyFont="1" applyFill="1" applyBorder="1" applyAlignment="1">
      <alignment horizontal="center"/>
    </xf>
    <xf numFmtId="165" fontId="6" fillId="7" borderId="6" xfId="3" applyNumberFormat="1" applyFont="1" applyFill="1" applyBorder="1" applyAlignment="1">
      <alignment horizontal="center"/>
    </xf>
    <xf numFmtId="165" fontId="6" fillId="5" borderId="5" xfId="3" applyNumberFormat="1" applyFont="1" applyFill="1" applyBorder="1" applyAlignment="1">
      <alignment horizontal="center"/>
    </xf>
    <xf numFmtId="165" fontId="6" fillId="5" borderId="12" xfId="3" applyNumberFormat="1" applyFont="1" applyFill="1" applyBorder="1" applyAlignment="1">
      <alignment horizontal="center"/>
    </xf>
    <xf numFmtId="167" fontId="7" fillId="5" borderId="6" xfId="1" applyNumberFormat="1" applyFont="1" applyFill="1" applyBorder="1" applyAlignment="1">
      <alignment vertical="center"/>
    </xf>
    <xf numFmtId="3" fontId="6" fillId="0" borderId="5" xfId="2" applyNumberFormat="1" applyFont="1" applyBorder="1" applyAlignment="1">
      <alignment horizontal="center" vertical="center"/>
    </xf>
    <xf numFmtId="3" fontId="6" fillId="0" borderId="14" xfId="3" applyNumberFormat="1" applyFont="1" applyBorder="1" applyAlignment="1">
      <alignment horizontal="center"/>
    </xf>
    <xf numFmtId="3" fontId="7" fillId="0" borderId="6" xfId="1" applyNumberFormat="1" applyFont="1" applyBorder="1" applyAlignment="1">
      <alignment vertical="center"/>
    </xf>
    <xf numFmtId="49" fontId="6" fillId="0" borderId="5" xfId="0" applyNumberFormat="1" applyFont="1" applyBorder="1" applyAlignment="1">
      <alignment horizontal="center"/>
    </xf>
    <xf numFmtId="0" fontId="6" fillId="0" borderId="5" xfId="0" applyFont="1" applyBorder="1"/>
    <xf numFmtId="3" fontId="6" fillId="0" borderId="5" xfId="3" applyNumberFormat="1" applyFont="1" applyBorder="1" applyAlignment="1">
      <alignment horizontal="center"/>
    </xf>
    <xf numFmtId="3" fontId="6" fillId="0" borderId="5" xfId="3" applyNumberFormat="1" applyFont="1" applyFill="1" applyBorder="1" applyAlignment="1">
      <alignment horizontal="center"/>
    </xf>
    <xf numFmtId="49" fontId="6" fillId="0" borderId="5" xfId="2" applyNumberFormat="1" applyFont="1" applyBorder="1" applyAlignment="1">
      <alignment horizontal="left"/>
    </xf>
    <xf numFmtId="0" fontId="6" fillId="0" borderId="5" xfId="2" applyFont="1" applyBorder="1" applyAlignment="1">
      <alignment horizontal="left"/>
    </xf>
    <xf numFmtId="0" fontId="6" fillId="0" borderId="5" xfId="2" applyFont="1" applyFill="1" applyBorder="1" applyAlignment="1">
      <alignment horizontal="left"/>
    </xf>
    <xf numFmtId="3" fontId="8" fillId="3" borderId="5" xfId="3" applyNumberFormat="1" applyFont="1" applyFill="1" applyBorder="1" applyAlignment="1">
      <alignment horizontal="center"/>
    </xf>
    <xf numFmtId="3" fontId="8" fillId="3" borderId="15" xfId="3" applyNumberFormat="1" applyFont="1" applyFill="1" applyBorder="1" applyAlignment="1">
      <alignment horizontal="center"/>
    </xf>
    <xf numFmtId="3" fontId="8" fillId="0" borderId="5" xfId="3" applyNumberFormat="1" applyFont="1" applyBorder="1" applyAlignment="1">
      <alignment horizontal="center"/>
    </xf>
    <xf numFmtId="3" fontId="8" fillId="0" borderId="5" xfId="3" applyNumberFormat="1" applyFont="1" applyFill="1" applyBorder="1" applyAlignment="1">
      <alignment horizontal="center"/>
    </xf>
    <xf numFmtId="3" fontId="16" fillId="0" borderId="15" xfId="1" applyNumberFormat="1" applyFont="1" applyBorder="1" applyAlignment="1">
      <alignment vertical="center"/>
    </xf>
    <xf numFmtId="3" fontId="5" fillId="5" borderId="5" xfId="3" applyNumberFormat="1" applyFont="1" applyFill="1" applyBorder="1" applyAlignment="1">
      <alignment horizontal="center"/>
    </xf>
    <xf numFmtId="3" fontId="5" fillId="5" borderId="17" xfId="3" applyNumberFormat="1" applyFont="1" applyFill="1" applyBorder="1" applyAlignment="1">
      <alignment horizontal="center"/>
    </xf>
    <xf numFmtId="3" fontId="5" fillId="5" borderId="15" xfId="3" applyNumberFormat="1" applyFont="1" applyFill="1" applyBorder="1" applyAlignment="1">
      <alignment horizontal="center"/>
    </xf>
    <xf numFmtId="165" fontId="5" fillId="0" borderId="5" xfId="3" applyNumberFormat="1" applyFont="1" applyBorder="1" applyAlignment="1">
      <alignment horizontal="center"/>
    </xf>
    <xf numFmtId="165" fontId="5" fillId="0" borderId="15" xfId="3" applyNumberFormat="1" applyFont="1" applyBorder="1" applyAlignment="1">
      <alignment horizontal="center"/>
    </xf>
    <xf numFmtId="49" fontId="6" fillId="0" borderId="5" xfId="2" applyNumberFormat="1" applyFont="1" applyBorder="1" applyAlignment="1">
      <alignment horizontal="right"/>
    </xf>
    <xf numFmtId="167" fontId="19" fillId="0" borderId="15" xfId="1" applyNumberFormat="1" applyFont="1" applyBorder="1" applyAlignment="1">
      <alignment vertical="center"/>
    </xf>
    <xf numFmtId="165" fontId="5" fillId="0" borderId="17" xfId="3" applyNumberFormat="1" applyFont="1" applyBorder="1" applyAlignment="1">
      <alignment horizontal="center"/>
    </xf>
    <xf numFmtId="165" fontId="5" fillId="0" borderId="14" xfId="3" applyNumberFormat="1" applyFont="1" applyBorder="1" applyAlignment="1">
      <alignment horizontal="center"/>
    </xf>
    <xf numFmtId="165" fontId="5" fillId="0" borderId="5" xfId="3" applyNumberFormat="1" applyFont="1" applyFill="1" applyBorder="1" applyAlignment="1">
      <alignment horizontal="center"/>
    </xf>
    <xf numFmtId="167" fontId="19" fillId="0" borderId="6" xfId="1" applyNumberFormat="1" applyFont="1" applyBorder="1" applyAlignment="1">
      <alignment vertical="center"/>
    </xf>
    <xf numFmtId="165" fontId="10" fillId="0" borderId="5" xfId="3" applyNumberFormat="1" applyFont="1" applyBorder="1" applyAlignment="1">
      <alignment horizontal="center"/>
    </xf>
    <xf numFmtId="165" fontId="10" fillId="0" borderId="14" xfId="3" applyNumberFormat="1" applyFont="1" applyBorder="1" applyAlignment="1">
      <alignment horizontal="center"/>
    </xf>
    <xf numFmtId="165" fontId="10" fillId="0" borderId="5" xfId="3" applyNumberFormat="1" applyFont="1" applyFill="1" applyBorder="1" applyAlignment="1">
      <alignment horizontal="center"/>
    </xf>
    <xf numFmtId="165" fontId="10" fillId="0" borderId="14" xfId="3" applyNumberFormat="1" applyFont="1" applyFill="1" applyBorder="1" applyAlignment="1">
      <alignment horizontal="center"/>
    </xf>
    <xf numFmtId="0" fontId="5" fillId="8" borderId="4" xfId="2" applyFont="1" applyFill="1" applyBorder="1" applyAlignment="1">
      <alignment horizontal="center" vertical="center"/>
    </xf>
    <xf numFmtId="165" fontId="5" fillId="8" borderId="5" xfId="2" applyNumberFormat="1" applyFont="1" applyFill="1" applyBorder="1" applyAlignment="1">
      <alignment horizontal="center"/>
    </xf>
    <xf numFmtId="165" fontId="5" fillId="8" borderId="15" xfId="2" applyNumberFormat="1" applyFont="1" applyFill="1" applyBorder="1" applyAlignment="1">
      <alignment horizontal="center"/>
    </xf>
    <xf numFmtId="0" fontId="5" fillId="8" borderId="7" xfId="2" applyFont="1" applyFill="1" applyBorder="1" applyAlignment="1">
      <alignment horizontal="center" vertical="center"/>
    </xf>
    <xf numFmtId="0" fontId="5" fillId="8" borderId="8" xfId="2" applyFont="1" applyFill="1" applyBorder="1" applyAlignment="1">
      <alignment vertical="center"/>
    </xf>
    <xf numFmtId="165" fontId="5" fillId="8" borderId="8" xfId="2" applyNumberFormat="1" applyFont="1" applyFill="1" applyBorder="1" applyAlignment="1">
      <alignment horizontal="center"/>
    </xf>
    <xf numFmtId="165" fontId="5" fillId="8" borderId="9" xfId="2" applyNumberFormat="1" applyFont="1" applyFill="1" applyBorder="1" applyAlignment="1">
      <alignment horizontal="center"/>
    </xf>
    <xf numFmtId="0" fontId="6" fillId="0" borderId="0" xfId="2" applyFont="1" applyAlignment="1">
      <alignment vertical="center" wrapText="1"/>
    </xf>
    <xf numFmtId="0" fontId="6" fillId="0" borderId="0" xfId="2" applyFont="1" applyAlignment="1">
      <alignment horizontal="center" vertical="center" wrapText="1"/>
    </xf>
    <xf numFmtId="165" fontId="6" fillId="0" borderId="0" xfId="2" applyNumberFormat="1" applyFont="1" applyAlignment="1">
      <alignment horizontal="center" vertical="center" wrapText="1"/>
    </xf>
    <xf numFmtId="0" fontId="0" fillId="0" borderId="0" xfId="0" applyBorder="1"/>
    <xf numFmtId="0" fontId="8" fillId="0" borderId="0" xfId="2" applyFont="1" applyBorder="1" applyAlignment="1">
      <alignment horizontal="right"/>
    </xf>
    <xf numFmtId="0" fontId="0" fillId="0" borderId="1" xfId="0" applyBorder="1"/>
    <xf numFmtId="0" fontId="12" fillId="0" borderId="2" xfId="2" applyFont="1" applyBorder="1" applyAlignment="1">
      <alignment horizontal="center" vertical="center" wrapText="1"/>
    </xf>
    <xf numFmtId="0" fontId="0" fillId="0" borderId="4" xfId="0" applyBorder="1"/>
    <xf numFmtId="0" fontId="12" fillId="0" borderId="5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/>
    </xf>
    <xf numFmtId="0" fontId="0" fillId="6" borderId="4" xfId="0" applyFill="1" applyBorder="1"/>
    <xf numFmtId="165" fontId="6" fillId="6" borderId="5" xfId="3" applyNumberFormat="1" applyFont="1" applyFill="1" applyBorder="1" applyAlignment="1">
      <alignment horizontal="center"/>
    </xf>
    <xf numFmtId="0" fontId="0" fillId="6" borderId="21" xfId="0" applyFill="1" applyBorder="1"/>
    <xf numFmtId="165" fontId="6" fillId="6" borderId="22" xfId="3" applyNumberFormat="1" applyFont="1" applyFill="1" applyBorder="1" applyAlignment="1">
      <alignment horizontal="center"/>
    </xf>
    <xf numFmtId="0" fontId="6" fillId="0" borderId="22" xfId="2" applyFont="1" applyBorder="1" applyAlignment="1">
      <alignment horizontal="center" vertical="center"/>
    </xf>
    <xf numFmtId="0" fontId="0" fillId="6" borderId="24" xfId="0" applyFill="1" applyBorder="1"/>
    <xf numFmtId="0" fontId="6" fillId="6" borderId="20" xfId="2" applyFont="1" applyFill="1" applyBorder="1" applyAlignment="1">
      <alignment horizontal="left"/>
    </xf>
    <xf numFmtId="165" fontId="6" fillId="6" borderId="20" xfId="3" applyNumberFormat="1" applyFont="1" applyFill="1" applyBorder="1" applyAlignment="1">
      <alignment horizontal="center"/>
    </xf>
    <xf numFmtId="0" fontId="21" fillId="0" borderId="5" xfId="2" applyFont="1" applyBorder="1" applyAlignment="1">
      <alignment horizontal="center" vertical="center"/>
    </xf>
    <xf numFmtId="0" fontId="21" fillId="0" borderId="20" xfId="2" applyFont="1" applyBorder="1" applyAlignment="1">
      <alignment horizontal="center" vertical="center"/>
    </xf>
    <xf numFmtId="0" fontId="22" fillId="0" borderId="27" xfId="0" applyFont="1" applyBorder="1"/>
    <xf numFmtId="165" fontId="12" fillId="0" borderId="28" xfId="3" applyNumberFormat="1" applyFont="1" applyFill="1" applyBorder="1" applyAlignment="1">
      <alignment horizontal="center"/>
    </xf>
    <xf numFmtId="0" fontId="12" fillId="0" borderId="28" xfId="2" applyFont="1" applyBorder="1" applyAlignment="1">
      <alignment horizontal="center" vertical="center"/>
    </xf>
    <xf numFmtId="0" fontId="12" fillId="0" borderId="28" xfId="2" applyFont="1" applyBorder="1" applyAlignment="1">
      <alignment horizontal="left" vertical="center"/>
    </xf>
    <xf numFmtId="0" fontId="22" fillId="0" borderId="0" xfId="0" applyFont="1"/>
    <xf numFmtId="0" fontId="12" fillId="0" borderId="24" xfId="0" applyFont="1" applyBorder="1"/>
    <xf numFmtId="165" fontId="12" fillId="0" borderId="20" xfId="3" applyNumberFormat="1" applyFont="1" applyFill="1" applyBorder="1" applyAlignment="1">
      <alignment horizontal="center"/>
    </xf>
    <xf numFmtId="0" fontId="12" fillId="0" borderId="20" xfId="2" applyFont="1" applyBorder="1" applyAlignment="1">
      <alignment horizontal="center" vertical="center"/>
    </xf>
    <xf numFmtId="0" fontId="12" fillId="0" borderId="20" xfId="2" applyFont="1" applyBorder="1" applyAlignment="1">
      <alignment horizontal="left" vertical="center"/>
    </xf>
    <xf numFmtId="0" fontId="0" fillId="0" borderId="10" xfId="0" applyBorder="1"/>
    <xf numFmtId="165" fontId="6" fillId="0" borderId="11" xfId="3" applyNumberFormat="1" applyFont="1" applyFill="1" applyBorder="1" applyAlignment="1">
      <alignment horizontal="center"/>
    </xf>
    <xf numFmtId="0" fontId="6" fillId="0" borderId="11" xfId="2" applyFont="1" applyBorder="1" applyAlignment="1">
      <alignment horizontal="center" vertical="center"/>
    </xf>
    <xf numFmtId="0" fontId="0" fillId="0" borderId="21" xfId="0" applyBorder="1"/>
    <xf numFmtId="165" fontId="6" fillId="0" borderId="22" xfId="3" applyNumberFormat="1" applyFont="1" applyFill="1" applyBorder="1" applyAlignment="1">
      <alignment horizontal="center"/>
    </xf>
    <xf numFmtId="0" fontId="12" fillId="0" borderId="20" xfId="2" applyFont="1" applyBorder="1" applyAlignment="1">
      <alignment horizontal="left" vertical="center" wrapText="1"/>
    </xf>
    <xf numFmtId="0" fontId="8" fillId="6" borderId="5" xfId="2" applyFont="1" applyFill="1" applyBorder="1" applyAlignment="1">
      <alignment horizontal="center" vertical="center"/>
    </xf>
    <xf numFmtId="0" fontId="6" fillId="6" borderId="5" xfId="2" applyFont="1" applyFill="1" applyBorder="1" applyAlignment="1">
      <alignment horizontal="center" vertical="center"/>
    </xf>
    <xf numFmtId="0" fontId="22" fillId="0" borderId="4" xfId="0" applyFont="1" applyBorder="1"/>
    <xf numFmtId="165" fontId="12" fillId="0" borderId="5" xfId="3" applyNumberFormat="1" applyFont="1" applyFill="1" applyBorder="1" applyAlignment="1">
      <alignment horizontal="center"/>
    </xf>
    <xf numFmtId="0" fontId="8" fillId="0" borderId="5" xfId="2" applyFont="1" applyBorder="1" applyAlignment="1">
      <alignment horizontal="center" vertical="center"/>
    </xf>
    <xf numFmtId="165" fontId="6" fillId="6" borderId="6" xfId="3" applyNumberFormat="1" applyFont="1" applyFill="1" applyBorder="1" applyAlignment="1">
      <alignment horizontal="center"/>
    </xf>
    <xf numFmtId="0" fontId="5" fillId="0" borderId="5" xfId="2" applyFont="1" applyBorder="1" applyAlignment="1">
      <alignment horizontal="center" vertical="center"/>
    </xf>
    <xf numFmtId="0" fontId="0" fillId="0" borderId="7" xfId="0" applyBorder="1"/>
    <xf numFmtId="165" fontId="5" fillId="0" borderId="8" xfId="2" applyNumberFormat="1" applyFont="1" applyBorder="1" applyAlignment="1">
      <alignment horizontal="center"/>
    </xf>
    <xf numFmtId="0" fontId="5" fillId="0" borderId="8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165" fontId="6" fillId="0" borderId="0" xfId="3" applyNumberFormat="1" applyFont="1" applyFill="1" applyBorder="1" applyAlignment="1">
      <alignment horizontal="center"/>
    </xf>
    <xf numFmtId="165" fontId="6" fillId="0" borderId="0" xfId="2" applyNumberFormat="1" applyFont="1" applyBorder="1" applyAlignment="1">
      <alignment horizontal="center" vertical="center"/>
    </xf>
    <xf numFmtId="165" fontId="5" fillId="0" borderId="0" xfId="3" applyNumberFormat="1" applyFont="1" applyFill="1" applyBorder="1" applyAlignment="1">
      <alignment horizontal="center"/>
    </xf>
    <xf numFmtId="0" fontId="5" fillId="0" borderId="0" xfId="2" applyFont="1" applyBorder="1" applyAlignment="1">
      <alignment horizontal="center" vertical="center"/>
    </xf>
    <xf numFmtId="165" fontId="5" fillId="0" borderId="0" xfId="2" applyNumberFormat="1" applyFont="1" applyBorder="1" applyAlignment="1">
      <alignment horizontal="center"/>
    </xf>
    <xf numFmtId="0" fontId="6" fillId="0" borderId="5" xfId="2" applyFont="1" applyBorder="1" applyAlignment="1">
      <alignment horizontal="left" vertical="center"/>
    </xf>
    <xf numFmtId="168" fontId="23" fillId="0" borderId="0" xfId="4" applyNumberFormat="1" applyFill="1" applyAlignment="1">
      <alignment vertical="center" wrapText="1"/>
    </xf>
    <xf numFmtId="167" fontId="14" fillId="0" borderId="0" xfId="1" applyNumberFormat="1" applyFont="1"/>
    <xf numFmtId="0" fontId="27" fillId="0" borderId="0" xfId="0" applyFont="1"/>
    <xf numFmtId="168" fontId="28" fillId="0" borderId="5" xfId="4" applyNumberFormat="1" applyFont="1" applyFill="1" applyBorder="1" applyAlignment="1" applyProtection="1">
      <alignment vertical="center" wrapText="1"/>
      <protection locked="0"/>
    </xf>
    <xf numFmtId="167" fontId="0" fillId="0" borderId="0" xfId="0" applyNumberFormat="1"/>
    <xf numFmtId="167" fontId="30" fillId="0" borderId="0" xfId="1" applyNumberFormat="1" applyFont="1"/>
    <xf numFmtId="167" fontId="14" fillId="0" borderId="35" xfId="1" applyNumberFormat="1" applyFont="1" applyBorder="1"/>
    <xf numFmtId="167" fontId="34" fillId="0" borderId="0" xfId="1" applyNumberFormat="1" applyFont="1"/>
    <xf numFmtId="0" fontId="34" fillId="0" borderId="0" xfId="0" applyFont="1"/>
    <xf numFmtId="167" fontId="34" fillId="0" borderId="0" xfId="0" applyNumberFormat="1" applyFont="1"/>
    <xf numFmtId="167" fontId="37" fillId="0" borderId="0" xfId="1" applyNumberFormat="1" applyFont="1"/>
    <xf numFmtId="0" fontId="37" fillId="0" borderId="0" xfId="0" applyFont="1"/>
    <xf numFmtId="167" fontId="37" fillId="0" borderId="0" xfId="0" applyNumberFormat="1" applyFont="1"/>
    <xf numFmtId="168" fontId="23" fillId="0" borderId="0" xfId="4" applyNumberFormat="1" applyFill="1" applyAlignment="1">
      <alignment horizontal="center" vertical="center" wrapText="1"/>
    </xf>
    <xf numFmtId="168" fontId="23" fillId="0" borderId="0" xfId="4" applyNumberFormat="1" applyFont="1" applyFill="1" applyAlignment="1">
      <alignment vertical="center" wrapText="1"/>
    </xf>
    <xf numFmtId="167" fontId="38" fillId="0" borderId="0" xfId="1" applyNumberFormat="1" applyFont="1" applyAlignment="1">
      <alignment horizontal="center"/>
    </xf>
    <xf numFmtId="0" fontId="39" fillId="0" borderId="0" xfId="0" applyFont="1"/>
    <xf numFmtId="167" fontId="38" fillId="0" borderId="0" xfId="1" applyNumberFormat="1" applyFont="1" applyAlignment="1">
      <alignment horizontal="center" vertical="center"/>
    </xf>
    <xf numFmtId="167" fontId="39" fillId="0" borderId="0" xfId="1" applyNumberFormat="1" applyFont="1"/>
    <xf numFmtId="0" fontId="39" fillId="0" borderId="0" xfId="0" applyFont="1" applyAlignment="1">
      <alignment horizontal="left"/>
    </xf>
    <xf numFmtId="169" fontId="39" fillId="0" borderId="0" xfId="0" applyNumberFormat="1" applyFont="1"/>
    <xf numFmtId="0" fontId="21" fillId="0" borderId="0" xfId="0" applyFont="1"/>
    <xf numFmtId="0" fontId="6" fillId="0" borderId="0" xfId="0" applyFont="1" applyBorder="1"/>
    <xf numFmtId="167" fontId="6" fillId="0" borderId="0" xfId="1" applyNumberFormat="1" applyFont="1" applyBorder="1"/>
    <xf numFmtId="167" fontId="21" fillId="0" borderId="0" xfId="1" applyNumberFormat="1" applyFont="1"/>
    <xf numFmtId="0" fontId="6" fillId="0" borderId="0" xfId="0" applyFont="1" applyAlignment="1">
      <alignment horizontal="left" vertical="center" wrapText="1"/>
    </xf>
    <xf numFmtId="0" fontId="6" fillId="0" borderId="27" xfId="0" applyFont="1" applyBorder="1"/>
    <xf numFmtId="167" fontId="6" fillId="0" borderId="28" xfId="1" applyNumberFormat="1" applyFont="1" applyBorder="1" applyAlignment="1">
      <alignment horizontal="center"/>
    </xf>
    <xf numFmtId="167" fontId="6" fillId="0" borderId="29" xfId="1" applyNumberFormat="1" applyFont="1" applyBorder="1" applyAlignment="1">
      <alignment horizontal="center"/>
    </xf>
    <xf numFmtId="0" fontId="6" fillId="0" borderId="10" xfId="0" applyFont="1" applyBorder="1"/>
    <xf numFmtId="167" fontId="6" fillId="0" borderId="11" xfId="1" applyNumberFormat="1" applyFont="1" applyBorder="1"/>
    <xf numFmtId="167" fontId="6" fillId="0" borderId="13" xfId="1" applyNumberFormat="1" applyFont="1" applyBorder="1"/>
    <xf numFmtId="0" fontId="41" fillId="0" borderId="4" xfId="0" applyFont="1" applyBorder="1" applyAlignment="1">
      <alignment horizontal="right"/>
    </xf>
    <xf numFmtId="167" fontId="6" fillId="0" borderId="5" xfId="1" applyNumberFormat="1" applyFont="1" applyBorder="1"/>
    <xf numFmtId="0" fontId="6" fillId="0" borderId="4" xfId="0" applyFont="1" applyBorder="1"/>
    <xf numFmtId="0" fontId="6" fillId="0" borderId="21" xfId="0" applyFont="1" applyBorder="1"/>
    <xf numFmtId="167" fontId="6" fillId="0" borderId="22" xfId="1" applyNumberFormat="1" applyFont="1" applyBorder="1"/>
    <xf numFmtId="167" fontId="6" fillId="0" borderId="26" xfId="1" applyNumberFormat="1" applyFont="1" applyBorder="1"/>
    <xf numFmtId="167" fontId="6" fillId="0" borderId="28" xfId="1" applyNumberFormat="1" applyFont="1" applyBorder="1"/>
    <xf numFmtId="167" fontId="6" fillId="0" borderId="29" xfId="1" applyNumberFormat="1" applyFont="1" applyBorder="1"/>
    <xf numFmtId="0" fontId="6" fillId="0" borderId="0" xfId="0" applyFont="1"/>
    <xf numFmtId="167" fontId="6" fillId="0" borderId="0" xfId="1" applyNumberFormat="1" applyFont="1"/>
    <xf numFmtId="0" fontId="23" fillId="0" borderId="0" xfId="4" applyFill="1" applyAlignment="1">
      <alignment horizontal="center" vertical="center" wrapText="1"/>
    </xf>
    <xf numFmtId="0" fontId="23" fillId="0" borderId="0" xfId="4" applyFill="1" applyAlignment="1">
      <alignment vertical="center" wrapText="1"/>
    </xf>
    <xf numFmtId="168" fontId="42" fillId="0" borderId="0" xfId="4" applyNumberFormat="1" applyFont="1" applyFill="1" applyAlignment="1">
      <alignment horizontal="center" vertical="center" wrapText="1"/>
    </xf>
    <xf numFmtId="168" fontId="42" fillId="0" borderId="0" xfId="4" applyNumberFormat="1" applyFont="1" applyFill="1" applyAlignment="1">
      <alignment vertical="center" wrapText="1"/>
    </xf>
    <xf numFmtId="168" fontId="23" fillId="0" borderId="0" xfId="4" applyNumberFormat="1" applyFont="1" applyFill="1" applyAlignment="1">
      <alignment horizontal="right" vertical="center"/>
    </xf>
    <xf numFmtId="0" fontId="25" fillId="0" borderId="27" xfId="4" applyFont="1" applyFill="1" applyBorder="1" applyAlignment="1">
      <alignment horizontal="center" vertical="center" wrapText="1"/>
    </xf>
    <xf numFmtId="0" fontId="25" fillId="0" borderId="28" xfId="4" applyFont="1" applyFill="1" applyBorder="1" applyAlignment="1">
      <alignment horizontal="center" vertical="center" wrapText="1"/>
    </xf>
    <xf numFmtId="0" fontId="25" fillId="0" borderId="29" xfId="4" applyFont="1" applyFill="1" applyBorder="1" applyAlignment="1">
      <alignment horizontal="center" vertical="center" wrapText="1"/>
    </xf>
    <xf numFmtId="0" fontId="43" fillId="0" borderId="0" xfId="4" applyFont="1" applyFill="1" applyAlignment="1">
      <alignment horizontal="center" vertical="center" wrapText="1"/>
    </xf>
    <xf numFmtId="0" fontId="26" fillId="0" borderId="27" xfId="4" applyFont="1" applyFill="1" applyBorder="1" applyAlignment="1">
      <alignment horizontal="center" vertical="center" wrapText="1"/>
    </xf>
    <xf numFmtId="0" fontId="26" fillId="0" borderId="28" xfId="4" applyFont="1" applyFill="1" applyBorder="1" applyAlignment="1">
      <alignment horizontal="center" vertical="center" wrapText="1"/>
    </xf>
    <xf numFmtId="0" fontId="26" fillId="0" borderId="29" xfId="4" applyFont="1" applyFill="1" applyBorder="1" applyAlignment="1">
      <alignment horizontal="center" vertical="center" wrapText="1"/>
    </xf>
    <xf numFmtId="0" fontId="44" fillId="0" borderId="1" xfId="4" applyFont="1" applyFill="1" applyBorder="1" applyAlignment="1">
      <alignment horizontal="center" vertical="center" wrapText="1"/>
    </xf>
    <xf numFmtId="0" fontId="45" fillId="0" borderId="12" xfId="4" applyFont="1" applyFill="1" applyBorder="1" applyAlignment="1" applyProtection="1">
      <alignment horizontal="left" vertical="center" wrapText="1" indent="1"/>
      <protection locked="0"/>
    </xf>
    <xf numFmtId="168" fontId="44" fillId="0" borderId="12" xfId="4" applyNumberFormat="1" applyFont="1" applyFill="1" applyBorder="1" applyAlignment="1" applyProtection="1">
      <alignment horizontal="right" vertical="center" wrapText="1" indent="1"/>
      <protection locked="0"/>
    </xf>
    <xf numFmtId="168" fontId="44" fillId="0" borderId="13" xfId="4" applyNumberFormat="1" applyFont="1" applyFill="1" applyBorder="1" applyAlignment="1" applyProtection="1">
      <alignment horizontal="right" vertical="center" wrapText="1" indent="1"/>
      <protection locked="0"/>
    </xf>
    <xf numFmtId="0" fontId="44" fillId="0" borderId="4" xfId="4" applyFont="1" applyFill="1" applyBorder="1" applyAlignment="1">
      <alignment horizontal="center" vertical="center" wrapText="1"/>
    </xf>
    <xf numFmtId="0" fontId="45" fillId="0" borderId="14" xfId="4" applyFont="1" applyFill="1" applyBorder="1" applyAlignment="1" applyProtection="1">
      <alignment horizontal="left" vertical="center" wrapText="1" indent="1"/>
      <protection locked="0"/>
    </xf>
    <xf numFmtId="168" fontId="44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8" fontId="44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0" fontId="45" fillId="0" borderId="14" xfId="4" applyFont="1" applyFill="1" applyBorder="1" applyAlignment="1" applyProtection="1">
      <alignment horizontal="left" vertical="center" wrapText="1" indent="8"/>
      <protection locked="0"/>
    </xf>
    <xf numFmtId="0" fontId="44" fillId="0" borderId="11" xfId="4" applyFont="1" applyFill="1" applyBorder="1" applyAlignment="1" applyProtection="1">
      <alignment vertical="center" wrapText="1"/>
      <protection locked="0"/>
    </xf>
    <xf numFmtId="168" fontId="44" fillId="0" borderId="5" xfId="4" applyNumberFormat="1" applyFont="1" applyFill="1" applyBorder="1" applyAlignment="1" applyProtection="1">
      <alignment horizontal="right" vertical="center" wrapText="1" indent="1"/>
      <protection locked="0"/>
    </xf>
    <xf numFmtId="0" fontId="46" fillId="0" borderId="27" xfId="4" applyFont="1" applyFill="1" applyBorder="1" applyAlignment="1">
      <alignment horizontal="center" vertical="center" wrapText="1"/>
    </xf>
    <xf numFmtId="0" fontId="47" fillId="0" borderId="33" xfId="4" applyFont="1" applyFill="1" applyBorder="1" applyAlignment="1">
      <alignment vertical="center" wrapText="1"/>
    </xf>
    <xf numFmtId="168" fontId="46" fillId="0" borderId="33" xfId="4" applyNumberFormat="1" applyFont="1" applyFill="1" applyBorder="1" applyAlignment="1">
      <alignment vertical="center" wrapText="1"/>
    </xf>
    <xf numFmtId="168" fontId="46" fillId="0" borderId="34" xfId="4" applyNumberFormat="1" applyFont="1" applyFill="1" applyBorder="1" applyAlignment="1">
      <alignment vertical="center" wrapText="1"/>
    </xf>
    <xf numFmtId="0" fontId="23" fillId="0" borderId="0" xfId="4" applyFill="1" applyAlignment="1">
      <alignment horizontal="right" vertical="center" wrapText="1"/>
    </xf>
    <xf numFmtId="168" fontId="49" fillId="0" borderId="0" xfId="4" applyNumberFormat="1" applyFont="1" applyFill="1" applyAlignment="1">
      <alignment horizontal="right"/>
    </xf>
    <xf numFmtId="168" fontId="25" fillId="0" borderId="42" xfId="4" applyNumberFormat="1" applyFont="1" applyFill="1" applyBorder="1" applyAlignment="1">
      <alignment horizontal="center" vertical="center"/>
    </xf>
    <xf numFmtId="168" fontId="25" fillId="0" borderId="9" xfId="4" applyNumberFormat="1" applyFont="1" applyFill="1" applyBorder="1" applyAlignment="1">
      <alignment horizontal="center" vertical="center" wrapText="1"/>
    </xf>
    <xf numFmtId="168" fontId="26" fillId="0" borderId="37" xfId="4" applyNumberFormat="1" applyFont="1" applyFill="1" applyBorder="1" applyAlignment="1">
      <alignment horizontal="center" vertical="center" wrapText="1"/>
    </xf>
    <xf numFmtId="168" fontId="26" fillId="0" borderId="35" xfId="4" applyNumberFormat="1" applyFont="1" applyFill="1" applyBorder="1" applyAlignment="1">
      <alignment horizontal="center" vertical="center" wrapText="1"/>
    </xf>
    <xf numFmtId="168" fontId="26" fillId="0" borderId="54" xfId="4" applyNumberFormat="1" applyFont="1" applyFill="1" applyBorder="1" applyAlignment="1">
      <alignment horizontal="center" vertical="center" wrapText="1"/>
    </xf>
    <xf numFmtId="168" fontId="26" fillId="0" borderId="29" xfId="4" applyNumberFormat="1" applyFont="1" applyFill="1" applyBorder="1" applyAlignment="1">
      <alignment horizontal="center" vertical="center" wrapText="1"/>
    </xf>
    <xf numFmtId="168" fontId="26" fillId="0" borderId="55" xfId="4" applyNumberFormat="1" applyFont="1" applyFill="1" applyBorder="1" applyAlignment="1">
      <alignment horizontal="center" vertical="center" wrapText="1"/>
    </xf>
    <xf numFmtId="168" fontId="26" fillId="0" borderId="27" xfId="4" applyNumberFormat="1" applyFont="1" applyFill="1" applyBorder="1" applyAlignment="1">
      <alignment horizontal="center" vertical="center" wrapText="1"/>
    </xf>
    <xf numFmtId="168" fontId="26" fillId="0" borderId="35" xfId="4" applyNumberFormat="1" applyFont="1" applyFill="1" applyBorder="1" applyAlignment="1">
      <alignment horizontal="left" vertical="center" wrapText="1" indent="1"/>
    </xf>
    <xf numFmtId="168" fontId="50" fillId="0" borderId="28" xfId="4" applyNumberFormat="1" applyFont="1" applyFill="1" applyBorder="1" applyAlignment="1" applyProtection="1">
      <alignment horizontal="left" vertical="center" wrapText="1" indent="2"/>
    </xf>
    <xf numFmtId="168" fontId="50" fillId="0" borderId="35" xfId="4" applyNumberFormat="1" applyFont="1" applyFill="1" applyBorder="1" applyAlignment="1" applyProtection="1">
      <alignment vertical="center" wrapText="1"/>
    </xf>
    <xf numFmtId="168" fontId="50" fillId="0" borderId="27" xfId="4" applyNumberFormat="1" applyFont="1" applyFill="1" applyBorder="1" applyAlignment="1" applyProtection="1">
      <alignment vertical="center" wrapText="1"/>
    </xf>
    <xf numFmtId="168" fontId="50" fillId="0" borderId="28" xfId="4" applyNumberFormat="1" applyFont="1" applyFill="1" applyBorder="1" applyAlignment="1" applyProtection="1">
      <alignment vertical="center" wrapText="1"/>
    </xf>
    <xf numFmtId="168" fontId="50" fillId="0" borderId="29" xfId="4" applyNumberFormat="1" applyFont="1" applyFill="1" applyBorder="1" applyAlignment="1" applyProtection="1">
      <alignment vertical="center" wrapText="1"/>
    </xf>
    <xf numFmtId="168" fontId="50" fillId="0" borderId="35" xfId="4" applyNumberFormat="1" applyFont="1" applyFill="1" applyBorder="1" applyAlignment="1">
      <alignment vertical="center" wrapText="1"/>
    </xf>
    <xf numFmtId="168" fontId="26" fillId="0" borderId="4" xfId="4" applyNumberFormat="1" applyFont="1" applyFill="1" applyBorder="1" applyAlignment="1">
      <alignment horizontal="center" vertical="center" wrapText="1"/>
    </xf>
    <xf numFmtId="168" fontId="50" fillId="0" borderId="56" xfId="4" applyNumberFormat="1" applyFont="1" applyFill="1" applyBorder="1" applyAlignment="1" applyProtection="1">
      <alignment horizontal="left" vertical="center" wrapText="1" indent="1"/>
      <protection locked="0"/>
    </xf>
    <xf numFmtId="170" fontId="28" fillId="0" borderId="5" xfId="4" applyNumberFormat="1" applyFont="1" applyFill="1" applyBorder="1" applyAlignment="1" applyProtection="1">
      <alignment horizontal="left" vertical="center" wrapText="1" indent="2"/>
      <protection locked="0"/>
    </xf>
    <xf numFmtId="168" fontId="50" fillId="0" borderId="56" xfId="4" applyNumberFormat="1" applyFont="1" applyFill="1" applyBorder="1" applyAlignment="1" applyProtection="1">
      <alignment vertical="center" wrapText="1"/>
      <protection locked="0"/>
    </xf>
    <xf numFmtId="168" fontId="50" fillId="0" borderId="4" xfId="4" applyNumberFormat="1" applyFont="1" applyFill="1" applyBorder="1" applyAlignment="1" applyProtection="1">
      <alignment vertical="center" wrapText="1"/>
      <protection locked="0"/>
    </xf>
    <xf numFmtId="168" fontId="50" fillId="0" borderId="5" xfId="4" applyNumberFormat="1" applyFont="1" applyFill="1" applyBorder="1" applyAlignment="1" applyProtection="1">
      <alignment vertical="center" wrapText="1"/>
      <protection locked="0"/>
    </xf>
    <xf numFmtId="168" fontId="50" fillId="0" borderId="6" xfId="4" applyNumberFormat="1" applyFont="1" applyFill="1" applyBorder="1" applyAlignment="1" applyProtection="1">
      <alignment vertical="center" wrapText="1"/>
      <protection locked="0"/>
    </xf>
    <xf numFmtId="168" fontId="50" fillId="0" borderId="56" xfId="4" applyNumberFormat="1" applyFont="1" applyFill="1" applyBorder="1" applyAlignment="1">
      <alignment vertical="center" wrapText="1"/>
    </xf>
    <xf numFmtId="168" fontId="26" fillId="0" borderId="35" xfId="4" applyNumberFormat="1" applyFont="1" applyFill="1" applyBorder="1" applyAlignment="1" applyProtection="1">
      <alignment horizontal="left" vertical="center" wrapText="1" indent="1"/>
      <protection locked="0"/>
    </xf>
    <xf numFmtId="168" fontId="28" fillId="0" borderId="28" xfId="4" applyNumberFormat="1" applyFont="1" applyFill="1" applyBorder="1" applyAlignment="1" applyProtection="1">
      <alignment horizontal="left" vertical="center" wrapText="1" indent="2"/>
    </xf>
    <xf numFmtId="14" fontId="28" fillId="0" borderId="5" xfId="4" applyNumberFormat="1" applyFont="1" applyFill="1" applyBorder="1" applyAlignment="1" applyProtection="1">
      <alignment horizontal="left" vertical="center" wrapText="1" indent="2"/>
      <protection locked="0"/>
    </xf>
    <xf numFmtId="168" fontId="51" fillId="0" borderId="27" xfId="4" applyNumberFormat="1" applyFont="1" applyFill="1" applyBorder="1" applyAlignment="1">
      <alignment horizontal="center" vertical="center" wrapText="1"/>
    </xf>
    <xf numFmtId="168" fontId="51" fillId="0" borderId="35" xfId="4" applyNumberFormat="1" applyFont="1" applyFill="1" applyBorder="1" applyAlignment="1" applyProtection="1">
      <alignment horizontal="left" vertical="center" wrapText="1" indent="1"/>
      <protection locked="0"/>
    </xf>
    <xf numFmtId="168" fontId="51" fillId="0" borderId="28" xfId="4" applyNumberFormat="1" applyFont="1" applyFill="1" applyBorder="1" applyAlignment="1" applyProtection="1">
      <alignment horizontal="left" vertical="center" wrapText="1" indent="2"/>
    </xf>
    <xf numFmtId="168" fontId="51" fillId="0" borderId="35" xfId="4" applyNumberFormat="1" applyFont="1" applyFill="1" applyBorder="1" applyAlignment="1" applyProtection="1">
      <alignment vertical="center" wrapText="1"/>
    </xf>
    <xf numFmtId="168" fontId="51" fillId="0" borderId="27" xfId="4" applyNumberFormat="1" applyFont="1" applyFill="1" applyBorder="1" applyAlignment="1" applyProtection="1">
      <alignment vertical="center" wrapText="1"/>
    </xf>
    <xf numFmtId="168" fontId="51" fillId="0" borderId="0" xfId="4" applyNumberFormat="1" applyFont="1" applyFill="1" applyAlignment="1">
      <alignment vertical="center" wrapText="1"/>
    </xf>
    <xf numFmtId="168" fontId="26" fillId="0" borderId="10" xfId="4" applyNumberFormat="1" applyFont="1" applyFill="1" applyBorder="1" applyAlignment="1">
      <alignment horizontal="center" vertical="center" wrapText="1"/>
    </xf>
    <xf numFmtId="167" fontId="21" fillId="0" borderId="11" xfId="1" applyNumberFormat="1" applyFont="1" applyBorder="1" applyAlignment="1">
      <alignment vertical="distributed" wrapText="1"/>
    </xf>
    <xf numFmtId="168" fontId="28" fillId="0" borderId="13" xfId="4" applyNumberFormat="1" applyFont="1" applyFill="1" applyBorder="1" applyAlignment="1" applyProtection="1">
      <alignment vertical="center" wrapText="1"/>
    </xf>
    <xf numFmtId="168" fontId="28" fillId="0" borderId="11" xfId="4" applyNumberFormat="1" applyFont="1" applyFill="1" applyBorder="1" applyAlignment="1" applyProtection="1">
      <alignment vertical="center" wrapText="1"/>
      <protection locked="0"/>
    </xf>
    <xf numFmtId="168" fontId="28" fillId="0" borderId="13" xfId="4" applyNumberFormat="1" applyFont="1" applyFill="1" applyBorder="1" applyAlignment="1" applyProtection="1">
      <alignment vertical="center" wrapText="1"/>
      <protection locked="0"/>
    </xf>
    <xf numFmtId="168" fontId="28" fillId="0" borderId="57" xfId="4" applyNumberFormat="1" applyFont="1" applyFill="1" applyBorder="1" applyAlignment="1">
      <alignment vertical="center" wrapText="1"/>
    </xf>
    <xf numFmtId="167" fontId="6" fillId="0" borderId="47" xfId="1" applyNumberFormat="1" applyFont="1" applyBorder="1" applyAlignment="1">
      <alignment vertical="distributed" wrapText="1"/>
    </xf>
    <xf numFmtId="167" fontId="6" fillId="0" borderId="5" xfId="1" applyNumberFormat="1" applyFont="1" applyBorder="1" applyAlignment="1">
      <alignment vertical="distributed" wrapText="1"/>
    </xf>
    <xf numFmtId="167" fontId="6" fillId="0" borderId="50" xfId="1" applyNumberFormat="1" applyFont="1" applyBorder="1" applyAlignment="1">
      <alignment vertical="distributed" wrapText="1"/>
    </xf>
    <xf numFmtId="168" fontId="50" fillId="0" borderId="58" xfId="4" applyNumberFormat="1" applyFont="1" applyFill="1" applyBorder="1" applyAlignment="1" applyProtection="1">
      <alignment horizontal="left" vertical="center" wrapText="1" indent="1"/>
      <protection locked="0"/>
    </xf>
    <xf numFmtId="170" fontId="28" fillId="0" borderId="22" xfId="4" applyNumberFormat="1" applyFont="1" applyFill="1" applyBorder="1" applyAlignment="1" applyProtection="1">
      <alignment horizontal="left" vertical="center" wrapText="1" indent="2"/>
      <protection locked="0"/>
    </xf>
    <xf numFmtId="168" fontId="50" fillId="0" borderId="58" xfId="4" applyNumberFormat="1" applyFont="1" applyFill="1" applyBorder="1" applyAlignment="1" applyProtection="1">
      <alignment vertical="center" wrapText="1"/>
      <protection locked="0"/>
    </xf>
    <xf numFmtId="168" fontId="50" fillId="0" borderId="21" xfId="4" applyNumberFormat="1" applyFont="1" applyFill="1" applyBorder="1" applyAlignment="1" applyProtection="1">
      <alignment vertical="center" wrapText="1"/>
      <protection locked="0"/>
    </xf>
    <xf numFmtId="168" fontId="50" fillId="0" borderId="22" xfId="4" applyNumberFormat="1" applyFont="1" applyFill="1" applyBorder="1" applyAlignment="1" applyProtection="1">
      <alignment vertical="center" wrapText="1"/>
      <protection locked="0"/>
    </xf>
    <xf numFmtId="168" fontId="50" fillId="0" borderId="23" xfId="4" applyNumberFormat="1" applyFont="1" applyFill="1" applyBorder="1" applyAlignment="1" applyProtection="1">
      <alignment vertical="center" wrapText="1"/>
      <protection locked="0"/>
    </xf>
    <xf numFmtId="168" fontId="50" fillId="0" borderId="58" xfId="4" applyNumberFormat="1" applyFont="1" applyFill="1" applyBorder="1" applyAlignment="1">
      <alignment vertical="center" wrapText="1"/>
    </xf>
    <xf numFmtId="168" fontId="46" fillId="0" borderId="35" xfId="4" applyNumberFormat="1" applyFont="1" applyFill="1" applyBorder="1" applyAlignment="1" applyProtection="1">
      <alignment horizontal="left" vertical="center" wrapText="1" indent="1"/>
      <protection locked="0"/>
    </xf>
    <xf numFmtId="168" fontId="50" fillId="0" borderId="35" xfId="4" applyNumberFormat="1" applyFont="1" applyFill="1" applyBorder="1" applyAlignment="1" applyProtection="1">
      <alignment vertical="center" wrapText="1"/>
      <protection locked="0"/>
    </xf>
    <xf numFmtId="168" fontId="50" fillId="0" borderId="27" xfId="4" applyNumberFormat="1" applyFont="1" applyFill="1" applyBorder="1" applyAlignment="1" applyProtection="1">
      <alignment vertical="center" wrapText="1"/>
      <protection locked="0"/>
    </xf>
    <xf numFmtId="168" fontId="50" fillId="0" borderId="28" xfId="4" applyNumberFormat="1" applyFont="1" applyFill="1" applyBorder="1" applyAlignment="1" applyProtection="1">
      <alignment vertical="center" wrapText="1"/>
      <protection locked="0"/>
    </xf>
    <xf numFmtId="168" fontId="50" fillId="0" borderId="29" xfId="4" applyNumberFormat="1" applyFont="1" applyFill="1" applyBorder="1" applyAlignment="1" applyProtection="1">
      <alignment vertical="center" wrapText="1"/>
      <protection locked="0"/>
    </xf>
    <xf numFmtId="168" fontId="50" fillId="0" borderId="57" xfId="4" applyNumberFormat="1" applyFont="1" applyFill="1" applyBorder="1" applyAlignment="1" applyProtection="1">
      <alignment horizontal="left" vertical="center" wrapText="1" indent="1"/>
      <protection locked="0"/>
    </xf>
    <xf numFmtId="170" fontId="28" fillId="0" borderId="59" xfId="4" applyNumberFormat="1" applyFont="1" applyFill="1" applyBorder="1" applyAlignment="1" applyProtection="1">
      <alignment horizontal="left" vertical="center" wrapText="1" indent="2"/>
      <protection locked="0"/>
    </xf>
    <xf numFmtId="168" fontId="50" fillId="0" borderId="55" xfId="4" applyNumberFormat="1" applyFont="1" applyFill="1" applyBorder="1" applyAlignment="1" applyProtection="1">
      <alignment vertical="center" wrapText="1"/>
      <protection locked="0"/>
    </xf>
    <xf numFmtId="168" fontId="50" fillId="0" borderId="24" xfId="4" applyNumberFormat="1" applyFont="1" applyFill="1" applyBorder="1" applyAlignment="1" applyProtection="1">
      <alignment vertical="center" wrapText="1"/>
      <protection locked="0"/>
    </xf>
    <xf numFmtId="168" fontId="50" fillId="0" borderId="20" xfId="4" applyNumberFormat="1" applyFont="1" applyFill="1" applyBorder="1" applyAlignment="1" applyProtection="1">
      <alignment vertical="center" wrapText="1"/>
      <protection locked="0"/>
    </xf>
    <xf numFmtId="168" fontId="50" fillId="0" borderId="26" xfId="4" applyNumberFormat="1" applyFont="1" applyFill="1" applyBorder="1" applyAlignment="1" applyProtection="1">
      <alignment vertical="center" wrapText="1"/>
      <protection locked="0"/>
    </xf>
    <xf numFmtId="168" fontId="50" fillId="0" borderId="55" xfId="4" applyNumberFormat="1" applyFont="1" applyFill="1" applyBorder="1" applyAlignment="1">
      <alignment vertical="center" wrapText="1"/>
    </xf>
    <xf numFmtId="168" fontId="33" fillId="6" borderId="54" xfId="4" applyNumberFormat="1" applyFont="1" applyFill="1" applyBorder="1" applyAlignment="1" applyProtection="1">
      <alignment horizontal="left" vertical="center" wrapText="1" indent="2"/>
    </xf>
    <xf numFmtId="168" fontId="33" fillId="0" borderId="35" xfId="4" applyNumberFormat="1" applyFont="1" applyFill="1" applyBorder="1" applyAlignment="1" applyProtection="1">
      <alignment vertical="center" wrapText="1"/>
    </xf>
    <xf numFmtId="168" fontId="33" fillId="0" borderId="27" xfId="4" applyNumberFormat="1" applyFont="1" applyFill="1" applyBorder="1" applyAlignment="1" applyProtection="1">
      <alignment vertical="center" wrapText="1"/>
    </xf>
    <xf numFmtId="168" fontId="33" fillId="0" borderId="28" xfId="4" applyNumberFormat="1" applyFont="1" applyFill="1" applyBorder="1" applyAlignment="1" applyProtection="1">
      <alignment vertical="center" wrapText="1"/>
    </xf>
    <xf numFmtId="168" fontId="33" fillId="0" borderId="29" xfId="4" applyNumberFormat="1" applyFont="1" applyFill="1" applyBorder="1" applyAlignment="1" applyProtection="1">
      <alignment vertical="center" wrapText="1"/>
    </xf>
    <xf numFmtId="168" fontId="33" fillId="0" borderId="35" xfId="4" applyNumberFormat="1" applyFont="1" applyFill="1" applyBorder="1" applyAlignment="1">
      <alignment vertical="center" wrapText="1"/>
    </xf>
    <xf numFmtId="168" fontId="33" fillId="0" borderId="0" xfId="4" applyNumberFormat="1" applyFont="1" applyFill="1" applyAlignment="1">
      <alignment vertical="center" wrapText="1"/>
    </xf>
    <xf numFmtId="168" fontId="23" fillId="0" borderId="0" xfId="4" applyNumberFormat="1" applyFont="1" applyFill="1" applyAlignment="1">
      <alignment horizontal="right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5" xfId="0" quotePrefix="1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0" xfId="0" applyFill="1" applyBorder="1" applyAlignment="1">
      <alignment horizontal="left" wrapText="1"/>
    </xf>
    <xf numFmtId="0" fontId="6" fillId="0" borderId="5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17" fontId="21" fillId="0" borderId="0" xfId="0" applyNumberFormat="1" applyFont="1"/>
    <xf numFmtId="0" fontId="7" fillId="0" borderId="6" xfId="2" applyFont="1" applyBorder="1" applyAlignment="1">
      <alignment vertical="center"/>
    </xf>
    <xf numFmtId="0" fontId="12" fillId="0" borderId="1" xfId="2" applyFont="1" applyBorder="1" applyAlignment="1">
      <alignment horizontal="center" vertical="center" wrapText="1"/>
    </xf>
    <xf numFmtId="0" fontId="13" fillId="6" borderId="3" xfId="2" applyFont="1" applyFill="1" applyBorder="1" applyAlignment="1">
      <alignment horizontal="center" vertical="center" wrapText="1"/>
    </xf>
    <xf numFmtId="0" fontId="13" fillId="6" borderId="14" xfId="2" applyFont="1" applyFill="1" applyBorder="1" applyAlignment="1">
      <alignment horizontal="center" vertical="center" wrapText="1"/>
    </xf>
    <xf numFmtId="0" fontId="13" fillId="6" borderId="5" xfId="2" applyFont="1" applyFill="1" applyBorder="1" applyAlignment="1">
      <alignment horizontal="center" vertical="center" wrapText="1"/>
    </xf>
    <xf numFmtId="165" fontId="6" fillId="0" borderId="6" xfId="2" applyNumberFormat="1" applyFont="1" applyBorder="1" applyAlignment="1">
      <alignment horizontal="center" vertical="center"/>
    </xf>
    <xf numFmtId="165" fontId="6" fillId="0" borderId="6" xfId="3" applyNumberFormat="1" applyFont="1" applyBorder="1" applyAlignment="1">
      <alignment horizontal="center"/>
    </xf>
    <xf numFmtId="165" fontId="6" fillId="0" borderId="18" xfId="3" applyNumberFormat="1" applyFont="1" applyFill="1" applyBorder="1" applyAlignment="1">
      <alignment horizontal="center"/>
    </xf>
    <xf numFmtId="167" fontId="7" fillId="0" borderId="17" xfId="1" applyNumberFormat="1" applyFont="1" applyBorder="1" applyAlignment="1">
      <alignment vertical="center"/>
    </xf>
    <xf numFmtId="0" fontId="0" fillId="0" borderId="5" xfId="0" applyBorder="1"/>
    <xf numFmtId="165" fontId="8" fillId="0" borderId="6" xfId="3" applyNumberFormat="1" applyFont="1" applyBorder="1" applyAlignment="1">
      <alignment horizontal="center"/>
    </xf>
    <xf numFmtId="165" fontId="6" fillId="4" borderId="14" xfId="3" applyNumberFormat="1" applyFont="1" applyFill="1" applyBorder="1" applyAlignment="1">
      <alignment horizontal="center"/>
    </xf>
    <xf numFmtId="165" fontId="5" fillId="0" borderId="6" xfId="3" applyNumberFormat="1" applyFont="1" applyBorder="1" applyAlignment="1">
      <alignment horizontal="center"/>
    </xf>
    <xf numFmtId="165" fontId="5" fillId="0" borderId="16" xfId="3" applyNumberFormat="1" applyFont="1" applyBorder="1" applyAlignment="1">
      <alignment horizontal="center"/>
    </xf>
    <xf numFmtId="165" fontId="6" fillId="6" borderId="14" xfId="3" applyNumberFormat="1" applyFont="1" applyFill="1" applyBorder="1" applyAlignment="1">
      <alignment horizontal="center"/>
    </xf>
    <xf numFmtId="165" fontId="8" fillId="0" borderId="15" xfId="3" applyNumberFormat="1" applyFont="1" applyBorder="1" applyAlignment="1">
      <alignment horizontal="center"/>
    </xf>
    <xf numFmtId="165" fontId="8" fillId="0" borderId="5" xfId="3" applyNumberFormat="1" applyFont="1" applyFill="1" applyBorder="1" applyAlignment="1">
      <alignment horizontal="center"/>
    </xf>
    <xf numFmtId="167" fontId="16" fillId="0" borderId="6" xfId="1" applyNumberFormat="1" applyFont="1" applyBorder="1" applyAlignment="1">
      <alignment vertical="center"/>
    </xf>
    <xf numFmtId="165" fontId="10" fillId="0" borderId="6" xfId="3" applyNumberFormat="1" applyFont="1" applyBorder="1" applyAlignment="1">
      <alignment horizontal="center"/>
    </xf>
    <xf numFmtId="165" fontId="5" fillId="0" borderId="6" xfId="2" applyNumberFormat="1" applyFont="1" applyBorder="1" applyAlignment="1">
      <alignment horizont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vertical="center"/>
    </xf>
    <xf numFmtId="165" fontId="5" fillId="0" borderId="9" xfId="2" applyNumberFormat="1" applyFont="1" applyBorder="1" applyAlignment="1">
      <alignment horizontal="center"/>
    </xf>
    <xf numFmtId="3" fontId="0" fillId="0" borderId="0" xfId="0" applyNumberFormat="1"/>
    <xf numFmtId="0" fontId="3" fillId="0" borderId="0" xfId="0" applyFont="1"/>
    <xf numFmtId="3" fontId="3" fillId="0" borderId="35" xfId="0" applyNumberFormat="1" applyFont="1" applyBorder="1" applyAlignment="1">
      <alignment horizontal="center"/>
    </xf>
    <xf numFmtId="3" fontId="3" fillId="0" borderId="35" xfId="0" applyNumberFormat="1" applyFont="1" applyBorder="1"/>
    <xf numFmtId="3" fontId="0" fillId="0" borderId="35" xfId="0" applyNumberFormat="1" applyBorder="1"/>
    <xf numFmtId="3" fontId="54" fillId="0" borderId="35" xfId="0" applyNumberFormat="1" applyFont="1" applyBorder="1"/>
    <xf numFmtId="0" fontId="54" fillId="0" borderId="0" xfId="0" applyFont="1"/>
    <xf numFmtId="3" fontId="53" fillId="0" borderId="35" xfId="0" applyNumberFormat="1" applyFont="1" applyBorder="1"/>
    <xf numFmtId="0" fontId="53" fillId="0" borderId="0" xfId="0" applyFont="1"/>
    <xf numFmtId="0" fontId="8" fillId="0" borderId="0" xfId="5" applyFont="1" applyBorder="1" applyAlignment="1">
      <alignment horizontal="center" vertical="center"/>
    </xf>
    <xf numFmtId="0" fontId="8" fillId="0" borderId="5" xfId="5" applyFont="1" applyBorder="1" applyAlignment="1">
      <alignment horizontal="center" vertical="center"/>
    </xf>
    <xf numFmtId="0" fontId="21" fillId="0" borderId="5" xfId="5" applyFont="1" applyBorder="1" applyAlignment="1">
      <alignment horizontal="center" vertical="center"/>
    </xf>
    <xf numFmtId="0" fontId="21" fillId="0" borderId="5" xfId="5" applyFont="1" applyBorder="1" applyAlignment="1">
      <alignment vertical="center"/>
    </xf>
    <xf numFmtId="3" fontId="21" fillId="0" borderId="5" xfId="5" applyNumberFormat="1" applyFont="1" applyBorder="1" applyAlignment="1">
      <alignment vertical="center"/>
    </xf>
    <xf numFmtId="165" fontId="21" fillId="0" borderId="5" xfId="5" applyNumberFormat="1" applyFont="1" applyBorder="1" applyAlignment="1">
      <alignment vertical="center"/>
    </xf>
    <xf numFmtId="165" fontId="13" fillId="0" borderId="5" xfId="5" applyNumberFormat="1" applyFont="1" applyBorder="1" applyAlignment="1">
      <alignment horizontal="center" vertical="center"/>
    </xf>
    <xf numFmtId="0" fontId="13" fillId="0" borderId="5" xfId="5" applyFont="1" applyBorder="1" applyAlignment="1">
      <alignment vertical="center"/>
    </xf>
    <xf numFmtId="0" fontId="55" fillId="6" borderId="5" xfId="5" applyFont="1" applyFill="1" applyBorder="1" applyAlignment="1">
      <alignment vertical="center"/>
    </xf>
    <xf numFmtId="165" fontId="21" fillId="6" borderId="5" xfId="5" applyNumberFormat="1" applyFont="1" applyFill="1" applyBorder="1" applyAlignment="1">
      <alignment vertical="center"/>
    </xf>
    <xf numFmtId="165" fontId="13" fillId="6" borderId="5" xfId="5" applyNumberFormat="1" applyFont="1" applyFill="1" applyBorder="1" applyAlignment="1">
      <alignment horizontal="center" vertical="center"/>
    </xf>
    <xf numFmtId="0" fontId="21" fillId="0" borderId="5" xfId="5" applyFont="1" applyBorder="1" applyAlignment="1">
      <alignment horizontal="left" vertical="center"/>
    </xf>
    <xf numFmtId="0" fontId="12" fillId="0" borderId="5" xfId="5" applyFont="1" applyBorder="1" applyAlignment="1">
      <alignment vertical="center"/>
    </xf>
    <xf numFmtId="165" fontId="13" fillId="0" borderId="5" xfId="5" applyNumberFormat="1" applyFont="1" applyBorder="1" applyAlignment="1">
      <alignment vertical="center"/>
    </xf>
    <xf numFmtId="165" fontId="6" fillId="0" borderId="14" xfId="3" applyNumberFormat="1" applyFont="1" applyFill="1" applyBorder="1" applyAlignment="1">
      <alignment horizontal="center"/>
    </xf>
    <xf numFmtId="165" fontId="13" fillId="0" borderId="20" xfId="5" applyNumberFormat="1" applyFont="1" applyFill="1" applyBorder="1" applyAlignment="1">
      <alignment vertical="center"/>
    </xf>
    <xf numFmtId="165" fontId="21" fillId="0" borderId="5" xfId="5" applyNumberFormat="1" applyFont="1" applyBorder="1" applyAlignment="1">
      <alignment horizontal="center" vertical="center"/>
    </xf>
    <xf numFmtId="165" fontId="6" fillId="6" borderId="16" xfId="3" applyNumberFormat="1" applyFont="1" applyFill="1" applyBorder="1" applyAlignment="1">
      <alignment horizontal="center"/>
    </xf>
    <xf numFmtId="0" fontId="16" fillId="0" borderId="0" xfId="2" applyFont="1" applyAlignment="1">
      <alignment vertical="center"/>
    </xf>
    <xf numFmtId="3" fontId="5" fillId="0" borderId="5" xfId="3" applyNumberFormat="1" applyFont="1" applyBorder="1" applyAlignment="1">
      <alignment horizontal="center"/>
    </xf>
    <xf numFmtId="0" fontId="19" fillId="0" borderId="0" xfId="2" applyFont="1" applyAlignment="1">
      <alignment vertical="center"/>
    </xf>
    <xf numFmtId="165" fontId="5" fillId="0" borderId="5" xfId="2" applyNumberFormat="1" applyFont="1" applyBorder="1" applyAlignment="1">
      <alignment horizontal="center"/>
    </xf>
    <xf numFmtId="3" fontId="56" fillId="0" borderId="0" xfId="5" applyNumberFormat="1" applyFont="1" applyAlignment="1">
      <alignment vertical="center"/>
    </xf>
    <xf numFmtId="0" fontId="56" fillId="0" borderId="0" xfId="5" applyFont="1" applyAlignment="1">
      <alignment vertical="center"/>
    </xf>
    <xf numFmtId="3" fontId="56" fillId="0" borderId="0" xfId="1" applyNumberFormat="1" applyFont="1" applyAlignment="1">
      <alignment vertical="center"/>
    </xf>
    <xf numFmtId="0" fontId="21" fillId="0" borderId="16" xfId="2" applyFont="1" applyBorder="1" applyAlignment="1">
      <alignment horizontal="left"/>
    </xf>
    <xf numFmtId="3" fontId="13" fillId="0" borderId="5" xfId="5" applyNumberFormat="1" applyFont="1" applyBorder="1" applyAlignment="1">
      <alignment horizontal="center" vertical="center"/>
    </xf>
    <xf numFmtId="165" fontId="56" fillId="0" borderId="0" xfId="5" applyNumberFormat="1" applyFont="1" applyAlignment="1">
      <alignment vertical="center"/>
    </xf>
    <xf numFmtId="0" fontId="12" fillId="0" borderId="0" xfId="5" applyFont="1" applyBorder="1" applyAlignment="1">
      <alignment vertical="center"/>
    </xf>
    <xf numFmtId="165" fontId="13" fillId="0" borderId="0" xfId="5" applyNumberFormat="1" applyFont="1" applyBorder="1" applyAlignment="1">
      <alignment vertical="center"/>
    </xf>
    <xf numFmtId="165" fontId="13" fillId="0" borderId="0" xfId="5" applyNumberFormat="1" applyFont="1" applyBorder="1" applyAlignment="1">
      <alignment horizontal="center" vertical="center"/>
    </xf>
    <xf numFmtId="0" fontId="6" fillId="0" borderId="0" xfId="5" applyFont="1" applyAlignment="1">
      <alignment vertical="center"/>
    </xf>
    <xf numFmtId="165" fontId="6" fillId="0" borderId="0" xfId="5" applyNumberFormat="1" applyFont="1" applyAlignment="1">
      <alignment vertical="center"/>
    </xf>
    <xf numFmtId="0" fontId="6" fillId="0" borderId="0" xfId="5" applyFont="1" applyAlignment="1">
      <alignment horizontal="right" vertical="center"/>
    </xf>
    <xf numFmtId="3" fontId="6" fillId="0" borderId="0" xfId="5" applyNumberFormat="1" applyFont="1" applyAlignment="1">
      <alignment vertical="center"/>
    </xf>
    <xf numFmtId="0" fontId="7" fillId="0" borderId="51" xfId="0" applyFont="1" applyBorder="1" applyAlignment="1">
      <alignment horizontal="center" vertical="center" wrapText="1"/>
    </xf>
    <xf numFmtId="0" fontId="13" fillId="6" borderId="15" xfId="2" applyFont="1" applyFill="1" applyBorder="1" applyAlignment="1">
      <alignment horizontal="center" vertical="center" wrapText="1"/>
    </xf>
    <xf numFmtId="0" fontId="22" fillId="0" borderId="54" xfId="0" applyFont="1" applyBorder="1"/>
    <xf numFmtId="0" fontId="22" fillId="0" borderId="59" xfId="0" applyFont="1" applyBorder="1"/>
    <xf numFmtId="0" fontId="12" fillId="0" borderId="59" xfId="2" applyFont="1" applyBorder="1" applyAlignment="1">
      <alignment horizontal="left" vertical="center" wrapText="1"/>
    </xf>
    <xf numFmtId="0" fontId="13" fillId="0" borderId="56" xfId="2" applyFont="1" applyBorder="1" applyAlignment="1">
      <alignment horizontal="center" vertical="center" wrapText="1"/>
    </xf>
    <xf numFmtId="0" fontId="13" fillId="6" borderId="56" xfId="2" applyFont="1" applyFill="1" applyBorder="1" applyAlignment="1">
      <alignment horizontal="center" vertical="center" wrapText="1"/>
    </xf>
    <xf numFmtId="165" fontId="6" fillId="0" borderId="56" xfId="2" applyNumberFormat="1" applyFont="1" applyBorder="1" applyAlignment="1">
      <alignment horizontal="center" vertical="center"/>
    </xf>
    <xf numFmtId="165" fontId="6" fillId="0" borderId="56" xfId="3" applyNumberFormat="1" applyFont="1" applyFill="1" applyBorder="1" applyAlignment="1">
      <alignment horizontal="center"/>
    </xf>
    <xf numFmtId="165" fontId="6" fillId="0" borderId="58" xfId="3" applyNumberFormat="1" applyFont="1" applyFill="1" applyBorder="1" applyAlignment="1">
      <alignment horizontal="center"/>
    </xf>
    <xf numFmtId="165" fontId="6" fillId="0" borderId="55" xfId="3" applyNumberFormat="1" applyFont="1" applyFill="1" applyBorder="1" applyAlignment="1">
      <alignment horizontal="center"/>
    </xf>
    <xf numFmtId="165" fontId="12" fillId="0" borderId="35" xfId="3" applyNumberFormat="1" applyFont="1" applyFill="1" applyBorder="1" applyAlignment="1">
      <alignment horizontal="center"/>
    </xf>
    <xf numFmtId="165" fontId="12" fillId="0" borderId="55" xfId="3" applyNumberFormat="1" applyFont="1" applyFill="1" applyBorder="1" applyAlignment="1">
      <alignment horizontal="center"/>
    </xf>
    <xf numFmtId="165" fontId="6" fillId="0" borderId="57" xfId="3" applyNumberFormat="1" applyFont="1" applyFill="1" applyBorder="1" applyAlignment="1">
      <alignment horizontal="center"/>
    </xf>
    <xf numFmtId="165" fontId="12" fillId="0" borderId="35" xfId="3" applyNumberFormat="1" applyFont="1" applyBorder="1" applyAlignment="1">
      <alignment horizontal="center"/>
    </xf>
    <xf numFmtId="165" fontId="12" fillId="0" borderId="55" xfId="3" applyNumberFormat="1" applyFont="1" applyBorder="1" applyAlignment="1">
      <alignment horizontal="center"/>
    </xf>
    <xf numFmtId="165" fontId="8" fillId="6" borderId="56" xfId="3" applyNumberFormat="1" applyFont="1" applyFill="1" applyBorder="1" applyAlignment="1">
      <alignment horizontal="center"/>
    </xf>
    <xf numFmtId="165" fontId="8" fillId="0" borderId="56" xfId="3" applyNumberFormat="1" applyFont="1" applyFill="1" applyBorder="1" applyAlignment="1">
      <alignment horizontal="center"/>
    </xf>
    <xf numFmtId="165" fontId="6" fillId="6" borderId="56" xfId="3" applyNumberFormat="1" applyFont="1" applyFill="1" applyBorder="1" applyAlignment="1">
      <alignment horizontal="center"/>
    </xf>
    <xf numFmtId="165" fontId="5" fillId="0" borderId="56" xfId="3" applyNumberFormat="1" applyFont="1" applyFill="1" applyBorder="1" applyAlignment="1">
      <alignment horizontal="center"/>
    </xf>
    <xf numFmtId="165" fontId="5" fillId="0" borderId="63" xfId="3" applyNumberFormat="1" applyFont="1" applyFill="1" applyBorder="1" applyAlignment="1">
      <alignment horizontal="center"/>
    </xf>
    <xf numFmtId="168" fontId="28" fillId="0" borderId="20" xfId="4" applyNumberFormat="1" applyFont="1" applyFill="1" applyBorder="1" applyAlignment="1" applyProtection="1">
      <alignment vertical="center" wrapText="1"/>
      <protection locked="0"/>
    </xf>
    <xf numFmtId="168" fontId="28" fillId="0" borderId="16" xfId="4" applyNumberFormat="1" applyFont="1" applyFill="1" applyBorder="1" applyAlignment="1" applyProtection="1">
      <alignment vertical="center" wrapText="1"/>
    </xf>
    <xf numFmtId="168" fontId="28" fillId="0" borderId="6" xfId="4" applyNumberFormat="1" applyFont="1" applyFill="1" applyBorder="1" applyAlignment="1" applyProtection="1">
      <alignment vertical="center" wrapText="1"/>
      <protection locked="0"/>
    </xf>
    <xf numFmtId="168" fontId="28" fillId="0" borderId="56" xfId="4" applyNumberFormat="1" applyFont="1" applyFill="1" applyBorder="1" applyAlignment="1">
      <alignment vertical="center" wrapText="1"/>
    </xf>
    <xf numFmtId="0" fontId="60" fillId="0" borderId="0" xfId="0" applyFont="1"/>
    <xf numFmtId="0" fontId="0" fillId="0" borderId="40" xfId="0" applyBorder="1"/>
    <xf numFmtId="0" fontId="0" fillId="11" borderId="0" xfId="0" applyFill="1"/>
    <xf numFmtId="167" fontId="61" fillId="0" borderId="0" xfId="1" applyNumberFormat="1" applyFont="1"/>
    <xf numFmtId="0" fontId="61" fillId="0" borderId="0" xfId="0" applyFont="1"/>
    <xf numFmtId="167" fontId="15" fillId="0" borderId="0" xfId="0" applyNumberFormat="1" applyFont="1"/>
    <xf numFmtId="167" fontId="15" fillId="0" borderId="0" xfId="1" applyNumberFormat="1" applyFont="1"/>
    <xf numFmtId="167" fontId="21" fillId="0" borderId="16" xfId="1" applyNumberFormat="1" applyFont="1" applyBorder="1" applyAlignment="1">
      <alignment horizontal="left" vertical="justify" wrapText="1"/>
    </xf>
    <xf numFmtId="167" fontId="30" fillId="12" borderId="0" xfId="1" applyNumberFormat="1" applyFont="1" applyFill="1"/>
    <xf numFmtId="167" fontId="63" fillId="0" borderId="0" xfId="1" applyNumberFormat="1" applyFont="1"/>
    <xf numFmtId="167" fontId="15" fillId="10" borderId="5" xfId="1" applyNumberFormat="1" applyFont="1" applyFill="1" applyBorder="1"/>
    <xf numFmtId="167" fontId="15" fillId="10" borderId="0" xfId="1" applyNumberFormat="1" applyFont="1" applyFill="1"/>
    <xf numFmtId="0" fontId="65" fillId="10" borderId="5" xfId="0" applyFont="1" applyFill="1" applyBorder="1"/>
    <xf numFmtId="167" fontId="30" fillId="10" borderId="5" xfId="1" applyNumberFormat="1" applyFont="1" applyFill="1" applyBorder="1"/>
    <xf numFmtId="167" fontId="15" fillId="0" borderId="40" xfId="1" applyNumberFormat="1" applyFont="1" applyBorder="1"/>
    <xf numFmtId="167" fontId="61" fillId="10" borderId="5" xfId="1" applyNumberFormat="1" applyFont="1" applyFill="1" applyBorder="1"/>
    <xf numFmtId="0" fontId="0" fillId="10" borderId="0" xfId="0" applyFill="1"/>
    <xf numFmtId="167" fontId="30" fillId="10" borderId="35" xfId="1" applyNumberFormat="1" applyFont="1" applyFill="1" applyBorder="1"/>
    <xf numFmtId="0" fontId="66" fillId="0" borderId="0" xfId="0" applyFont="1"/>
    <xf numFmtId="0" fontId="67" fillId="0" borderId="0" xfId="0" applyFont="1"/>
    <xf numFmtId="0" fontId="3" fillId="0" borderId="35" xfId="0" applyFont="1" applyBorder="1" applyAlignment="1">
      <alignment horizontal="center"/>
    </xf>
    <xf numFmtId="0" fontId="3" fillId="0" borderId="37" xfId="0" applyFont="1" applyBorder="1"/>
    <xf numFmtId="0" fontId="3" fillId="0" borderId="35" xfId="0" applyFont="1" applyBorder="1"/>
    <xf numFmtId="3" fontId="53" fillId="0" borderId="37" xfId="0" applyNumberFormat="1" applyFont="1" applyBorder="1"/>
    <xf numFmtId="3" fontId="3" fillId="0" borderId="37" xfId="0" applyNumberFormat="1" applyFont="1" applyBorder="1"/>
    <xf numFmtId="3" fontId="68" fillId="0" borderId="35" xfId="0" applyNumberFormat="1" applyFont="1" applyBorder="1"/>
    <xf numFmtId="0" fontId="68" fillId="0" borderId="0" xfId="0" applyFont="1"/>
    <xf numFmtId="167" fontId="69" fillId="10" borderId="59" xfId="1" applyNumberFormat="1" applyFont="1" applyFill="1" applyBorder="1" applyAlignment="1">
      <alignment horizontal="right"/>
    </xf>
    <xf numFmtId="0" fontId="0" fillId="0" borderId="38" xfId="0" applyBorder="1"/>
    <xf numFmtId="3" fontId="0" fillId="0" borderId="35" xfId="0" applyNumberFormat="1" applyBorder="1" applyAlignment="1">
      <alignment horizontal="center"/>
    </xf>
    <xf numFmtId="3" fontId="0" fillId="0" borderId="38" xfId="0" applyNumberFormat="1" applyBorder="1"/>
    <xf numFmtId="3" fontId="70" fillId="0" borderId="0" xfId="0" applyNumberFormat="1" applyFont="1"/>
    <xf numFmtId="3" fontId="70" fillId="10" borderId="0" xfId="0" applyNumberFormat="1" applyFont="1" applyFill="1"/>
    <xf numFmtId="167" fontId="30" fillId="0" borderId="35" xfId="1" applyNumberFormat="1" applyFont="1" applyBorder="1"/>
    <xf numFmtId="167" fontId="1" fillId="0" borderId="0" xfId="1" applyNumberFormat="1" applyFont="1"/>
    <xf numFmtId="0" fontId="1" fillId="0" borderId="0" xfId="0" applyFont="1"/>
    <xf numFmtId="167" fontId="1" fillId="0" borderId="0" xfId="0" applyNumberFormat="1" applyFont="1"/>
    <xf numFmtId="167" fontId="30" fillId="0" borderId="37" xfId="1" applyNumberFormat="1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centerContinuous"/>
    </xf>
    <xf numFmtId="0" fontId="4" fillId="0" borderId="5" xfId="0" applyFont="1" applyBorder="1"/>
    <xf numFmtId="169" fontId="4" fillId="0" borderId="0" xfId="0" applyNumberFormat="1" applyFont="1"/>
    <xf numFmtId="0" fontId="6" fillId="0" borderId="5" xfId="2" applyFont="1" applyBorder="1" applyAlignment="1">
      <alignment horizontal="left"/>
    </xf>
    <xf numFmtId="0" fontId="6" fillId="0" borderId="5" xfId="2" applyFont="1" applyBorder="1" applyAlignment="1">
      <alignment horizontal="left" vertical="center"/>
    </xf>
    <xf numFmtId="0" fontId="12" fillId="0" borderId="1" xfId="2" applyFont="1" applyBorder="1" applyAlignment="1">
      <alignment horizontal="center" vertical="center" wrapText="1"/>
    </xf>
    <xf numFmtId="0" fontId="8" fillId="0" borderId="0" xfId="5" applyFont="1" applyBorder="1" applyAlignment="1">
      <alignment horizontal="center" vertical="center"/>
    </xf>
    <xf numFmtId="0" fontId="4" fillId="0" borderId="0" xfId="5" applyFont="1" applyAlignment="1">
      <alignment vertical="center"/>
    </xf>
    <xf numFmtId="3" fontId="2" fillId="0" borderId="35" xfId="0" applyNumberFormat="1" applyFont="1" applyBorder="1"/>
    <xf numFmtId="0" fontId="68" fillId="0" borderId="35" xfId="0" applyFont="1" applyBorder="1"/>
    <xf numFmtId="3" fontId="0" fillId="0" borderId="40" xfId="0" applyNumberFormat="1" applyBorder="1"/>
    <xf numFmtId="3" fontId="73" fillId="0" borderId="35" xfId="0" applyNumberFormat="1" applyFont="1" applyBorder="1"/>
    <xf numFmtId="3" fontId="72" fillId="0" borderId="35" xfId="0" applyNumberFormat="1" applyFont="1" applyBorder="1"/>
    <xf numFmtId="0" fontId="54" fillId="0" borderId="2" xfId="0" applyFont="1" applyBorder="1"/>
    <xf numFmtId="0" fontId="54" fillId="0" borderId="61" xfId="0" applyFont="1" applyBorder="1"/>
    <xf numFmtId="0" fontId="72" fillId="0" borderId="19" xfId="0" quotePrefix="1" applyFont="1" applyBorder="1" applyAlignment="1">
      <alignment wrapText="1"/>
    </xf>
    <xf numFmtId="0" fontId="72" fillId="0" borderId="2" xfId="0" applyFont="1" applyBorder="1"/>
    <xf numFmtId="0" fontId="72" fillId="0" borderId="11" xfId="0" quotePrefix="1" applyFont="1" applyBorder="1" applyAlignment="1">
      <alignment wrapText="1"/>
    </xf>
    <xf numFmtId="0" fontId="72" fillId="0" borderId="16" xfId="0" applyFont="1" applyBorder="1" applyAlignment="1">
      <alignment horizontal="center" wrapText="1"/>
    </xf>
    <xf numFmtId="167" fontId="0" fillId="0" borderId="4" xfId="0" applyNumberFormat="1" applyBorder="1"/>
    <xf numFmtId="167" fontId="4" fillId="0" borderId="16" xfId="1" applyNumberFormat="1" applyFont="1" applyBorder="1"/>
    <xf numFmtId="3" fontId="4" fillId="0" borderId="35" xfId="0" applyNumberFormat="1" applyFont="1" applyBorder="1" applyAlignment="1">
      <alignment wrapText="1"/>
    </xf>
    <xf numFmtId="167" fontId="4" fillId="0" borderId="14" xfId="1" applyNumberFormat="1" applyFont="1" applyBorder="1"/>
    <xf numFmtId="167" fontId="4" fillId="0" borderId="5" xfId="1" applyNumberFormat="1" applyFont="1" applyBorder="1"/>
    <xf numFmtId="167" fontId="4" fillId="0" borderId="13" xfId="1" applyNumberFormat="1" applyFont="1" applyBorder="1"/>
    <xf numFmtId="167" fontId="4" fillId="0" borderId="11" xfId="1" applyNumberFormat="1" applyFont="1" applyBorder="1"/>
    <xf numFmtId="167" fontId="4" fillId="0" borderId="6" xfId="1" applyNumberFormat="1" applyFont="1" applyBorder="1"/>
    <xf numFmtId="167" fontId="54" fillId="0" borderId="4" xfId="0" applyNumberFormat="1" applyFont="1" applyBorder="1"/>
    <xf numFmtId="167" fontId="16" fillId="0" borderId="4" xfId="1" applyNumberFormat="1" applyFont="1" applyBorder="1"/>
    <xf numFmtId="167" fontId="16" fillId="0" borderId="56" xfId="1" applyNumberFormat="1" applyFont="1" applyBorder="1"/>
    <xf numFmtId="167" fontId="4" fillId="0" borderId="22" xfId="1" applyNumberFormat="1" applyFont="1" applyBorder="1"/>
    <xf numFmtId="167" fontId="4" fillId="0" borderId="48" xfId="1" applyNumberFormat="1" applyFont="1" applyBorder="1"/>
    <xf numFmtId="167" fontId="4" fillId="0" borderId="23" xfId="1" applyNumberFormat="1" applyFont="1" applyBorder="1"/>
    <xf numFmtId="167" fontId="16" fillId="0" borderId="69" xfId="0" applyNumberFormat="1" applyFont="1" applyBorder="1"/>
    <xf numFmtId="167" fontId="16" fillId="0" borderId="28" xfId="0" applyNumberFormat="1" applyFont="1" applyBorder="1"/>
    <xf numFmtId="167" fontId="16" fillId="0" borderId="29" xfId="0" applyNumberFormat="1" applyFont="1" applyBorder="1"/>
    <xf numFmtId="167" fontId="16" fillId="0" borderId="7" xfId="0" applyNumberFormat="1" applyFont="1" applyBorder="1"/>
    <xf numFmtId="167" fontId="16" fillId="0" borderId="63" xfId="0" applyNumberFormat="1" applyFont="1" applyBorder="1"/>
    <xf numFmtId="0" fontId="16" fillId="0" borderId="0" xfId="0" applyFont="1"/>
    <xf numFmtId="167" fontId="4" fillId="0" borderId="0" xfId="0" applyNumberFormat="1" applyFont="1"/>
    <xf numFmtId="0" fontId="73" fillId="10" borderId="37" xfId="0" applyFont="1" applyFill="1" applyBorder="1" applyAlignment="1">
      <alignment horizontal="center"/>
    </xf>
    <xf numFmtId="171" fontId="19" fillId="0" borderId="44" xfId="1" applyNumberFormat="1" applyFont="1" applyBorder="1"/>
    <xf numFmtId="0" fontId="73" fillId="0" borderId="0" xfId="0" applyFont="1"/>
    <xf numFmtId="3" fontId="77" fillId="0" borderId="0" xfId="0" applyNumberFormat="1" applyFont="1"/>
    <xf numFmtId="167" fontId="74" fillId="0" borderId="35" xfId="1" applyNumberFormat="1" applyFont="1" applyBorder="1"/>
    <xf numFmtId="167" fontId="78" fillId="10" borderId="5" xfId="1" applyNumberFormat="1" applyFont="1" applyFill="1" applyBorder="1" applyAlignment="1">
      <alignment horizontal="center"/>
    </xf>
    <xf numFmtId="165" fontId="10" fillId="0" borderId="22" xfId="3" applyNumberFormat="1" applyFont="1" applyBorder="1" applyAlignment="1">
      <alignment horizontal="center"/>
    </xf>
    <xf numFmtId="165" fontId="5" fillId="0" borderId="11" xfId="3" applyNumberFormat="1" applyFont="1" applyBorder="1" applyAlignment="1">
      <alignment horizontal="center"/>
    </xf>
    <xf numFmtId="167" fontId="21" fillId="0" borderId="5" xfId="1" applyNumberFormat="1" applyFont="1" applyBorder="1" applyAlignment="1">
      <alignment vertical="distributed" wrapText="1"/>
    </xf>
    <xf numFmtId="3" fontId="0" fillId="0" borderId="0" xfId="0" applyNumberFormat="1" applyAlignment="1">
      <alignment horizontal="center"/>
    </xf>
    <xf numFmtId="3" fontId="72" fillId="0" borderId="35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70" fillId="0" borderId="0" xfId="0" applyFont="1"/>
    <xf numFmtId="3" fontId="78" fillId="0" borderId="35" xfId="0" applyNumberFormat="1" applyFont="1" applyBorder="1"/>
    <xf numFmtId="0" fontId="69" fillId="0" borderId="0" xfId="0" applyFont="1"/>
    <xf numFmtId="3" fontId="81" fillId="0" borderId="35" xfId="0" applyNumberFormat="1" applyFont="1" applyBorder="1"/>
    <xf numFmtId="3" fontId="83" fillId="0" borderId="35" xfId="0" applyNumberFormat="1" applyFont="1" applyBorder="1" applyAlignment="1">
      <alignment horizontal="center"/>
    </xf>
    <xf numFmtId="3" fontId="83" fillId="0" borderId="35" xfId="0" applyNumberFormat="1" applyFont="1" applyBorder="1"/>
    <xf numFmtId="3" fontId="69" fillId="0" borderId="35" xfId="0" applyNumberFormat="1" applyFont="1" applyBorder="1"/>
    <xf numFmtId="0" fontId="83" fillId="0" borderId="0" xfId="0" applyFont="1"/>
    <xf numFmtId="3" fontId="4" fillId="0" borderId="35" xfId="0" applyNumberFormat="1" applyFont="1" applyBorder="1"/>
    <xf numFmtId="0" fontId="78" fillId="0" borderId="0" xfId="0" applyFont="1"/>
    <xf numFmtId="3" fontId="86" fillId="0" borderId="0" xfId="0" applyNumberFormat="1" applyFont="1"/>
    <xf numFmtId="3" fontId="83" fillId="0" borderId="0" xfId="0" applyNumberFormat="1" applyFont="1"/>
    <xf numFmtId="3" fontId="69" fillId="0" borderId="0" xfId="0" applyNumberFormat="1" applyFont="1"/>
    <xf numFmtId="0" fontId="82" fillId="0" borderId="0" xfId="0" applyFont="1"/>
    <xf numFmtId="167" fontId="2" fillId="0" borderId="35" xfId="1" applyNumberFormat="1" applyBorder="1" applyAlignment="1">
      <alignment horizontal="right"/>
    </xf>
    <xf numFmtId="167" fontId="54" fillId="0" borderId="35" xfId="0" applyNumberFormat="1" applyFont="1" applyBorder="1" applyAlignment="1">
      <alignment horizontal="center"/>
    </xf>
    <xf numFmtId="0" fontId="56" fillId="0" borderId="0" xfId="0" applyFont="1"/>
    <xf numFmtId="0" fontId="59" fillId="0" borderId="0" xfId="0" applyFont="1"/>
    <xf numFmtId="0" fontId="72" fillId="0" borderId="0" xfId="0" applyFont="1"/>
    <xf numFmtId="165" fontId="4" fillId="0" borderId="0" xfId="0" applyNumberFormat="1" applyFont="1"/>
    <xf numFmtId="0" fontId="4" fillId="0" borderId="64" xfId="0" applyFont="1" applyBorder="1" applyAlignment="1">
      <alignment horizontal="center" vertical="center" wrapText="1"/>
    </xf>
    <xf numFmtId="0" fontId="75" fillId="0" borderId="0" xfId="0" applyFont="1"/>
    <xf numFmtId="0" fontId="0" fillId="10" borderId="0" xfId="0" applyFill="1" applyAlignment="1">
      <alignment horizontal="center"/>
    </xf>
    <xf numFmtId="3" fontId="0" fillId="10" borderId="0" xfId="0" applyNumberFormat="1" applyFill="1"/>
    <xf numFmtId="3" fontId="54" fillId="0" borderId="0" xfId="0" applyNumberFormat="1" applyFont="1"/>
    <xf numFmtId="167" fontId="21" fillId="0" borderId="0" xfId="1" applyNumberFormat="1" applyFont="1" applyAlignment="1">
      <alignment vertical="distributed" wrapText="1"/>
    </xf>
    <xf numFmtId="167" fontId="61" fillId="10" borderId="0" xfId="1" applyNumberFormat="1" applyFont="1" applyFill="1"/>
    <xf numFmtId="167" fontId="64" fillId="0" borderId="0" xfId="1" applyNumberFormat="1" applyFont="1"/>
    <xf numFmtId="167" fontId="54" fillId="0" borderId="0" xfId="1" applyNumberFormat="1" applyFont="1"/>
    <xf numFmtId="168" fontId="51" fillId="0" borderId="24" xfId="4" applyNumberFormat="1" applyFont="1" applyFill="1" applyBorder="1" applyAlignment="1">
      <alignment horizontal="center" vertical="center" wrapText="1"/>
    </xf>
    <xf numFmtId="168" fontId="51" fillId="0" borderId="75" xfId="4" applyNumberFormat="1" applyFont="1" applyFill="1" applyBorder="1" applyAlignment="1" applyProtection="1">
      <alignment vertical="center" wrapText="1"/>
    </xf>
    <xf numFmtId="168" fontId="51" fillId="0" borderId="0" xfId="4" applyNumberFormat="1" applyFont="1" applyFill="1" applyBorder="1" applyAlignment="1" applyProtection="1">
      <alignment vertical="center" wrapText="1"/>
    </xf>
    <xf numFmtId="167" fontId="69" fillId="0" borderId="0" xfId="1" applyNumberFormat="1" applyFont="1"/>
    <xf numFmtId="167" fontId="69" fillId="0" borderId="0" xfId="0" applyNumberFormat="1" applyFont="1"/>
    <xf numFmtId="167" fontId="30" fillId="0" borderId="38" xfId="1" applyNumberFormat="1" applyFont="1" applyBorder="1"/>
    <xf numFmtId="3" fontId="4" fillId="0" borderId="44" xfId="0" applyNumberFormat="1" applyFont="1" applyBorder="1"/>
    <xf numFmtId="0" fontId="87" fillId="0" borderId="0" xfId="0" applyFont="1" applyAlignment="1">
      <alignment horizontal="left"/>
    </xf>
    <xf numFmtId="0" fontId="87" fillId="0" borderId="0" xfId="0" applyFont="1"/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center" vertical="top"/>
    </xf>
    <xf numFmtId="0" fontId="69" fillId="0" borderId="4" xfId="0" applyFont="1" applyBorder="1"/>
    <xf numFmtId="0" fontId="69" fillId="0" borderId="0" xfId="0" applyFont="1" applyAlignment="1">
      <alignment wrapText="1"/>
    </xf>
    <xf numFmtId="49" fontId="4" fillId="0" borderId="4" xfId="0" applyNumberFormat="1" applyFont="1" applyBorder="1" applyAlignment="1">
      <alignment horizontal="center"/>
    </xf>
    <xf numFmtId="49" fontId="69" fillId="0" borderId="0" xfId="0" applyNumberFormat="1" applyFont="1" applyAlignment="1">
      <alignment horizontal="center"/>
    </xf>
    <xf numFmtId="3" fontId="69" fillId="0" borderId="0" xfId="0" applyNumberFormat="1" applyFont="1" applyAlignment="1">
      <alignment horizontal="center"/>
    </xf>
    <xf numFmtId="49" fontId="4" fillId="0" borderId="4" xfId="1" applyNumberFormat="1" applyFont="1" applyBorder="1" applyAlignment="1">
      <alignment horizontal="center"/>
    </xf>
    <xf numFmtId="0" fontId="6" fillId="0" borderId="5" xfId="2" applyFont="1" applyBorder="1" applyAlignment="1">
      <alignment horizontal="left"/>
    </xf>
    <xf numFmtId="0" fontId="6" fillId="0" borderId="5" xfId="2" applyFont="1" applyBorder="1" applyAlignment="1">
      <alignment horizontal="left" vertical="center"/>
    </xf>
    <xf numFmtId="0" fontId="6" fillId="0" borderId="5" xfId="2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8" fillId="0" borderId="0" xfId="2" applyFont="1" applyBorder="1" applyAlignment="1">
      <alignment horizontal="right"/>
    </xf>
    <xf numFmtId="0" fontId="12" fillId="0" borderId="1" xfId="2" applyFont="1" applyBorder="1" applyAlignment="1">
      <alignment horizontal="center" vertical="center" wrapText="1"/>
    </xf>
    <xf numFmtId="0" fontId="5" fillId="0" borderId="0" xfId="2" applyFont="1" applyBorder="1" applyAlignment="1">
      <alignment horizontal="left"/>
    </xf>
    <xf numFmtId="0" fontId="6" fillId="0" borderId="0" xfId="2" applyFont="1" applyBorder="1" applyAlignment="1">
      <alignment horizontal="left"/>
    </xf>
    <xf numFmtId="0" fontId="6" fillId="6" borderId="5" xfId="2" applyFont="1" applyFill="1" applyBorder="1" applyAlignment="1">
      <alignment horizontal="center"/>
    </xf>
    <xf numFmtId="0" fontId="6" fillId="6" borderId="16" xfId="2" applyFont="1" applyFill="1" applyBorder="1" applyAlignment="1">
      <alignment horizontal="center"/>
    </xf>
    <xf numFmtId="0" fontId="12" fillId="0" borderId="2" xfId="2" applyFont="1" applyBorder="1" applyAlignment="1">
      <alignment horizontal="center" vertical="center" wrapText="1"/>
    </xf>
    <xf numFmtId="0" fontId="12" fillId="0" borderId="5" xfId="2" applyFont="1" applyBorder="1" applyAlignment="1">
      <alignment horizontal="center" vertical="center" wrapText="1"/>
    </xf>
    <xf numFmtId="0" fontId="13" fillId="0" borderId="56" xfId="2" applyFont="1" applyBorder="1" applyAlignment="1">
      <alignment horizontal="center" vertical="center" wrapText="1"/>
    </xf>
    <xf numFmtId="0" fontId="39" fillId="0" borderId="22" xfId="0" applyFont="1" applyBorder="1" applyAlignment="1">
      <alignment horizontal="center"/>
    </xf>
    <xf numFmtId="0" fontId="39" fillId="0" borderId="5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38" fillId="0" borderId="0" xfId="0" applyFont="1" applyAlignment="1">
      <alignment horizontal="center" vertical="center"/>
    </xf>
    <xf numFmtId="165" fontId="4" fillId="0" borderId="5" xfId="0" applyNumberFormat="1" applyFont="1" applyBorder="1" applyAlignment="1">
      <alignment horizontal="center"/>
    </xf>
    <xf numFmtId="0" fontId="39" fillId="0" borderId="11" xfId="0" applyFont="1" applyBorder="1" applyAlignment="1">
      <alignment horizontal="center"/>
    </xf>
    <xf numFmtId="0" fontId="39" fillId="0" borderId="1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3" fillId="0" borderId="22" xfId="2" applyFont="1" applyBorder="1" applyAlignment="1">
      <alignment horizontal="center" vertical="center" wrapText="1"/>
    </xf>
    <xf numFmtId="0" fontId="0" fillId="0" borderId="37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44" xfId="0" applyBorder="1" applyAlignment="1">
      <alignment horizontal="center"/>
    </xf>
    <xf numFmtId="0" fontId="73" fillId="0" borderId="36" xfId="0" applyFont="1" applyBorder="1" applyAlignment="1">
      <alignment horizontal="center"/>
    </xf>
    <xf numFmtId="0" fontId="54" fillId="0" borderId="36" xfId="0" applyFont="1" applyBorder="1" applyAlignment="1">
      <alignment horizontal="center"/>
    </xf>
    <xf numFmtId="0" fontId="54" fillId="0" borderId="36" xfId="0" applyFont="1" applyBorder="1" applyAlignment="1">
      <alignment horizontal="center" vertical="distributed" wrapText="1"/>
    </xf>
    <xf numFmtId="0" fontId="54" fillId="0" borderId="44" xfId="0" applyFont="1" applyBorder="1" applyAlignment="1">
      <alignment horizontal="center"/>
    </xf>
    <xf numFmtId="0" fontId="0" fillId="0" borderId="41" xfId="0" applyBorder="1" applyAlignment="1">
      <alignment horizontal="center"/>
    </xf>
    <xf numFmtId="0" fontId="68" fillId="0" borderId="36" xfId="0" applyFont="1" applyBorder="1" applyAlignment="1">
      <alignment horizontal="center"/>
    </xf>
    <xf numFmtId="0" fontId="68" fillId="0" borderId="4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75" fillId="0" borderId="15" xfId="0" applyFont="1" applyBorder="1" applyAlignment="1">
      <alignment horizontal="left" vertical="center" wrapText="1"/>
    </xf>
    <xf numFmtId="168" fontId="23" fillId="0" borderId="0" xfId="4" applyNumberFormat="1" applyAlignment="1">
      <alignment vertical="center" wrapText="1"/>
    </xf>
    <xf numFmtId="167" fontId="2" fillId="0" borderId="0" xfId="1" applyNumberFormat="1"/>
    <xf numFmtId="168" fontId="4" fillId="0" borderId="0" xfId="4" applyNumberFormat="1" applyFont="1" applyAlignment="1">
      <alignment horizontal="right" wrapText="1"/>
    </xf>
    <xf numFmtId="168" fontId="24" fillId="0" borderId="0" xfId="4" applyNumberFormat="1" applyFont="1" applyAlignment="1">
      <alignment horizontal="center" vertical="center" wrapText="1"/>
    </xf>
    <xf numFmtId="168" fontId="24" fillId="0" borderId="0" xfId="4" applyNumberFormat="1" applyFont="1" applyAlignment="1">
      <alignment vertical="center" wrapText="1"/>
    </xf>
    <xf numFmtId="168" fontId="25" fillId="0" borderId="27" xfId="4" applyNumberFormat="1" applyFont="1" applyBorder="1" applyAlignment="1">
      <alignment horizontal="center" vertical="center" wrapText="1"/>
    </xf>
    <xf numFmtId="168" fontId="25" fillId="0" borderId="28" xfId="4" applyNumberFormat="1" applyFont="1" applyBorder="1" applyAlignment="1">
      <alignment horizontal="center" vertical="center" wrapText="1"/>
    </xf>
    <xf numFmtId="168" fontId="26" fillId="0" borderId="32" xfId="4" applyNumberFormat="1" applyFont="1" applyBorder="1" applyAlignment="1">
      <alignment horizontal="center" vertical="center" wrapText="1"/>
    </xf>
    <xf numFmtId="168" fontId="26" fillId="0" borderId="33" xfId="4" applyNumberFormat="1" applyFont="1" applyBorder="1" applyAlignment="1">
      <alignment horizontal="center" vertical="center" wrapText="1"/>
    </xf>
    <xf numFmtId="168" fontId="24" fillId="0" borderId="4" xfId="4" applyNumberFormat="1" applyFont="1" applyBorder="1" applyAlignment="1" applyProtection="1">
      <alignment horizontal="left" vertical="center" wrapText="1" indent="1"/>
      <protection locked="0"/>
    </xf>
    <xf numFmtId="168" fontId="24" fillId="0" borderId="5" xfId="4" applyNumberFormat="1" applyFont="1" applyBorder="1" applyAlignment="1" applyProtection="1">
      <alignment vertical="center" wrapText="1"/>
      <protection locked="0"/>
    </xf>
    <xf numFmtId="168" fontId="28" fillId="0" borderId="5" xfId="4" applyNumberFormat="1" applyFont="1" applyBorder="1" applyAlignment="1" applyProtection="1">
      <alignment vertical="center" wrapText="1"/>
      <protection locked="0"/>
    </xf>
    <xf numFmtId="1" fontId="28" fillId="0" borderId="5" xfId="4" applyNumberFormat="1" applyFont="1" applyBorder="1" applyAlignment="1" applyProtection="1">
      <alignment vertical="center" wrapText="1"/>
      <protection locked="0"/>
    </xf>
    <xf numFmtId="0" fontId="0" fillId="0" borderId="55" xfId="0" applyBorder="1"/>
    <xf numFmtId="168" fontId="28" fillId="0" borderId="22" xfId="4" applyNumberFormat="1" applyFont="1" applyBorder="1" applyAlignment="1" applyProtection="1">
      <alignment vertical="center" wrapText="1"/>
      <protection locked="0"/>
    </xf>
    <xf numFmtId="1" fontId="28" fillId="0" borderId="22" xfId="4" applyNumberFormat="1" applyFont="1" applyBorder="1" applyAlignment="1" applyProtection="1">
      <alignment vertical="center" wrapText="1"/>
      <protection locked="0"/>
    </xf>
    <xf numFmtId="168" fontId="88" fillId="0" borderId="37" xfId="4" applyNumberFormat="1" applyFont="1" applyBorder="1" applyAlignment="1" applyProtection="1">
      <alignment horizontal="left" vertical="center" wrapText="1" indent="1"/>
      <protection locked="0"/>
    </xf>
    <xf numFmtId="167" fontId="27" fillId="0" borderId="35" xfId="1" applyNumberFormat="1" applyFont="1" applyBorder="1"/>
    <xf numFmtId="168" fontId="24" fillId="0" borderId="35" xfId="4" applyNumberFormat="1" applyFont="1" applyBorder="1" applyAlignment="1" applyProtection="1">
      <alignment horizontal="left" vertical="center" wrapText="1" indent="1"/>
      <protection locked="0"/>
    </xf>
    <xf numFmtId="168" fontId="24" fillId="0" borderId="27" xfId="4" applyNumberFormat="1" applyFont="1" applyBorder="1" applyAlignment="1" applyProtection="1">
      <alignment vertical="center" wrapText="1"/>
      <protection locked="0"/>
    </xf>
    <xf numFmtId="0" fontId="0" fillId="0" borderId="42" xfId="0" applyBorder="1"/>
    <xf numFmtId="0" fontId="0" fillId="0" borderId="33" xfId="0" applyBorder="1"/>
    <xf numFmtId="0" fontId="0" fillId="0" borderId="43" xfId="0" applyBorder="1"/>
    <xf numFmtId="0" fontId="0" fillId="0" borderId="37" xfId="0" applyBorder="1"/>
    <xf numFmtId="0" fontId="0" fillId="0" borderId="28" xfId="0" applyBorder="1"/>
    <xf numFmtId="0" fontId="0" fillId="0" borderId="35" xfId="0" applyBorder="1"/>
    <xf numFmtId="0" fontId="0" fillId="0" borderId="44" xfId="0" applyBorder="1"/>
    <xf numFmtId="168" fontId="24" fillId="0" borderId="37" xfId="4" applyNumberFormat="1" applyFont="1" applyBorder="1" applyAlignment="1" applyProtection="1">
      <alignment horizontal="left" vertical="center" wrapText="1" indent="1"/>
      <protection locked="0"/>
    </xf>
    <xf numFmtId="167" fontId="19" fillId="0" borderId="35" xfId="1" applyNumberFormat="1" applyFont="1" applyBorder="1" applyAlignment="1" applyProtection="1">
      <alignment vertical="center" wrapText="1"/>
      <protection locked="0"/>
    </xf>
    <xf numFmtId="168" fontId="24" fillId="0" borderId="0" xfId="4" applyNumberFormat="1" applyFont="1" applyAlignment="1" applyProtection="1">
      <alignment horizontal="left" vertical="center" wrapText="1" indent="1"/>
      <protection locked="0"/>
    </xf>
    <xf numFmtId="167" fontId="19" fillId="0" borderId="0" xfId="1" applyNumberFormat="1" applyFont="1" applyAlignment="1" applyProtection="1">
      <alignment vertical="center" wrapText="1"/>
      <protection locked="0"/>
    </xf>
    <xf numFmtId="168" fontId="29" fillId="0" borderId="0" xfId="4" applyNumberFormat="1" applyFont="1" applyAlignment="1">
      <alignment vertical="center" wrapText="1"/>
    </xf>
    <xf numFmtId="168" fontId="25" fillId="0" borderId="19" xfId="4" applyNumberFormat="1" applyFont="1" applyBorder="1" applyAlignment="1">
      <alignment horizontal="center" vertical="center" wrapText="1"/>
    </xf>
    <xf numFmtId="168" fontId="25" fillId="0" borderId="54" xfId="4" applyNumberFormat="1" applyFont="1" applyBorder="1" applyAlignment="1">
      <alignment horizontal="center" vertical="center" wrapText="1"/>
    </xf>
    <xf numFmtId="168" fontId="25" fillId="0" borderId="35" xfId="4" applyNumberFormat="1" applyFont="1" applyBorder="1" applyAlignment="1">
      <alignment horizontal="center" vertical="center" wrapText="1"/>
    </xf>
    <xf numFmtId="0" fontId="4" fillId="0" borderId="8" xfId="0" applyFont="1" applyBorder="1"/>
    <xf numFmtId="0" fontId="4" fillId="0" borderId="36" xfId="0" applyFont="1" applyBorder="1"/>
    <xf numFmtId="3" fontId="4" fillId="0" borderId="36" xfId="0" applyNumberFormat="1" applyFont="1" applyBorder="1"/>
    <xf numFmtId="0" fontId="4" fillId="0" borderId="28" xfId="0" applyFont="1" applyBorder="1"/>
    <xf numFmtId="0" fontId="4" fillId="0" borderId="2" xfId="0" applyFont="1" applyBorder="1"/>
    <xf numFmtId="168" fontId="33" fillId="0" borderId="37" xfId="4" applyNumberFormat="1" applyFont="1" applyBorder="1" applyAlignment="1" applyProtection="1">
      <alignment horizontal="left" vertical="center" wrapText="1" indent="1"/>
      <protection locked="0"/>
    </xf>
    <xf numFmtId="167" fontId="8" fillId="0" borderId="0" xfId="1" applyNumberFormat="1" applyFont="1" applyAlignment="1">
      <alignment horizontal="left"/>
    </xf>
    <xf numFmtId="167" fontId="8" fillId="0" borderId="0" xfId="1" applyNumberFormat="1" applyFont="1"/>
    <xf numFmtId="168" fontId="26" fillId="0" borderId="38" xfId="4" applyNumberFormat="1" applyFont="1" applyBorder="1" applyAlignment="1">
      <alignment horizontal="center" vertical="center" wrapText="1"/>
    </xf>
    <xf numFmtId="0" fontId="0" fillId="0" borderId="36" xfId="0" applyBorder="1"/>
    <xf numFmtId="168" fontId="48" fillId="0" borderId="37" xfId="4" applyNumberFormat="1" applyFont="1" applyBorder="1" applyAlignment="1" applyProtection="1">
      <alignment horizontal="left" vertical="center" wrapText="1" indent="1"/>
      <protection locked="0"/>
    </xf>
    <xf numFmtId="167" fontId="27" fillId="0" borderId="36" xfId="1" applyNumberFormat="1" applyFont="1" applyBorder="1"/>
    <xf numFmtId="168" fontId="35" fillId="0" borderId="42" xfId="4" applyNumberFormat="1" applyFont="1" applyBorder="1" applyAlignment="1">
      <alignment horizontal="left" vertical="center" wrapText="1"/>
    </xf>
    <xf numFmtId="168" fontId="23" fillId="0" borderId="0" xfId="4" applyNumberFormat="1" applyAlignment="1">
      <alignment horizontal="center" vertical="center" wrapText="1"/>
    </xf>
    <xf numFmtId="168" fontId="31" fillId="0" borderId="0" xfId="4" applyNumberFormat="1" applyFont="1" applyAlignment="1" applyProtection="1">
      <alignment horizontal="left" vertical="center" wrapText="1" indent="1"/>
      <protection locked="0"/>
    </xf>
    <xf numFmtId="0" fontId="23" fillId="0" borderId="0" xfId="4" applyAlignment="1">
      <alignment horizontal="center" vertical="center" wrapText="1"/>
    </xf>
    <xf numFmtId="168" fontId="32" fillId="0" borderId="0" xfId="4" applyNumberFormat="1" applyFont="1" applyAlignment="1" applyProtection="1">
      <alignment horizontal="left" vertical="center" wrapText="1" indent="1"/>
      <protection locked="0"/>
    </xf>
    <xf numFmtId="0" fontId="23" fillId="0" borderId="0" xfId="4" applyAlignment="1">
      <alignment vertical="center" wrapText="1"/>
    </xf>
    <xf numFmtId="0" fontId="6" fillId="0" borderId="0" xfId="2" applyFont="1" applyAlignment="1">
      <alignment horizontal="left"/>
    </xf>
    <xf numFmtId="0" fontId="39" fillId="0" borderId="45" xfId="0" applyFont="1" applyBorder="1"/>
    <xf numFmtId="0" fontId="53" fillId="0" borderId="0" xfId="0" applyFont="1" applyAlignment="1">
      <alignment horizontal="center"/>
    </xf>
    <xf numFmtId="0" fontId="89" fillId="0" borderId="0" xfId="0" applyFont="1"/>
    <xf numFmtId="0" fontId="90" fillId="0" borderId="0" xfId="0" applyFont="1"/>
    <xf numFmtId="0" fontId="2" fillId="0" borderId="0" xfId="0" applyFont="1"/>
    <xf numFmtId="0" fontId="91" fillId="0" borderId="0" xfId="0" applyFont="1"/>
    <xf numFmtId="0" fontId="92" fillId="0" borderId="0" xfId="0" applyFont="1"/>
    <xf numFmtId="3" fontId="3" fillId="0" borderId="0" xfId="0" applyNumberFormat="1" applyFont="1"/>
    <xf numFmtId="3" fontId="53" fillId="0" borderId="0" xfId="0" applyNumberFormat="1" applyFont="1"/>
    <xf numFmtId="3" fontId="93" fillId="0" borderId="0" xfId="0" applyNumberFormat="1" applyFont="1"/>
    <xf numFmtId="0" fontId="94" fillId="0" borderId="0" xfId="0" applyFont="1"/>
    <xf numFmtId="3" fontId="95" fillId="0" borderId="38" xfId="0" applyNumberFormat="1" applyFont="1" applyBorder="1" applyAlignment="1">
      <alignment horizontal="center"/>
    </xf>
    <xf numFmtId="3" fontId="95" fillId="0" borderId="38" xfId="0" applyNumberFormat="1" applyFont="1" applyBorder="1"/>
    <xf numFmtId="3" fontId="94" fillId="0" borderId="35" xfId="0" applyNumberFormat="1" applyFont="1" applyBorder="1"/>
    <xf numFmtId="3" fontId="95" fillId="0" borderId="35" xfId="0" applyNumberFormat="1" applyFont="1" applyBorder="1"/>
    <xf numFmtId="3" fontId="94" fillId="0" borderId="35" xfId="6" applyNumberFormat="1" applyFont="1" applyBorder="1"/>
    <xf numFmtId="44" fontId="0" fillId="0" borderId="0" xfId="6" applyFont="1"/>
    <xf numFmtId="3" fontId="82" fillId="0" borderId="0" xfId="0" applyNumberFormat="1" applyFont="1"/>
    <xf numFmtId="3" fontId="27" fillId="0" borderId="0" xfId="0" applyNumberFormat="1" applyFont="1"/>
    <xf numFmtId="0" fontId="72" fillId="0" borderId="0" xfId="0" applyFont="1" applyAlignment="1">
      <alignment horizontal="center" vertical="center" wrapText="1"/>
    </xf>
    <xf numFmtId="3" fontId="83" fillId="0" borderId="37" xfId="0" applyNumberFormat="1" applyFont="1" applyBorder="1" applyAlignment="1">
      <alignment horizontal="center"/>
    </xf>
    <xf numFmtId="0" fontId="97" fillId="0" borderId="2" xfId="0" applyFont="1" applyBorder="1"/>
    <xf numFmtId="0" fontId="97" fillId="0" borderId="61" xfId="0" applyFont="1" applyBorder="1"/>
    <xf numFmtId="0" fontId="98" fillId="0" borderId="19" xfId="0" quotePrefix="1" applyFont="1" applyBorder="1" applyAlignment="1">
      <alignment wrapText="1"/>
    </xf>
    <xf numFmtId="0" fontId="98" fillId="0" borderId="2" xfId="0" applyFont="1" applyBorder="1"/>
    <xf numFmtId="0" fontId="98" fillId="0" borderId="11" xfId="0" quotePrefix="1" applyFont="1" applyBorder="1" applyAlignment="1">
      <alignment wrapText="1"/>
    </xf>
    <xf numFmtId="0" fontId="98" fillId="0" borderId="16" xfId="0" applyFont="1" applyBorder="1" applyAlignment="1">
      <alignment horizontal="center" wrapText="1"/>
    </xf>
    <xf numFmtId="167" fontId="60" fillId="0" borderId="4" xfId="0" applyNumberFormat="1" applyFont="1" applyBorder="1"/>
    <xf numFmtId="167" fontId="100" fillId="0" borderId="16" xfId="1" applyNumberFormat="1" applyFont="1" applyBorder="1"/>
    <xf numFmtId="3" fontId="100" fillId="0" borderId="35" xfId="0" applyNumberFormat="1" applyFont="1" applyBorder="1" applyAlignment="1">
      <alignment wrapText="1"/>
    </xf>
    <xf numFmtId="167" fontId="100" fillId="0" borderId="13" xfId="1" applyNumberFormat="1" applyFont="1" applyBorder="1"/>
    <xf numFmtId="167" fontId="100" fillId="0" borderId="5" xfId="1" applyNumberFormat="1" applyFont="1" applyBorder="1"/>
    <xf numFmtId="167" fontId="100" fillId="0" borderId="11" xfId="1" applyNumberFormat="1" applyFont="1" applyBorder="1"/>
    <xf numFmtId="167" fontId="100" fillId="0" borderId="14" xfId="1" applyNumberFormat="1" applyFont="1" applyBorder="1"/>
    <xf numFmtId="167" fontId="100" fillId="0" borderId="6" xfId="1" applyNumberFormat="1" applyFont="1" applyBorder="1"/>
    <xf numFmtId="0" fontId="99" fillId="0" borderId="15" xfId="0" applyFont="1" applyBorder="1" applyAlignment="1">
      <alignment horizontal="left" vertical="center" wrapText="1"/>
    </xf>
    <xf numFmtId="167" fontId="97" fillId="0" borderId="4" xfId="0" applyNumberFormat="1" applyFont="1" applyBorder="1"/>
    <xf numFmtId="167" fontId="98" fillId="0" borderId="4" xfId="1" applyNumberFormat="1" applyFont="1" applyBorder="1"/>
    <xf numFmtId="167" fontId="98" fillId="0" borderId="56" xfId="1" applyNumberFormat="1" applyFont="1" applyBorder="1"/>
    <xf numFmtId="167" fontId="100" fillId="0" borderId="22" xfId="1" applyNumberFormat="1" applyFont="1" applyBorder="1"/>
    <xf numFmtId="167" fontId="100" fillId="0" borderId="48" xfId="1" applyNumberFormat="1" applyFont="1" applyBorder="1"/>
    <xf numFmtId="167" fontId="100" fillId="0" borderId="23" xfId="1" applyNumberFormat="1" applyFont="1" applyBorder="1"/>
    <xf numFmtId="167" fontId="98" fillId="0" borderId="69" xfId="0" applyNumberFormat="1" applyFont="1" applyBorder="1"/>
    <xf numFmtId="167" fontId="98" fillId="0" borderId="28" xfId="0" applyNumberFormat="1" applyFont="1" applyBorder="1"/>
    <xf numFmtId="167" fontId="98" fillId="0" borderId="29" xfId="0" applyNumberFormat="1" applyFont="1" applyBorder="1"/>
    <xf numFmtId="167" fontId="98" fillId="0" borderId="7" xfId="0" applyNumberFormat="1" applyFont="1" applyBorder="1"/>
    <xf numFmtId="167" fontId="98" fillId="0" borderId="63" xfId="0" applyNumberFormat="1" applyFont="1" applyBorder="1"/>
    <xf numFmtId="167" fontId="30" fillId="10" borderId="0" xfId="1" applyNumberFormat="1" applyFont="1" applyFill="1"/>
    <xf numFmtId="3" fontId="53" fillId="10" borderId="35" xfId="0" applyNumberFormat="1" applyFont="1" applyFill="1" applyBorder="1"/>
    <xf numFmtId="167" fontId="2" fillId="10" borderId="0" xfId="1" applyNumberFormat="1" applyFill="1"/>
    <xf numFmtId="164" fontId="2" fillId="0" borderId="0" xfId="1"/>
    <xf numFmtId="0" fontId="15" fillId="10" borderId="5" xfId="0" applyFont="1" applyFill="1" applyBorder="1"/>
    <xf numFmtId="167" fontId="22" fillId="10" borderId="5" xfId="1" applyNumberFormat="1" applyFont="1" applyFill="1" applyBorder="1"/>
    <xf numFmtId="0" fontId="15" fillId="10" borderId="0" xfId="0" applyFont="1" applyFill="1"/>
    <xf numFmtId="3" fontId="15" fillId="10" borderId="0" xfId="0" applyNumberFormat="1" applyFont="1" applyFill="1"/>
    <xf numFmtId="167" fontId="2" fillId="0" borderId="0" xfId="1" applyNumberFormat="1" applyAlignment="1">
      <alignment horizontal="center"/>
    </xf>
    <xf numFmtId="167" fontId="2" fillId="10" borderId="5" xfId="1" applyNumberFormat="1" applyFill="1" applyBorder="1"/>
    <xf numFmtId="167" fontId="3" fillId="0" borderId="0" xfId="1" applyNumberFormat="1" applyFont="1"/>
    <xf numFmtId="0" fontId="62" fillId="10" borderId="0" xfId="0" applyFont="1" applyFill="1"/>
    <xf numFmtId="3" fontId="54" fillId="10" borderId="35" xfId="0" applyNumberFormat="1" applyFont="1" applyFill="1" applyBorder="1"/>
    <xf numFmtId="0" fontId="30" fillId="10" borderId="16" xfId="0" applyFont="1" applyFill="1" applyBorder="1"/>
    <xf numFmtId="3" fontId="30" fillId="10" borderId="35" xfId="0" applyNumberFormat="1" applyFont="1" applyFill="1" applyBorder="1"/>
    <xf numFmtId="3" fontId="30" fillId="10" borderId="35" xfId="1" applyNumberFormat="1" applyFont="1" applyFill="1" applyBorder="1"/>
    <xf numFmtId="0" fontId="30" fillId="10" borderId="0" xfId="0" applyFont="1" applyFill="1"/>
    <xf numFmtId="167" fontId="14" fillId="10" borderId="57" xfId="1" applyNumberFormat="1" applyFont="1" applyFill="1" applyBorder="1"/>
    <xf numFmtId="0" fontId="5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10" fillId="0" borderId="5" xfId="2" applyFont="1" applyBorder="1" applyAlignment="1">
      <alignment horizontal="left" vertical="center"/>
    </xf>
    <xf numFmtId="0" fontId="10" fillId="0" borderId="6" xfId="2" applyFont="1" applyBorder="1" applyAlignment="1">
      <alignment horizontal="left" vertical="center"/>
    </xf>
    <xf numFmtId="0" fontId="6" fillId="0" borderId="16" xfId="2" applyFont="1" applyBorder="1" applyAlignment="1">
      <alignment horizontal="left"/>
    </xf>
    <xf numFmtId="0" fontId="0" fillId="0" borderId="14" xfId="0" applyBorder="1" applyAlignment="1">
      <alignment horizontal="left"/>
    </xf>
    <xf numFmtId="0" fontId="5" fillId="0" borderId="5" xfId="2" applyFont="1" applyBorder="1" applyAlignment="1">
      <alignment horizontal="left"/>
    </xf>
    <xf numFmtId="0" fontId="5" fillId="8" borderId="5" xfId="2" applyFont="1" applyFill="1" applyBorder="1" applyAlignment="1">
      <alignment horizontal="left"/>
    </xf>
    <xf numFmtId="0" fontId="6" fillId="0" borderId="14" xfId="2" applyFont="1" applyBorder="1" applyAlignment="1">
      <alignment horizontal="left"/>
    </xf>
    <xf numFmtId="0" fontId="6" fillId="0" borderId="5" xfId="2" applyFont="1" applyBorder="1" applyAlignment="1">
      <alignment horizontal="left"/>
    </xf>
    <xf numFmtId="0" fontId="20" fillId="0" borderId="5" xfId="2" applyFont="1" applyBorder="1" applyAlignment="1">
      <alignment horizontal="left" wrapText="1"/>
    </xf>
    <xf numFmtId="0" fontId="5" fillId="0" borderId="5" xfId="2" applyFont="1" applyBorder="1" applyAlignment="1">
      <alignment horizontal="left" wrapText="1"/>
    </xf>
    <xf numFmtId="0" fontId="5" fillId="3" borderId="5" xfId="2" applyFont="1" applyFill="1" applyBorder="1" applyAlignment="1">
      <alignment horizontal="left"/>
    </xf>
    <xf numFmtId="0" fontId="8" fillId="0" borderId="5" xfId="2" applyFont="1" applyBorder="1" applyAlignment="1">
      <alignment horizontal="left"/>
    </xf>
    <xf numFmtId="0" fontId="17" fillId="5" borderId="5" xfId="2" applyFont="1" applyFill="1" applyBorder="1" applyAlignment="1">
      <alignment horizontal="left"/>
    </xf>
    <xf numFmtId="0" fontId="6" fillId="0" borderId="5" xfId="2" applyFont="1" applyBorder="1" applyAlignment="1">
      <alignment horizontal="left" vertical="center" wrapText="1"/>
    </xf>
    <xf numFmtId="0" fontId="5" fillId="3" borderId="5" xfId="2" applyFont="1" applyFill="1" applyBorder="1" applyAlignment="1">
      <alignment horizontal="left" vertical="center" wrapText="1"/>
    </xf>
    <xf numFmtId="0" fontId="6" fillId="0" borderId="5" xfId="2" applyFont="1" applyBorder="1" applyAlignment="1">
      <alignment horizontal="left" wrapText="1"/>
    </xf>
    <xf numFmtId="0" fontId="17" fillId="5" borderId="5" xfId="2" applyFont="1" applyFill="1" applyBorder="1" applyAlignment="1">
      <alignment horizontal="left" wrapText="1"/>
    </xf>
    <xf numFmtId="0" fontId="6" fillId="7" borderId="5" xfId="2" applyFont="1" applyFill="1" applyBorder="1" applyAlignment="1">
      <alignment horizontal="center"/>
    </xf>
    <xf numFmtId="0" fontId="8" fillId="5" borderId="5" xfId="2" applyFont="1" applyFill="1" applyBorder="1" applyAlignment="1">
      <alignment horizontal="center"/>
    </xf>
    <xf numFmtId="0" fontId="6" fillId="0" borderId="5" xfId="2" applyFont="1" applyBorder="1" applyAlignment="1">
      <alignment horizontal="left" vertical="center"/>
    </xf>
    <xf numFmtId="0" fontId="6" fillId="0" borderId="5" xfId="2" applyFont="1" applyBorder="1" applyAlignment="1">
      <alignment horizontal="right" vertical="center"/>
    </xf>
    <xf numFmtId="0" fontId="6" fillId="0" borderId="16" xfId="2" applyFont="1" applyBorder="1" applyAlignment="1">
      <alignment horizontal="right" wrapText="1"/>
    </xf>
    <xf numFmtId="0" fontId="6" fillId="0" borderId="14" xfId="2" applyFont="1" applyBorder="1" applyAlignment="1">
      <alignment horizontal="right" wrapText="1"/>
    </xf>
    <xf numFmtId="0" fontId="6" fillId="0" borderId="5" xfId="2" applyFont="1" applyBorder="1" applyAlignment="1">
      <alignment horizontal="right" vertical="center" wrapText="1"/>
    </xf>
    <xf numFmtId="0" fontId="6" fillId="0" borderId="16" xfId="2" applyFont="1" applyBorder="1" applyAlignment="1">
      <alignment horizontal="left" vertical="center"/>
    </xf>
    <xf numFmtId="0" fontId="6" fillId="0" borderId="14" xfId="2" applyFont="1" applyBorder="1" applyAlignment="1">
      <alignment horizontal="left" vertical="center"/>
    </xf>
    <xf numFmtId="0" fontId="5" fillId="3" borderId="16" xfId="2" applyFont="1" applyFill="1" applyBorder="1" applyAlignment="1">
      <alignment horizontal="left" vertical="center"/>
    </xf>
    <xf numFmtId="0" fontId="14" fillId="3" borderId="14" xfId="0" applyFont="1" applyFill="1" applyBorder="1" applyAlignment="1"/>
    <xf numFmtId="0" fontId="7" fillId="0" borderId="3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13" fillId="0" borderId="8" xfId="2" applyFont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/>
    </xf>
    <xf numFmtId="0" fontId="5" fillId="0" borderId="0" xfId="2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2" applyFont="1" applyAlignment="1">
      <alignment horizontal="center"/>
    </xf>
    <xf numFmtId="0" fontId="8" fillId="0" borderId="0" xfId="2" applyFont="1" applyBorder="1" applyAlignment="1">
      <alignment horizontal="right"/>
    </xf>
    <xf numFmtId="0" fontId="12" fillId="0" borderId="1" xfId="2" applyFont="1" applyBorder="1" applyAlignment="1">
      <alignment horizontal="center" vertical="center" wrapText="1"/>
    </xf>
    <xf numFmtId="0" fontId="12" fillId="0" borderId="4" xfId="2" applyFont="1" applyBorder="1" applyAlignment="1">
      <alignment horizontal="center" vertical="center" wrapText="1"/>
    </xf>
    <xf numFmtId="0" fontId="12" fillId="0" borderId="7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 wrapText="1"/>
    </xf>
    <xf numFmtId="0" fontId="13" fillId="0" borderId="5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5" fillId="0" borderId="0" xfId="2" applyFont="1" applyBorder="1" applyAlignment="1">
      <alignment horizontal="left"/>
    </xf>
    <xf numFmtId="0" fontId="6" fillId="0" borderId="0" xfId="2" applyFont="1" applyBorder="1" applyAlignment="1">
      <alignment horizontal="left"/>
    </xf>
    <xf numFmtId="0" fontId="5" fillId="0" borderId="16" xfId="2" applyFont="1" applyBorder="1" applyAlignment="1">
      <alignment horizontal="left" wrapText="1"/>
    </xf>
    <xf numFmtId="0" fontId="5" fillId="0" borderId="8" xfId="2" applyFont="1" applyBorder="1" applyAlignment="1">
      <alignment horizontal="left"/>
    </xf>
    <xf numFmtId="0" fontId="5" fillId="0" borderId="8" xfId="2" applyFont="1" applyBorder="1" applyAlignment="1">
      <alignment horizontal="left" wrapText="1"/>
    </xf>
    <xf numFmtId="0" fontId="5" fillId="0" borderId="25" xfId="2" applyFont="1" applyBorder="1" applyAlignment="1">
      <alignment horizontal="left" wrapText="1"/>
    </xf>
    <xf numFmtId="0" fontId="8" fillId="6" borderId="16" xfId="2" applyFont="1" applyFill="1" applyBorder="1" applyAlignment="1">
      <alignment horizontal="left" wrapText="1"/>
    </xf>
    <xf numFmtId="0" fontId="8" fillId="6" borderId="17" xfId="2" applyFont="1" applyFill="1" applyBorder="1" applyAlignment="1">
      <alignment horizontal="left" wrapText="1"/>
    </xf>
    <xf numFmtId="0" fontId="12" fillId="0" borderId="5" xfId="2" applyFont="1" applyBorder="1" applyAlignment="1">
      <alignment horizontal="left"/>
    </xf>
    <xf numFmtId="0" fontId="8" fillId="0" borderId="16" xfId="2" applyFont="1" applyBorder="1" applyAlignment="1">
      <alignment horizontal="left" wrapText="1"/>
    </xf>
    <xf numFmtId="0" fontId="8" fillId="0" borderId="17" xfId="2" applyFont="1" applyBorder="1" applyAlignment="1">
      <alignment horizontal="left" wrapText="1"/>
    </xf>
    <xf numFmtId="0" fontId="6" fillId="0" borderId="11" xfId="2" applyFont="1" applyBorder="1" applyAlignment="1">
      <alignment horizontal="left" vertical="center" wrapText="1"/>
    </xf>
    <xf numFmtId="0" fontId="6" fillId="0" borderId="47" xfId="2" applyFont="1" applyBorder="1" applyAlignment="1">
      <alignment horizontal="left" vertical="center" wrapText="1"/>
    </xf>
    <xf numFmtId="0" fontId="8" fillId="6" borderId="5" xfId="2" applyFont="1" applyFill="1" applyBorder="1" applyAlignment="1">
      <alignment horizontal="left" wrapText="1"/>
    </xf>
    <xf numFmtId="0" fontId="6" fillId="0" borderId="16" xfId="2" applyFont="1" applyBorder="1" applyAlignment="1">
      <alignment horizontal="left" vertical="center" wrapText="1"/>
    </xf>
    <xf numFmtId="0" fontId="6" fillId="0" borderId="22" xfId="2" applyFont="1" applyBorder="1" applyAlignment="1">
      <alignment horizontal="left"/>
    </xf>
    <xf numFmtId="0" fontId="6" fillId="0" borderId="22" xfId="2" applyFont="1" applyBorder="1" applyAlignment="1">
      <alignment horizontal="left" vertical="center" wrapText="1"/>
    </xf>
    <xf numFmtId="0" fontId="6" fillId="0" borderId="48" xfId="2" applyFont="1" applyBorder="1" applyAlignment="1">
      <alignment horizontal="left" vertical="center" wrapText="1"/>
    </xf>
    <xf numFmtId="0" fontId="12" fillId="0" borderId="28" xfId="2" applyFont="1" applyBorder="1" applyAlignment="1">
      <alignment horizontal="left"/>
    </xf>
    <xf numFmtId="0" fontId="12" fillId="0" borderId="28" xfId="2" applyFont="1" applyBorder="1" applyAlignment="1">
      <alignment horizontal="left" vertical="center" wrapText="1"/>
    </xf>
    <xf numFmtId="0" fontId="12" fillId="0" borderId="54" xfId="2" applyFont="1" applyBorder="1" applyAlignment="1">
      <alignment horizontal="left" vertical="center" wrapText="1"/>
    </xf>
    <xf numFmtId="0" fontId="12" fillId="0" borderId="30" xfId="2" applyFont="1" applyBorder="1" applyAlignment="1">
      <alignment horizontal="left"/>
    </xf>
    <xf numFmtId="0" fontId="12" fillId="0" borderId="31" xfId="2" applyFont="1" applyBorder="1" applyAlignment="1">
      <alignment horizontal="left"/>
    </xf>
    <xf numFmtId="0" fontId="6" fillId="0" borderId="11" xfId="2" applyFont="1" applyBorder="1" applyAlignment="1">
      <alignment horizontal="left"/>
    </xf>
    <xf numFmtId="0" fontId="6" fillId="6" borderId="5" xfId="2" applyFont="1" applyFill="1" applyBorder="1" applyAlignment="1">
      <alignment horizontal="left" wrapText="1"/>
    </xf>
    <xf numFmtId="0" fontId="6" fillId="6" borderId="16" xfId="2" applyFont="1" applyFill="1" applyBorder="1" applyAlignment="1">
      <alignment horizontal="left" wrapText="1"/>
    </xf>
    <xf numFmtId="0" fontId="6" fillId="0" borderId="16" xfId="2" applyFont="1" applyBorder="1" applyAlignment="1">
      <alignment horizontal="right" vertical="center" wrapText="1"/>
    </xf>
    <xf numFmtId="0" fontId="6" fillId="0" borderId="25" xfId="2" applyFont="1" applyBorder="1" applyAlignment="1">
      <alignment horizontal="right" vertical="center" wrapText="1"/>
    </xf>
    <xf numFmtId="0" fontId="6" fillId="0" borderId="62" xfId="2" applyFont="1" applyBorder="1" applyAlignment="1">
      <alignment horizontal="right" vertical="center" wrapText="1"/>
    </xf>
    <xf numFmtId="0" fontId="6" fillId="6" borderId="5" xfId="2" applyFont="1" applyFill="1" applyBorder="1" applyAlignment="1">
      <alignment horizontal="left"/>
    </xf>
    <xf numFmtId="0" fontId="0" fillId="0" borderId="16" xfId="0" applyBorder="1" applyAlignment="1">
      <alignment horizontal="right" vertical="center"/>
    </xf>
    <xf numFmtId="0" fontId="0" fillId="0" borderId="16" xfId="0" applyBorder="1" applyAlignment="1">
      <alignment horizontal="right" vertical="center" wrapText="1"/>
    </xf>
    <xf numFmtId="0" fontId="6" fillId="6" borderId="22" xfId="2" applyFont="1" applyFill="1" applyBorder="1" applyAlignment="1">
      <alignment horizontal="left"/>
    </xf>
    <xf numFmtId="0" fontId="21" fillId="0" borderId="16" xfId="2" applyFont="1" applyBorder="1" applyAlignment="1">
      <alignment horizontal="right" wrapText="1"/>
    </xf>
    <xf numFmtId="0" fontId="21" fillId="0" borderId="17" xfId="2" applyFont="1" applyBorder="1" applyAlignment="1">
      <alignment horizontal="right" wrapText="1"/>
    </xf>
    <xf numFmtId="0" fontId="0" fillId="0" borderId="16" xfId="0" applyBorder="1" applyAlignment="1">
      <alignment horizontal="left" vertical="center"/>
    </xf>
    <xf numFmtId="0" fontId="8" fillId="0" borderId="5" xfId="2" applyFont="1" applyBorder="1" applyAlignment="1">
      <alignment horizontal="center"/>
    </xf>
    <xf numFmtId="0" fontId="8" fillId="0" borderId="16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 wrapText="1"/>
    </xf>
    <xf numFmtId="0" fontId="12" fillId="0" borderId="5" xfId="2" applyFont="1" applyBorder="1" applyAlignment="1">
      <alignment horizontal="center" vertical="center" wrapText="1"/>
    </xf>
    <xf numFmtId="0" fontId="12" fillId="0" borderId="19" xfId="2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8" fillId="0" borderId="61" xfId="2" applyFont="1" applyBorder="1" applyAlignment="1">
      <alignment horizontal="center" vertical="center"/>
    </xf>
    <xf numFmtId="0" fontId="13" fillId="0" borderId="60" xfId="2" applyFont="1" applyBorder="1" applyAlignment="1">
      <alignment horizontal="center" vertical="center" wrapText="1"/>
    </xf>
    <xf numFmtId="0" fontId="13" fillId="0" borderId="56" xfId="2" applyFont="1" applyBorder="1" applyAlignment="1">
      <alignment horizontal="center" vertical="center" wrapText="1"/>
    </xf>
    <xf numFmtId="168" fontId="24" fillId="0" borderId="0" xfId="4" applyNumberFormat="1" applyFont="1" applyAlignment="1">
      <alignment horizontal="center" vertical="center" wrapText="1"/>
    </xf>
    <xf numFmtId="168" fontId="24" fillId="0" borderId="0" xfId="4" applyNumberFormat="1" applyFont="1" applyAlignment="1">
      <alignment vertical="center" wrapText="1"/>
    </xf>
    <xf numFmtId="165" fontId="39" fillId="0" borderId="7" xfId="0" applyNumberFormat="1" applyFont="1" applyBorder="1" applyAlignment="1">
      <alignment horizontal="center"/>
    </xf>
    <xf numFmtId="165" fontId="39" fillId="0" borderId="8" xfId="0" applyNumberFormat="1" applyFont="1" applyBorder="1" applyAlignment="1">
      <alignment horizontal="center"/>
    </xf>
    <xf numFmtId="165" fontId="39" fillId="0" borderId="9" xfId="0" applyNumberFormat="1" applyFont="1" applyBorder="1" applyAlignment="1">
      <alignment horizontal="center"/>
    </xf>
    <xf numFmtId="165" fontId="38" fillId="0" borderId="32" xfId="0" applyNumberFormat="1" applyFont="1" applyBorder="1" applyAlignment="1">
      <alignment horizontal="center"/>
    </xf>
    <xf numFmtId="165" fontId="38" fillId="0" borderId="33" xfId="0" applyNumberFormat="1" applyFont="1" applyBorder="1" applyAlignment="1">
      <alignment horizontal="center"/>
    </xf>
    <xf numFmtId="165" fontId="38" fillId="0" borderId="34" xfId="0" applyNumberFormat="1" applyFont="1" applyBorder="1" applyAlignment="1">
      <alignment horizontal="center"/>
    </xf>
    <xf numFmtId="165" fontId="39" fillId="0" borderId="4" xfId="0" applyNumberFormat="1" applyFont="1" applyBorder="1" applyAlignment="1">
      <alignment horizontal="center"/>
    </xf>
    <xf numFmtId="165" fontId="39" fillId="0" borderId="5" xfId="0" applyNumberFormat="1" applyFont="1" applyBorder="1" applyAlignment="1">
      <alignment horizontal="center"/>
    </xf>
    <xf numFmtId="165" fontId="39" fillId="0" borderId="6" xfId="0" applyNumberFormat="1" applyFont="1" applyBorder="1" applyAlignment="1">
      <alignment horizontal="center"/>
    </xf>
    <xf numFmtId="165" fontId="79" fillId="0" borderId="4" xfId="0" applyNumberFormat="1" applyFont="1" applyBorder="1" applyAlignment="1">
      <alignment horizontal="center"/>
    </xf>
    <xf numFmtId="165" fontId="79" fillId="0" borderId="5" xfId="0" applyNumberFormat="1" applyFont="1" applyBorder="1" applyAlignment="1">
      <alignment horizontal="center"/>
    </xf>
    <xf numFmtId="165" fontId="79" fillId="0" borderId="6" xfId="0" applyNumberFormat="1" applyFont="1" applyBorder="1" applyAlignment="1">
      <alignment horizontal="center"/>
    </xf>
    <xf numFmtId="0" fontId="40" fillId="0" borderId="37" xfId="0" applyFont="1" applyBorder="1" applyAlignment="1">
      <alignment horizontal="center" vertical="distributed" wrapText="1"/>
    </xf>
    <xf numFmtId="0" fontId="40" fillId="0" borderId="36" xfId="0" applyFont="1" applyBorder="1" applyAlignment="1">
      <alignment horizontal="center" vertical="distributed" wrapText="1"/>
    </xf>
    <xf numFmtId="0" fontId="40" fillId="0" borderId="44" xfId="0" applyFont="1" applyBorder="1" applyAlignment="1">
      <alignment horizontal="center" vertical="distributed" wrapText="1"/>
    </xf>
    <xf numFmtId="165" fontId="4" fillId="0" borderId="1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165" fontId="4" fillId="0" borderId="6" xfId="0" applyNumberFormat="1" applyFont="1" applyBorder="1" applyAlignment="1">
      <alignment horizontal="center"/>
    </xf>
    <xf numFmtId="165" fontId="4" fillId="0" borderId="4" xfId="0" applyNumberFormat="1" applyFont="1" applyBorder="1" applyAlignment="1">
      <alignment horizontal="center"/>
    </xf>
    <xf numFmtId="165" fontId="4" fillId="0" borderId="5" xfId="0" applyNumberFormat="1" applyFont="1" applyBorder="1" applyAlignment="1">
      <alignment horizontal="center"/>
    </xf>
    <xf numFmtId="165" fontId="39" fillId="0" borderId="46" xfId="0" applyNumberFormat="1" applyFont="1" applyBorder="1" applyAlignment="1">
      <alignment horizontal="center"/>
    </xf>
    <xf numFmtId="165" fontId="39" fillId="0" borderId="17" xfId="0" applyNumberFormat="1" applyFont="1" applyBorder="1" applyAlignment="1">
      <alignment horizontal="center"/>
    </xf>
    <xf numFmtId="165" fontId="39" fillId="0" borderId="15" xfId="0" applyNumberFormat="1" applyFont="1" applyBorder="1" applyAlignment="1">
      <alignment horizontal="center"/>
    </xf>
    <xf numFmtId="0" fontId="39" fillId="0" borderId="5" xfId="0" quotePrefix="1" applyFont="1" applyBorder="1" applyAlignment="1">
      <alignment horizontal="center" vertical="center"/>
    </xf>
    <xf numFmtId="0" fontId="39" fillId="0" borderId="16" xfId="0" quotePrefix="1" applyFont="1" applyBorder="1" applyAlignment="1">
      <alignment horizontal="center" vertical="center"/>
    </xf>
    <xf numFmtId="0" fontId="39" fillId="0" borderId="18" xfId="0" applyFont="1" applyBorder="1" applyAlignment="1">
      <alignment horizontal="center"/>
    </xf>
    <xf numFmtId="0" fontId="39" fillId="0" borderId="22" xfId="0" applyFont="1" applyBorder="1" applyAlignment="1">
      <alignment horizontal="center"/>
    </xf>
    <xf numFmtId="0" fontId="39" fillId="0" borderId="5" xfId="0" applyFont="1" applyBorder="1" applyAlignment="1">
      <alignment horizontal="left" vertical="center" wrapText="1"/>
    </xf>
    <xf numFmtId="0" fontId="39" fillId="0" borderId="14" xfId="0" applyFont="1" applyBorder="1" applyAlignment="1">
      <alignment horizontal="center"/>
    </xf>
    <xf numFmtId="0" fontId="39" fillId="0" borderId="5" xfId="0" applyFont="1" applyBorder="1" applyAlignment="1">
      <alignment horizontal="center"/>
    </xf>
    <xf numFmtId="0" fontId="40" fillId="0" borderId="5" xfId="0" applyFont="1" applyBorder="1" applyAlignment="1">
      <alignment horizontal="left" vertical="top" wrapText="1"/>
    </xf>
    <xf numFmtId="0" fontId="40" fillId="0" borderId="5" xfId="0" applyFont="1" applyBorder="1" applyAlignment="1">
      <alignment horizontal="left" vertical="top"/>
    </xf>
    <xf numFmtId="0" fontId="38" fillId="0" borderId="0" xfId="0" applyFont="1" applyAlignment="1">
      <alignment horizontal="center"/>
    </xf>
    <xf numFmtId="0" fontId="38" fillId="0" borderId="0" xfId="0" applyFont="1" applyAlignment="1">
      <alignment horizontal="center" vertical="center"/>
    </xf>
    <xf numFmtId="0" fontId="39" fillId="0" borderId="51" xfId="0" applyFont="1" applyBorder="1" applyAlignment="1">
      <alignment horizontal="center"/>
    </xf>
    <xf numFmtId="0" fontId="39" fillId="0" borderId="52" xfId="0" applyFont="1" applyBorder="1" applyAlignment="1">
      <alignment horizontal="center"/>
    </xf>
    <xf numFmtId="0" fontId="39" fillId="0" borderId="0" xfId="0" applyFont="1" applyAlignment="1">
      <alignment horizontal="center"/>
    </xf>
    <xf numFmtId="0" fontId="40" fillId="0" borderId="11" xfId="0" applyFont="1" applyBorder="1" applyAlignment="1">
      <alignment horizontal="left" vertical="center" wrapText="1"/>
    </xf>
    <xf numFmtId="165" fontId="38" fillId="0" borderId="7" xfId="0" applyNumberFormat="1" applyFont="1" applyBorder="1" applyAlignment="1">
      <alignment horizontal="center"/>
    </xf>
    <xf numFmtId="165" fontId="38" fillId="0" borderId="8" xfId="0" applyNumberFormat="1" applyFont="1" applyBorder="1" applyAlignment="1">
      <alignment horizontal="center"/>
    </xf>
    <xf numFmtId="165" fontId="38" fillId="0" borderId="9" xfId="0" applyNumberFormat="1" applyFont="1" applyBorder="1" applyAlignment="1">
      <alignment horizontal="center"/>
    </xf>
    <xf numFmtId="0" fontId="39" fillId="0" borderId="12" xfId="0" applyFont="1" applyBorder="1" applyAlignment="1">
      <alignment horizontal="center"/>
    </xf>
    <xf numFmtId="0" fontId="39" fillId="0" borderId="11" xfId="0" applyFont="1" applyBorder="1" applyAlignment="1">
      <alignment horizontal="center"/>
    </xf>
    <xf numFmtId="0" fontId="40" fillId="0" borderId="16" xfId="0" applyFont="1" applyBorder="1" applyAlignment="1">
      <alignment horizontal="left" vertical="center" wrapText="1"/>
    </xf>
    <xf numFmtId="0" fontId="40" fillId="0" borderId="17" xfId="0" applyFont="1" applyBorder="1" applyAlignment="1">
      <alignment horizontal="left" vertical="center" wrapText="1"/>
    </xf>
    <xf numFmtId="0" fontId="40" fillId="0" borderId="14" xfId="0" applyFont="1" applyBorder="1" applyAlignment="1">
      <alignment horizontal="left" vertical="center" wrapText="1"/>
    </xf>
    <xf numFmtId="0" fontId="39" fillId="0" borderId="17" xfId="0" applyFont="1" applyBorder="1" applyAlignment="1">
      <alignment horizontal="center"/>
    </xf>
    <xf numFmtId="0" fontId="40" fillId="0" borderId="5" xfId="0" applyFont="1" applyBorder="1" applyAlignment="1">
      <alignment horizontal="left" vertical="center" wrapText="1"/>
    </xf>
    <xf numFmtId="0" fontId="40" fillId="0" borderId="22" xfId="0" applyFont="1" applyBorder="1" applyAlignment="1">
      <alignment horizontal="left" vertical="center" wrapText="1"/>
    </xf>
    <xf numFmtId="165" fontId="72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165" fontId="4" fillId="9" borderId="5" xfId="0" applyNumberFormat="1" applyFont="1" applyFill="1" applyBorder="1" applyAlignment="1">
      <alignment horizontal="center"/>
    </xf>
    <xf numFmtId="165" fontId="4" fillId="0" borderId="16" xfId="0" applyNumberFormat="1" applyFont="1" applyBorder="1" applyAlignment="1">
      <alignment horizontal="center"/>
    </xf>
    <xf numFmtId="165" fontId="4" fillId="0" borderId="17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165" fontId="4" fillId="6" borderId="5" xfId="0" applyNumberFormat="1" applyFont="1" applyFill="1" applyBorder="1" applyAlignment="1">
      <alignment horizontal="center"/>
    </xf>
    <xf numFmtId="0" fontId="72" fillId="0" borderId="37" xfId="0" applyFont="1" applyBorder="1" applyAlignment="1">
      <alignment horizontal="center"/>
    </xf>
    <xf numFmtId="0" fontId="72" fillId="0" borderId="36" xfId="0" applyFont="1" applyBorder="1" applyAlignment="1">
      <alignment horizontal="center"/>
    </xf>
    <xf numFmtId="0" fontId="72" fillId="0" borderId="44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9" fillId="0" borderId="5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2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71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1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4" fillId="0" borderId="37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9" fillId="0" borderId="5" xfId="0" applyFont="1" applyBorder="1" applyAlignment="1">
      <alignment horizontal="left" vertical="center"/>
    </xf>
    <xf numFmtId="0" fontId="4" fillId="6" borderId="5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167" fontId="6" fillId="0" borderId="0" xfId="1" applyNumberFormat="1" applyFont="1" applyAlignment="1">
      <alignment horizontal="center" vertical="center" wrapText="1"/>
    </xf>
    <xf numFmtId="167" fontId="6" fillId="0" borderId="16" xfId="1" applyNumberFormat="1" applyFont="1" applyBorder="1" applyAlignment="1">
      <alignment horizontal="justify" vertical="distributed" wrapText="1"/>
    </xf>
    <xf numFmtId="167" fontId="6" fillId="0" borderId="17" xfId="1" applyNumberFormat="1" applyFont="1" applyBorder="1" applyAlignment="1">
      <alignment horizontal="justify" vertical="distributed" wrapText="1"/>
    </xf>
    <xf numFmtId="167" fontId="6" fillId="0" borderId="14" xfId="1" applyNumberFormat="1" applyFont="1" applyBorder="1" applyAlignment="1">
      <alignment horizontal="justify" vertical="distributed" wrapText="1"/>
    </xf>
    <xf numFmtId="167" fontId="6" fillId="0" borderId="16" xfId="1" applyNumberFormat="1" applyFont="1" applyBorder="1" applyAlignment="1">
      <alignment horizontal="center"/>
    </xf>
    <xf numFmtId="167" fontId="6" fillId="0" borderId="17" xfId="1" applyNumberFormat="1" applyFont="1" applyBorder="1" applyAlignment="1">
      <alignment horizontal="center"/>
    </xf>
    <xf numFmtId="167" fontId="6" fillId="0" borderId="14" xfId="1" applyNumberFormat="1" applyFont="1" applyBorder="1" applyAlignment="1">
      <alignment horizontal="center"/>
    </xf>
    <xf numFmtId="0" fontId="24" fillId="0" borderId="0" xfId="4" applyFont="1" applyFill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44" fillId="0" borderId="41" xfId="4" applyFont="1" applyFill="1" applyBorder="1" applyAlignment="1">
      <alignment horizontal="justify" vertical="center" wrapText="1"/>
    </xf>
    <xf numFmtId="168" fontId="48" fillId="0" borderId="0" xfId="4" applyNumberFormat="1" applyFont="1" applyFill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168" fontId="25" fillId="0" borderId="40" xfId="4" applyNumberFormat="1" applyFont="1" applyFill="1" applyBorder="1" applyAlignment="1">
      <alignment horizontal="center" vertical="center" wrapText="1"/>
    </xf>
    <xf numFmtId="168" fontId="25" fillId="0" borderId="38" xfId="4" applyNumberFormat="1" applyFont="1" applyFill="1" applyBorder="1" applyAlignment="1">
      <alignment horizontal="center" vertical="center" wrapText="1"/>
    </xf>
    <xf numFmtId="168" fontId="25" fillId="0" borderId="40" xfId="4" applyNumberFormat="1" applyFont="1" applyFill="1" applyBorder="1" applyAlignment="1">
      <alignment horizontal="center" vertical="center"/>
    </xf>
    <xf numFmtId="168" fontId="25" fillId="0" borderId="38" xfId="4" applyNumberFormat="1" applyFont="1" applyFill="1" applyBorder="1" applyAlignment="1">
      <alignment horizontal="center" vertical="center"/>
    </xf>
    <xf numFmtId="168" fontId="25" fillId="0" borderId="51" xfId="4" applyNumberFormat="1" applyFont="1" applyFill="1" applyBorder="1" applyAlignment="1">
      <alignment horizontal="center" vertical="center"/>
    </xf>
    <xf numFmtId="168" fontId="25" fillId="0" borderId="52" xfId="4" applyNumberFormat="1" applyFont="1" applyFill="1" applyBorder="1" applyAlignment="1">
      <alignment horizontal="center" vertical="center"/>
    </xf>
    <xf numFmtId="168" fontId="25" fillId="0" borderId="53" xfId="4" applyNumberFormat="1" applyFont="1" applyFill="1" applyBorder="1" applyAlignment="1">
      <alignment horizontal="center" vertical="center"/>
    </xf>
    <xf numFmtId="0" fontId="67" fillId="0" borderId="37" xfId="0" applyFont="1" applyBorder="1" applyAlignment="1">
      <alignment horizontal="center"/>
    </xf>
    <xf numFmtId="0" fontId="67" fillId="0" borderId="36" xfId="0" applyFont="1" applyBorder="1" applyAlignment="1">
      <alignment horizontal="center"/>
    </xf>
    <xf numFmtId="0" fontId="67" fillId="0" borderId="44" xfId="0" applyFont="1" applyBorder="1" applyAlignment="1">
      <alignment horizontal="center"/>
    </xf>
    <xf numFmtId="0" fontId="67" fillId="0" borderId="37" xfId="0" applyFont="1" applyBorder="1" applyAlignment="1">
      <alignment horizontal="center" vertical="distributed" wrapText="1"/>
    </xf>
    <xf numFmtId="0" fontId="67" fillId="0" borderId="36" xfId="0" applyFont="1" applyBorder="1" applyAlignment="1">
      <alignment horizontal="center" vertical="distributed" wrapText="1"/>
    </xf>
    <xf numFmtId="0" fontId="67" fillId="0" borderId="44" xfId="0" applyFont="1" applyBorder="1" applyAlignment="1">
      <alignment horizontal="center" vertical="distributed" wrapText="1"/>
    </xf>
    <xf numFmtId="168" fontId="33" fillId="0" borderId="37" xfId="4" applyNumberFormat="1" applyFont="1" applyFill="1" applyBorder="1" applyAlignment="1">
      <alignment horizontal="left" vertical="center" wrapText="1" indent="2"/>
    </xf>
    <xf numFmtId="168" fontId="33" fillId="0" borderId="44" xfId="4" applyNumberFormat="1" applyFont="1" applyFill="1" applyBorder="1" applyAlignment="1">
      <alignment horizontal="left" vertical="center" wrapText="1" indent="2"/>
    </xf>
    <xf numFmtId="0" fontId="8" fillId="0" borderId="5" xfId="0" applyFont="1" applyBorder="1" applyAlignment="1">
      <alignment horizontal="center" vertical="center" wrapText="1"/>
    </xf>
    <xf numFmtId="2" fontId="6" fillId="0" borderId="16" xfId="0" applyNumberFormat="1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2" fontId="6" fillId="0" borderId="14" xfId="0" applyNumberFormat="1" applyFont="1" applyBorder="1" applyAlignment="1">
      <alignment horizontal="center"/>
    </xf>
    <xf numFmtId="2" fontId="8" fillId="0" borderId="5" xfId="0" applyNumberFormat="1" applyFont="1" applyBorder="1" applyAlignment="1">
      <alignment horizontal="center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2" fontId="6" fillId="0" borderId="16" xfId="0" applyNumberFormat="1" applyFont="1" applyBorder="1" applyAlignment="1">
      <alignment horizontal="center" vertical="center" wrapText="1"/>
    </xf>
    <xf numFmtId="2" fontId="0" fillId="0" borderId="17" xfId="0" applyNumberFormat="1" applyBorder="1" applyAlignment="1">
      <alignment horizontal="center" vertical="center" wrapText="1"/>
    </xf>
    <xf numFmtId="2" fontId="0" fillId="0" borderId="14" xfId="0" applyNumberForma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 wrapText="1"/>
    </xf>
    <xf numFmtId="0" fontId="52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3" fillId="0" borderId="22" xfId="2" applyFont="1" applyBorder="1" applyAlignment="1">
      <alignment horizontal="center" vertical="center" wrapText="1"/>
    </xf>
    <xf numFmtId="0" fontId="0" fillId="0" borderId="5" xfId="0" applyBorder="1" applyAlignment="1">
      <alignment horizontal="right" vertical="center" wrapText="1"/>
    </xf>
    <xf numFmtId="0" fontId="6" fillId="6" borderId="5" xfId="2" applyFont="1" applyFill="1" applyBorder="1" applyAlignment="1">
      <alignment horizontal="center"/>
    </xf>
    <xf numFmtId="0" fontId="6" fillId="0" borderId="5" xfId="2" applyFont="1" applyBorder="1" applyAlignment="1">
      <alignment horizontal="right" wrapText="1"/>
    </xf>
    <xf numFmtId="0" fontId="12" fillId="0" borderId="21" xfId="2" applyFont="1" applyBorder="1" applyAlignment="1">
      <alignment horizontal="center" vertical="center" wrapText="1"/>
    </xf>
    <xf numFmtId="0" fontId="8" fillId="0" borderId="22" xfId="2" applyFont="1" applyBorder="1" applyAlignment="1">
      <alignment horizontal="center" vertical="center"/>
    </xf>
    <xf numFmtId="0" fontId="53" fillId="0" borderId="0" xfId="0" applyFont="1" applyAlignment="1">
      <alignment horizontal="center"/>
    </xf>
    <xf numFmtId="0" fontId="54" fillId="0" borderId="37" xfId="0" applyFont="1" applyBorder="1" applyAlignment="1">
      <alignment horizontal="center" wrapText="1"/>
    </xf>
    <xf numFmtId="0" fontId="54" fillId="0" borderId="36" xfId="0" applyFont="1" applyBorder="1" applyAlignment="1">
      <alignment horizontal="center" wrapText="1"/>
    </xf>
    <xf numFmtId="0" fontId="54" fillId="0" borderId="44" xfId="0" applyFont="1" applyBorder="1" applyAlignment="1">
      <alignment horizontal="center" wrapText="1"/>
    </xf>
    <xf numFmtId="0" fontId="0" fillId="0" borderId="37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44" xfId="0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5" xfId="0" applyBorder="1" applyAlignment="1">
      <alignment horizontal="center"/>
    </xf>
    <xf numFmtId="0" fontId="80" fillId="0" borderId="37" xfId="0" applyFont="1" applyBorder="1" applyAlignment="1">
      <alignment horizontal="center" vertical="distributed" wrapText="1"/>
    </xf>
    <xf numFmtId="0" fontId="78" fillId="0" borderId="36" xfId="0" applyFont="1" applyBorder="1" applyAlignment="1">
      <alignment horizontal="center" vertical="distributed" wrapText="1"/>
    </xf>
    <xf numFmtId="0" fontId="78" fillId="0" borderId="44" xfId="0" applyFont="1" applyBorder="1" applyAlignment="1">
      <alignment horizontal="center" vertical="distributed" wrapText="1"/>
    </xf>
    <xf numFmtId="0" fontId="3" fillId="0" borderId="39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67" fillId="0" borderId="39" xfId="0" applyFont="1" applyBorder="1" applyAlignment="1">
      <alignment horizontal="center"/>
    </xf>
    <xf numFmtId="0" fontId="67" fillId="0" borderId="41" xfId="0" applyFont="1" applyBorder="1" applyAlignment="1">
      <alignment horizontal="center"/>
    </xf>
    <xf numFmtId="0" fontId="67" fillId="0" borderId="45" xfId="0" applyFont="1" applyBorder="1" applyAlignment="1">
      <alignment horizontal="center"/>
    </xf>
    <xf numFmtId="0" fontId="54" fillId="0" borderId="39" xfId="0" applyFont="1" applyBorder="1" applyAlignment="1">
      <alignment horizontal="center"/>
    </xf>
    <xf numFmtId="0" fontId="54" fillId="0" borderId="41" xfId="0" applyFont="1" applyBorder="1" applyAlignment="1">
      <alignment horizontal="center"/>
    </xf>
    <xf numFmtId="0" fontId="54" fillId="0" borderId="45" xfId="0" applyFont="1" applyBorder="1" applyAlignment="1">
      <alignment horizontal="center"/>
    </xf>
    <xf numFmtId="0" fontId="54" fillId="0" borderId="37" xfId="0" applyFont="1" applyBorder="1" applyAlignment="1">
      <alignment horizontal="center"/>
    </xf>
    <xf numFmtId="0" fontId="54" fillId="0" borderId="36" xfId="0" applyFont="1" applyBorder="1" applyAlignment="1">
      <alignment horizontal="center"/>
    </xf>
    <xf numFmtId="0" fontId="54" fillId="0" borderId="44" xfId="0" applyFont="1" applyBorder="1" applyAlignment="1">
      <alignment horizontal="center"/>
    </xf>
    <xf numFmtId="0" fontId="69" fillId="0" borderId="37" xfId="0" applyFont="1" applyBorder="1" applyAlignment="1">
      <alignment horizontal="center"/>
    </xf>
    <xf numFmtId="0" fontId="69" fillId="0" borderId="36" xfId="0" applyFont="1" applyBorder="1" applyAlignment="1">
      <alignment horizontal="center"/>
    </xf>
    <xf numFmtId="0" fontId="69" fillId="0" borderId="44" xfId="0" applyFont="1" applyBorder="1" applyAlignment="1">
      <alignment horizontal="center"/>
    </xf>
    <xf numFmtId="0" fontId="54" fillId="0" borderId="39" xfId="0" applyFont="1" applyBorder="1" applyAlignment="1">
      <alignment horizontal="justify" vertical="distributed" wrapText="1"/>
    </xf>
    <xf numFmtId="0" fontId="54" fillId="0" borderId="41" xfId="0" applyFont="1" applyBorder="1" applyAlignment="1">
      <alignment horizontal="justify" vertical="distributed" wrapText="1"/>
    </xf>
    <xf numFmtId="0" fontId="54" fillId="0" borderId="45" xfId="0" applyFont="1" applyBorder="1" applyAlignment="1">
      <alignment horizontal="justify" vertical="distributed" wrapText="1"/>
    </xf>
    <xf numFmtId="0" fontId="69" fillId="0" borderId="39" xfId="0" applyFont="1" applyBorder="1" applyAlignment="1">
      <alignment horizontal="center" vertical="distributed" wrapText="1"/>
    </xf>
    <xf numFmtId="0" fontId="69" fillId="0" borderId="41" xfId="0" applyFont="1" applyBorder="1" applyAlignment="1">
      <alignment horizontal="center" vertical="distributed" wrapText="1"/>
    </xf>
    <xf numFmtId="0" fontId="69" fillId="0" borderId="45" xfId="0" applyFont="1" applyBorder="1" applyAlignment="1">
      <alignment horizontal="center" vertical="distributed" wrapText="1"/>
    </xf>
    <xf numFmtId="0" fontId="2" fillId="0" borderId="3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53" fillId="0" borderId="37" xfId="0" applyFont="1" applyBorder="1" applyAlignment="1">
      <alignment horizontal="center"/>
    </xf>
    <xf numFmtId="0" fontId="53" fillId="0" borderId="36" xfId="0" applyFont="1" applyBorder="1" applyAlignment="1">
      <alignment horizontal="center"/>
    </xf>
    <xf numFmtId="0" fontId="53" fillId="0" borderId="44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0" fillId="0" borderId="37" xfId="0" applyBorder="1" applyAlignment="1">
      <alignment horizontal="center" vertical="distributed" wrapText="1"/>
    </xf>
    <xf numFmtId="0" fontId="0" fillId="0" borderId="36" xfId="0" applyBorder="1" applyAlignment="1">
      <alignment horizontal="center" vertical="distributed" wrapText="1"/>
    </xf>
    <xf numFmtId="0" fontId="0" fillId="0" borderId="44" xfId="0" applyBorder="1" applyAlignment="1">
      <alignment horizontal="center" vertical="distributed" wrapText="1"/>
    </xf>
    <xf numFmtId="0" fontId="53" fillId="0" borderId="39" xfId="0" applyFont="1" applyBorder="1" applyAlignment="1">
      <alignment horizontal="center"/>
    </xf>
    <xf numFmtId="0" fontId="53" fillId="0" borderId="41" xfId="0" applyFont="1" applyBorder="1" applyAlignment="1">
      <alignment horizontal="center"/>
    </xf>
    <xf numFmtId="0" fontId="53" fillId="0" borderId="45" xfId="0" applyFont="1" applyBorder="1" applyAlignment="1">
      <alignment horizontal="center"/>
    </xf>
    <xf numFmtId="0" fontId="83" fillId="0" borderId="37" xfId="0" applyFont="1" applyBorder="1" applyAlignment="1">
      <alignment horizontal="center"/>
    </xf>
    <xf numFmtId="0" fontId="83" fillId="0" borderId="36" xfId="0" applyFont="1" applyBorder="1" applyAlignment="1">
      <alignment horizontal="center"/>
    </xf>
    <xf numFmtId="0" fontId="83" fillId="0" borderId="44" xfId="0" applyFont="1" applyBorder="1" applyAlignment="1">
      <alignment horizontal="center"/>
    </xf>
    <xf numFmtId="3" fontId="54" fillId="0" borderId="37" xfId="0" applyNumberFormat="1" applyFont="1" applyBorder="1" applyAlignment="1">
      <alignment horizontal="center"/>
    </xf>
    <xf numFmtId="3" fontId="54" fillId="0" borderId="36" xfId="0" applyNumberFormat="1" applyFont="1" applyBorder="1" applyAlignment="1">
      <alignment horizontal="center"/>
    </xf>
    <xf numFmtId="3" fontId="54" fillId="0" borderId="44" xfId="0" applyNumberFormat="1" applyFont="1" applyBorder="1" applyAlignment="1">
      <alignment horizontal="center"/>
    </xf>
    <xf numFmtId="0" fontId="4" fillId="0" borderId="37" xfId="0" applyFont="1" applyBorder="1" applyAlignment="1">
      <alignment horizontal="center" vertical="distributed" wrapText="1"/>
    </xf>
    <xf numFmtId="0" fontId="4" fillId="0" borderId="36" xfId="0" applyFont="1" applyBorder="1" applyAlignment="1">
      <alignment horizontal="center" vertical="distributed" wrapText="1"/>
    </xf>
    <xf numFmtId="0" fontId="4" fillId="0" borderId="44" xfId="0" applyFont="1" applyBorder="1" applyAlignment="1">
      <alignment horizontal="center" vertical="distributed" wrapText="1"/>
    </xf>
    <xf numFmtId="0" fontId="94" fillId="0" borderId="37" xfId="0" applyFont="1" applyBorder="1" applyAlignment="1">
      <alignment horizontal="center"/>
    </xf>
    <xf numFmtId="0" fontId="94" fillId="0" borderId="36" xfId="0" applyFont="1" applyBorder="1" applyAlignment="1">
      <alignment horizontal="center"/>
    </xf>
    <xf numFmtId="0" fontId="94" fillId="0" borderId="44" xfId="0" applyFont="1" applyBorder="1" applyAlignment="1">
      <alignment horizontal="center"/>
    </xf>
    <xf numFmtId="0" fontId="95" fillId="0" borderId="37" xfId="0" applyFont="1" applyBorder="1" applyAlignment="1">
      <alignment horizontal="center"/>
    </xf>
    <xf numFmtId="0" fontId="95" fillId="0" borderId="36" xfId="0" applyFont="1" applyBorder="1" applyAlignment="1">
      <alignment horizontal="center"/>
    </xf>
    <xf numFmtId="0" fontId="95" fillId="0" borderId="44" xfId="0" applyFont="1" applyBorder="1" applyAlignment="1">
      <alignment horizontal="center"/>
    </xf>
    <xf numFmtId="0" fontId="94" fillId="0" borderId="37" xfId="0" applyFont="1" applyBorder="1" applyAlignment="1">
      <alignment horizontal="center" vertical="distributed" wrapText="1"/>
    </xf>
    <xf numFmtId="0" fontId="94" fillId="0" borderId="36" xfId="0" applyFont="1" applyBorder="1" applyAlignment="1">
      <alignment horizontal="center" vertical="distributed" wrapText="1"/>
    </xf>
    <xf numFmtId="0" fontId="94" fillId="0" borderId="44" xfId="0" applyFont="1" applyBorder="1" applyAlignment="1">
      <alignment horizontal="center" vertical="distributed" wrapText="1"/>
    </xf>
    <xf numFmtId="44" fontId="94" fillId="0" borderId="37" xfId="6" applyFont="1" applyBorder="1" applyAlignment="1">
      <alignment horizontal="center"/>
    </xf>
    <xf numFmtId="44" fontId="94" fillId="0" borderId="36" xfId="6" applyFont="1" applyBorder="1" applyAlignment="1">
      <alignment horizontal="center"/>
    </xf>
    <xf numFmtId="44" fontId="94" fillId="0" borderId="44" xfId="6" applyFont="1" applyBorder="1" applyAlignment="1">
      <alignment horizontal="center"/>
    </xf>
    <xf numFmtId="0" fontId="95" fillId="0" borderId="39" xfId="0" applyFont="1" applyBorder="1" applyAlignment="1">
      <alignment horizontal="center"/>
    </xf>
    <xf numFmtId="0" fontId="95" fillId="0" borderId="41" xfId="0" applyFont="1" applyBorder="1" applyAlignment="1">
      <alignment horizontal="center"/>
    </xf>
    <xf numFmtId="0" fontId="95" fillId="0" borderId="45" xfId="0" applyFont="1" applyBorder="1" applyAlignment="1">
      <alignment horizontal="center"/>
    </xf>
    <xf numFmtId="0" fontId="94" fillId="0" borderId="39" xfId="0" applyFont="1" applyBorder="1" applyAlignment="1">
      <alignment horizontal="center"/>
    </xf>
    <xf numFmtId="0" fontId="94" fillId="0" borderId="41" xfId="0" applyFont="1" applyBorder="1" applyAlignment="1">
      <alignment horizontal="center"/>
    </xf>
    <xf numFmtId="0" fontId="94" fillId="0" borderId="45" xfId="0" applyFont="1" applyBorder="1" applyAlignment="1">
      <alignment horizontal="center"/>
    </xf>
    <xf numFmtId="0" fontId="95" fillId="0" borderId="39" xfId="0" applyFont="1" applyBorder="1" applyAlignment="1">
      <alignment horizontal="justify" vertical="distributed" wrapText="1"/>
    </xf>
    <xf numFmtId="0" fontId="95" fillId="0" borderId="41" xfId="0" applyFont="1" applyBorder="1" applyAlignment="1">
      <alignment horizontal="justify" vertical="distributed" wrapText="1"/>
    </xf>
    <xf numFmtId="0" fontId="95" fillId="0" borderId="45" xfId="0" applyFont="1" applyBorder="1" applyAlignment="1">
      <alignment horizontal="justify" vertical="distributed" wrapText="1"/>
    </xf>
    <xf numFmtId="0" fontId="73" fillId="0" borderId="37" xfId="0" applyFont="1" applyBorder="1" applyAlignment="1">
      <alignment horizontal="center"/>
    </xf>
    <xf numFmtId="0" fontId="73" fillId="0" borderId="36" xfId="0" applyFont="1" applyBorder="1" applyAlignment="1">
      <alignment horizontal="center"/>
    </xf>
    <xf numFmtId="0" fontId="54" fillId="0" borderId="0" xfId="0" applyFont="1" applyAlignment="1">
      <alignment horizontal="center"/>
    </xf>
    <xf numFmtId="3" fontId="3" fillId="0" borderId="37" xfId="0" applyNumberFormat="1" applyFont="1" applyBorder="1" applyAlignment="1">
      <alignment horizontal="center"/>
    </xf>
    <xf numFmtId="3" fontId="3" fillId="0" borderId="36" xfId="0" applyNumberFormat="1" applyFont="1" applyBorder="1" applyAlignment="1">
      <alignment horizontal="center"/>
    </xf>
    <xf numFmtId="3" fontId="3" fillId="0" borderId="44" xfId="0" applyNumberFormat="1" applyFont="1" applyBorder="1" applyAlignment="1">
      <alignment horizontal="center"/>
    </xf>
    <xf numFmtId="0" fontId="54" fillId="0" borderId="37" xfId="0" applyFont="1" applyBorder="1" applyAlignment="1">
      <alignment horizontal="center" vertical="distributed" wrapText="1"/>
    </xf>
    <xf numFmtId="0" fontId="54" fillId="0" borderId="36" xfId="0" applyFont="1" applyBorder="1" applyAlignment="1">
      <alignment horizontal="center" vertical="distributed" wrapText="1"/>
    </xf>
    <xf numFmtId="0" fontId="0" fillId="0" borderId="42" xfId="0" applyBorder="1" applyAlignment="1">
      <alignment horizontal="center"/>
    </xf>
    <xf numFmtId="0" fontId="0" fillId="0" borderId="67" xfId="0" applyBorder="1" applyAlignment="1">
      <alignment horizontal="center"/>
    </xf>
    <xf numFmtId="0" fontId="0" fillId="0" borderId="43" xfId="0" applyBorder="1" applyAlignment="1">
      <alignment horizontal="center"/>
    </xf>
    <xf numFmtId="0" fontId="69" fillId="10" borderId="37" xfId="0" applyFont="1" applyFill="1" applyBorder="1" applyAlignment="1">
      <alignment horizontal="center"/>
    </xf>
    <xf numFmtId="0" fontId="69" fillId="10" borderId="36" xfId="0" applyFont="1" applyFill="1" applyBorder="1" applyAlignment="1">
      <alignment horizontal="center"/>
    </xf>
    <xf numFmtId="0" fontId="69" fillId="10" borderId="44" xfId="0" applyFont="1" applyFill="1" applyBorder="1" applyAlignment="1">
      <alignment horizontal="center"/>
    </xf>
    <xf numFmtId="0" fontId="68" fillId="0" borderId="37" xfId="0" applyFont="1" applyBorder="1" applyAlignment="1">
      <alignment horizontal="center"/>
    </xf>
    <xf numFmtId="0" fontId="68" fillId="0" borderId="36" xfId="0" applyFont="1" applyBorder="1" applyAlignment="1">
      <alignment horizontal="center"/>
    </xf>
    <xf numFmtId="0" fontId="68" fillId="0" borderId="44" xfId="0" applyFont="1" applyBorder="1" applyAlignment="1">
      <alignment horizontal="center"/>
    </xf>
    <xf numFmtId="0" fontId="8" fillId="0" borderId="0" xfId="5" applyFont="1" applyBorder="1" applyAlignment="1">
      <alignment horizontal="center" vertical="center"/>
    </xf>
    <xf numFmtId="0" fontId="6" fillId="0" borderId="0" xfId="5" applyFont="1" applyBorder="1" applyAlignment="1">
      <alignment horizontal="right" vertical="center"/>
    </xf>
    <xf numFmtId="0" fontId="0" fillId="0" borderId="37" xfId="0" applyBorder="1" applyAlignment="1">
      <alignment horizontal="justify" vertical="distributed" wrapText="1"/>
    </xf>
    <xf numFmtId="0" fontId="0" fillId="0" borderId="36" xfId="0" applyBorder="1" applyAlignment="1">
      <alignment horizontal="justify" vertical="distributed" wrapText="1"/>
    </xf>
    <xf numFmtId="0" fontId="0" fillId="0" borderId="44" xfId="0" applyBorder="1" applyAlignment="1">
      <alignment horizontal="justify" vertical="distributed" wrapText="1"/>
    </xf>
    <xf numFmtId="0" fontId="4" fillId="0" borderId="39" xfId="0" applyFont="1" applyBorder="1" applyAlignment="1">
      <alignment horizontal="center"/>
    </xf>
    <xf numFmtId="0" fontId="54" fillId="0" borderId="39" xfId="0" applyFont="1" applyBorder="1" applyAlignment="1">
      <alignment horizontal="center" wrapText="1"/>
    </xf>
    <xf numFmtId="0" fontId="54" fillId="0" borderId="41" xfId="0" applyFont="1" applyBorder="1" applyAlignment="1">
      <alignment horizontal="center" wrapText="1"/>
    </xf>
    <xf numFmtId="0" fontId="54" fillId="0" borderId="45" xfId="0" applyFont="1" applyBorder="1" applyAlignment="1">
      <alignment horizontal="center" wrapText="1"/>
    </xf>
    <xf numFmtId="0" fontId="4" fillId="0" borderId="41" xfId="0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72" fillId="0" borderId="64" xfId="0" applyFont="1" applyBorder="1" applyAlignment="1">
      <alignment horizontal="center"/>
    </xf>
    <xf numFmtId="0" fontId="72" fillId="0" borderId="0" xfId="0" applyFont="1" applyAlignment="1">
      <alignment horizontal="center"/>
    </xf>
    <xf numFmtId="0" fontId="72" fillId="0" borderId="67" xfId="0" applyFont="1" applyBorder="1" applyAlignment="1">
      <alignment horizontal="center"/>
    </xf>
    <xf numFmtId="0" fontId="6" fillId="0" borderId="2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9" fillId="0" borderId="0" xfId="0" applyFont="1" applyAlignment="1">
      <alignment horizontal="center"/>
    </xf>
    <xf numFmtId="0" fontId="16" fillId="0" borderId="16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0" fontId="87" fillId="0" borderId="16" xfId="0" quotePrefix="1" applyFont="1" applyBorder="1" applyAlignment="1">
      <alignment horizontal="center" vertical="center"/>
    </xf>
    <xf numFmtId="0" fontId="69" fillId="0" borderId="17" xfId="0" applyFont="1" applyBorder="1" applyAlignment="1">
      <alignment horizontal="center" vertical="center"/>
    </xf>
    <xf numFmtId="0" fontId="87" fillId="0" borderId="16" xfId="0" applyFont="1" applyBorder="1" applyAlignment="1">
      <alignment horizontal="right" vertical="center" wrapText="1"/>
    </xf>
    <xf numFmtId="0" fontId="87" fillId="0" borderId="17" xfId="0" applyFont="1" applyBorder="1" applyAlignment="1">
      <alignment horizontal="right" vertical="center" wrapText="1"/>
    </xf>
    <xf numFmtId="0" fontId="87" fillId="0" borderId="14" xfId="0" applyFont="1" applyBorder="1" applyAlignment="1">
      <alignment horizontal="right" vertical="center" wrapText="1"/>
    </xf>
    <xf numFmtId="0" fontId="87" fillId="0" borderId="16" xfId="0" applyFont="1" applyBorder="1" applyAlignment="1">
      <alignment horizontal="left" vertical="center" wrapText="1"/>
    </xf>
    <xf numFmtId="0" fontId="87" fillId="0" borderId="17" xfId="0" applyFont="1" applyBorder="1" applyAlignment="1">
      <alignment horizontal="left" vertical="center" wrapText="1"/>
    </xf>
    <xf numFmtId="0" fontId="87" fillId="0" borderId="14" xfId="0" applyFont="1" applyBorder="1" applyAlignment="1">
      <alignment horizontal="left" vertical="center" wrapText="1"/>
    </xf>
    <xf numFmtId="0" fontId="87" fillId="0" borderId="16" xfId="0" applyFont="1" applyBorder="1" applyAlignment="1">
      <alignment horizontal="left" vertical="center"/>
    </xf>
    <xf numFmtId="0" fontId="87" fillId="0" borderId="17" xfId="0" applyFont="1" applyBorder="1" applyAlignment="1">
      <alignment horizontal="left" vertical="center"/>
    </xf>
    <xf numFmtId="0" fontId="87" fillId="0" borderId="14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6" xfId="0" quotePrefix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7" fillId="0" borderId="48" xfId="0" applyFont="1" applyBorder="1" applyAlignment="1">
      <alignment horizontal="center" vertical="center"/>
    </xf>
    <xf numFmtId="0" fontId="87" fillId="0" borderId="49" xfId="0" applyFont="1" applyBorder="1" applyAlignment="1">
      <alignment horizontal="center" vertical="center"/>
    </xf>
    <xf numFmtId="0" fontId="87" fillId="0" borderId="18" xfId="0" applyFont="1" applyBorder="1" applyAlignment="1">
      <alignment horizontal="center" vertical="center"/>
    </xf>
    <xf numFmtId="0" fontId="87" fillId="0" borderId="47" xfId="0" applyFont="1" applyBorder="1" applyAlignment="1">
      <alignment horizontal="center" vertical="center"/>
    </xf>
    <xf numFmtId="0" fontId="87" fillId="0" borderId="50" xfId="0" applyFont="1" applyBorder="1" applyAlignment="1">
      <alignment horizontal="center" vertical="center"/>
    </xf>
    <xf numFmtId="0" fontId="87" fillId="0" borderId="12" xfId="0" applyFont="1" applyBorder="1" applyAlignment="1">
      <alignment horizontal="center" vertical="center"/>
    </xf>
    <xf numFmtId="0" fontId="87" fillId="0" borderId="48" xfId="0" applyFont="1" applyBorder="1" applyAlignment="1">
      <alignment horizontal="center" vertical="center" wrapText="1"/>
    </xf>
    <xf numFmtId="0" fontId="87" fillId="0" borderId="49" xfId="0" applyFont="1" applyBorder="1" applyAlignment="1">
      <alignment horizontal="center" vertical="center" wrapText="1"/>
    </xf>
    <xf numFmtId="0" fontId="87" fillId="0" borderId="47" xfId="0" applyFont="1" applyBorder="1" applyAlignment="1">
      <alignment horizontal="center" vertical="center" wrapText="1"/>
    </xf>
    <xf numFmtId="0" fontId="87" fillId="0" borderId="50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distributed" wrapText="1"/>
    </xf>
    <xf numFmtId="0" fontId="16" fillId="0" borderId="36" xfId="0" applyFont="1" applyBorder="1" applyAlignment="1">
      <alignment horizontal="center" vertical="distributed" wrapText="1"/>
    </xf>
    <xf numFmtId="0" fontId="16" fillId="0" borderId="44" xfId="0" applyFont="1" applyBorder="1" applyAlignment="1">
      <alignment horizontal="center" vertical="distributed" wrapText="1"/>
    </xf>
    <xf numFmtId="0" fontId="58" fillId="0" borderId="37" xfId="0" quotePrefix="1" applyFont="1" applyBorder="1" applyAlignment="1">
      <alignment horizontal="center" vertical="center"/>
    </xf>
    <xf numFmtId="0" fontId="58" fillId="0" borderId="36" xfId="0" quotePrefix="1" applyFont="1" applyBorder="1" applyAlignment="1">
      <alignment horizontal="center" vertical="center"/>
    </xf>
    <xf numFmtId="0" fontId="58" fillId="0" borderId="69" xfId="0" quotePrefix="1" applyFont="1" applyBorder="1" applyAlignment="1">
      <alignment horizontal="center" vertical="center"/>
    </xf>
    <xf numFmtId="49" fontId="54" fillId="0" borderId="54" xfId="0" applyNumberFormat="1" applyFont="1" applyBorder="1" applyAlignment="1">
      <alignment horizontal="center"/>
    </xf>
    <xf numFmtId="49" fontId="54" fillId="0" borderId="44" xfId="0" applyNumberFormat="1" applyFont="1" applyBorder="1" applyAlignment="1">
      <alignment horizontal="center"/>
    </xf>
    <xf numFmtId="0" fontId="75" fillId="0" borderId="76" xfId="0" applyFont="1" applyBorder="1" applyAlignment="1">
      <alignment horizontal="left" vertical="center" wrapText="1"/>
    </xf>
    <xf numFmtId="0" fontId="75" fillId="0" borderId="62" xfId="0" applyFont="1" applyBorder="1" applyAlignment="1">
      <alignment horizontal="left" vertical="center" wrapText="1"/>
    </xf>
    <xf numFmtId="0" fontId="75" fillId="0" borderId="77" xfId="0" applyFont="1" applyBorder="1" applyAlignment="1">
      <alignment horizontal="left" vertical="center" wrapText="1"/>
    </xf>
    <xf numFmtId="0" fontId="75" fillId="0" borderId="76" xfId="0" quotePrefix="1" applyFont="1" applyBorder="1" applyAlignment="1">
      <alignment horizontal="center" vertical="center"/>
    </xf>
    <xf numFmtId="0" fontId="75" fillId="0" borderId="62" xfId="0" quotePrefix="1" applyFont="1" applyBorder="1" applyAlignment="1">
      <alignment horizontal="center" vertical="center"/>
    </xf>
    <xf numFmtId="0" fontId="75" fillId="0" borderId="78" xfId="0" quotePrefix="1" applyFont="1" applyBorder="1" applyAlignment="1">
      <alignment horizontal="center" vertical="center"/>
    </xf>
    <xf numFmtId="49" fontId="4" fillId="0" borderId="25" xfId="0" applyNumberFormat="1" applyFont="1" applyBorder="1" applyAlignment="1">
      <alignment horizontal="center"/>
    </xf>
    <xf numFmtId="49" fontId="4" fillId="0" borderId="77" xfId="0" applyNumberFormat="1" applyFont="1" applyBorder="1" applyAlignment="1">
      <alignment horizontal="center"/>
    </xf>
    <xf numFmtId="0" fontId="58" fillId="0" borderId="37" xfId="0" applyFont="1" applyBorder="1" applyAlignment="1">
      <alignment horizontal="left" vertical="center" wrapText="1"/>
    </xf>
    <xf numFmtId="0" fontId="58" fillId="0" borderId="36" xfId="0" applyFont="1" applyBorder="1" applyAlignment="1">
      <alignment horizontal="left" vertical="center" wrapText="1"/>
    </xf>
    <xf numFmtId="0" fontId="58" fillId="0" borderId="44" xfId="0" applyFont="1" applyBorder="1" applyAlignment="1">
      <alignment horizontal="left" vertical="center" wrapText="1"/>
    </xf>
    <xf numFmtId="0" fontId="38" fillId="0" borderId="46" xfId="0" applyFont="1" applyBorder="1" applyAlignment="1">
      <alignment horizontal="left" vertical="center" wrapText="1"/>
    </xf>
    <xf numFmtId="0" fontId="38" fillId="0" borderId="17" xfId="0" applyFont="1" applyBorder="1" applyAlignment="1">
      <alignment horizontal="left" vertical="center" wrapText="1"/>
    </xf>
    <xf numFmtId="0" fontId="38" fillId="0" borderId="15" xfId="0" applyFont="1" applyBorder="1" applyAlignment="1">
      <alignment horizontal="left" vertical="center" wrapText="1"/>
    </xf>
    <xf numFmtId="0" fontId="38" fillId="0" borderId="46" xfId="0" quotePrefix="1" applyFont="1" applyBorder="1" applyAlignment="1">
      <alignment horizontal="center" vertical="center"/>
    </xf>
    <xf numFmtId="0" fontId="38" fillId="0" borderId="17" xfId="0" quotePrefix="1" applyFont="1" applyBorder="1" applyAlignment="1">
      <alignment horizontal="center" vertical="center"/>
    </xf>
    <xf numFmtId="0" fontId="38" fillId="0" borderId="14" xfId="0" quotePrefix="1" applyFont="1" applyBorder="1" applyAlignment="1">
      <alignment horizontal="center" vertical="center"/>
    </xf>
    <xf numFmtId="49" fontId="73" fillId="0" borderId="16" xfId="0" applyNumberFormat="1" applyFont="1" applyBorder="1" applyAlignment="1">
      <alignment horizontal="center"/>
    </xf>
    <xf numFmtId="49" fontId="73" fillId="0" borderId="15" xfId="0" applyNumberFormat="1" applyFont="1" applyBorder="1" applyAlignment="1">
      <alignment horizontal="center"/>
    </xf>
    <xf numFmtId="0" fontId="75" fillId="0" borderId="46" xfId="0" applyFont="1" applyBorder="1" applyAlignment="1">
      <alignment horizontal="left" vertical="center" wrapText="1"/>
    </xf>
    <xf numFmtId="0" fontId="75" fillId="0" borderId="17" xfId="0" applyFont="1" applyBorder="1" applyAlignment="1">
      <alignment horizontal="left" vertical="center" wrapText="1"/>
    </xf>
    <xf numFmtId="0" fontId="75" fillId="0" borderId="15" xfId="0" applyFont="1" applyBorder="1" applyAlignment="1">
      <alignment horizontal="left" vertical="center" wrapText="1"/>
    </xf>
    <xf numFmtId="0" fontId="75" fillId="0" borderId="46" xfId="0" quotePrefix="1" applyFont="1" applyBorder="1" applyAlignment="1">
      <alignment horizontal="center" vertical="center"/>
    </xf>
    <xf numFmtId="0" fontId="75" fillId="0" borderId="17" xfId="0" quotePrefix="1" applyFont="1" applyBorder="1" applyAlignment="1">
      <alignment horizontal="center" vertical="center"/>
    </xf>
    <xf numFmtId="0" fontId="75" fillId="0" borderId="14" xfId="0" quotePrefix="1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/>
    </xf>
    <xf numFmtId="49" fontId="4" fillId="0" borderId="15" xfId="0" applyNumberFormat="1" applyFont="1" applyBorder="1" applyAlignment="1">
      <alignment horizontal="center"/>
    </xf>
    <xf numFmtId="49" fontId="0" fillId="0" borderId="16" xfId="0" applyNumberFormat="1" applyBorder="1" applyAlignment="1">
      <alignment horizontal="center"/>
    </xf>
    <xf numFmtId="49" fontId="0" fillId="0" borderId="15" xfId="0" applyNumberFormat="1" applyBorder="1" applyAlignment="1">
      <alignment horizontal="center"/>
    </xf>
    <xf numFmtId="0" fontId="75" fillId="0" borderId="46" xfId="0" applyFont="1" applyBorder="1" applyAlignment="1">
      <alignment horizontal="left" vertical="center"/>
    </xf>
    <xf numFmtId="0" fontId="75" fillId="0" borderId="17" xfId="0" applyFont="1" applyBorder="1" applyAlignment="1">
      <alignment horizontal="left" vertical="center"/>
    </xf>
    <xf numFmtId="0" fontId="75" fillId="0" borderId="15" xfId="0" applyFont="1" applyBorder="1" applyAlignment="1">
      <alignment horizontal="left" vertical="center"/>
    </xf>
    <xf numFmtId="0" fontId="98" fillId="0" borderId="40" xfId="0" applyFont="1" applyBorder="1" applyAlignment="1">
      <alignment horizontal="center" vertical="distributed" wrapText="1"/>
    </xf>
    <xf numFmtId="0" fontId="98" fillId="0" borderId="38" xfId="0" applyFont="1" applyBorder="1" applyAlignment="1">
      <alignment horizontal="center" vertical="distributed" wrapText="1"/>
    </xf>
    <xf numFmtId="167" fontId="72" fillId="0" borderId="0" xfId="0" applyNumberFormat="1" applyFont="1" applyAlignment="1">
      <alignment horizontal="center"/>
    </xf>
    <xf numFmtId="0" fontId="76" fillId="0" borderId="39" xfId="0" applyFont="1" applyBorder="1" applyAlignment="1">
      <alignment horizontal="center" vertical="center"/>
    </xf>
    <xf numFmtId="0" fontId="76" fillId="0" borderId="41" xfId="0" applyFont="1" applyBorder="1" applyAlignment="1">
      <alignment horizontal="center" vertical="center"/>
    </xf>
    <xf numFmtId="0" fontId="76" fillId="0" borderId="45" xfId="0" applyFont="1" applyBorder="1" applyAlignment="1">
      <alignment horizontal="center" vertical="center"/>
    </xf>
    <xf numFmtId="0" fontId="76" fillId="0" borderId="66" xfId="0" applyFont="1" applyBorder="1" applyAlignment="1">
      <alignment horizontal="center" vertical="center"/>
    </xf>
    <xf numFmtId="0" fontId="76" fillId="0" borderId="50" xfId="0" applyFont="1" applyBorder="1" applyAlignment="1">
      <alignment horizontal="center" vertical="center"/>
    </xf>
    <xf numFmtId="0" fontId="76" fillId="0" borderId="72" xfId="0" applyFont="1" applyBorder="1" applyAlignment="1">
      <alignment horizontal="center" vertical="center"/>
    </xf>
    <xf numFmtId="0" fontId="76" fillId="0" borderId="39" xfId="0" applyFont="1" applyBorder="1" applyAlignment="1">
      <alignment horizontal="center" vertical="center" wrapText="1"/>
    </xf>
    <xf numFmtId="0" fontId="76" fillId="0" borderId="41" xfId="0" applyFont="1" applyBorder="1" applyAlignment="1">
      <alignment horizontal="center" vertical="center" wrapText="1"/>
    </xf>
    <xf numFmtId="0" fontId="76" fillId="0" borderId="31" xfId="0" applyFont="1" applyBorder="1" applyAlignment="1">
      <alignment horizontal="center" vertical="center" wrapText="1"/>
    </xf>
    <xf numFmtId="0" fontId="76" fillId="0" borderId="66" xfId="0" applyFont="1" applyBorder="1" applyAlignment="1">
      <alignment horizontal="center" vertical="center" wrapText="1"/>
    </xf>
    <xf numFmtId="0" fontId="76" fillId="0" borderId="50" xfId="0" applyFont="1" applyBorder="1" applyAlignment="1">
      <alignment horizontal="center" vertical="center" wrapText="1"/>
    </xf>
    <xf numFmtId="0" fontId="76" fillId="0" borderId="12" xfId="0" applyFont="1" applyBorder="1" applyAlignment="1">
      <alignment horizontal="center" vertical="center" wrapText="1"/>
    </xf>
    <xf numFmtId="0" fontId="54" fillId="0" borderId="70" xfId="0" applyFont="1" applyBorder="1" applyAlignment="1">
      <alignment horizontal="center" wrapText="1"/>
    </xf>
    <xf numFmtId="0" fontId="54" fillId="0" borderId="10" xfId="0" applyFont="1" applyBorder="1" applyAlignment="1">
      <alignment horizontal="center" wrapText="1"/>
    </xf>
    <xf numFmtId="0" fontId="72" fillId="0" borderId="19" xfId="0" applyFont="1" applyBorder="1" applyAlignment="1">
      <alignment horizontal="center" wrapText="1"/>
    </xf>
    <xf numFmtId="0" fontId="72" fillId="0" borderId="33" xfId="0" applyFont="1" applyBorder="1" applyAlignment="1">
      <alignment horizontal="center" wrapText="1"/>
    </xf>
    <xf numFmtId="3" fontId="72" fillId="0" borderId="19" xfId="0" applyNumberFormat="1" applyFont="1" applyBorder="1" applyAlignment="1">
      <alignment horizontal="center" wrapText="1"/>
    </xf>
    <xf numFmtId="3" fontId="72" fillId="0" borderId="33" xfId="0" applyNumberFormat="1" applyFont="1" applyBorder="1" applyAlignment="1">
      <alignment horizontal="center" wrapText="1"/>
    </xf>
    <xf numFmtId="0" fontId="72" fillId="0" borderId="71" xfId="0" applyFont="1" applyBorder="1" applyAlignment="1">
      <alignment horizontal="center" wrapText="1"/>
    </xf>
    <xf numFmtId="0" fontId="72" fillId="0" borderId="13" xfId="0" applyFont="1" applyBorder="1" applyAlignment="1">
      <alignment horizontal="center" wrapText="1"/>
    </xf>
    <xf numFmtId="0" fontId="72" fillId="0" borderId="40" xfId="0" applyFont="1" applyBorder="1" applyAlignment="1">
      <alignment horizontal="center" vertical="distributed" wrapText="1"/>
    </xf>
    <xf numFmtId="0" fontId="72" fillId="0" borderId="38" xfId="0" applyFont="1" applyBorder="1" applyAlignment="1">
      <alignment horizontal="center" vertical="distributed" wrapText="1"/>
    </xf>
    <xf numFmtId="0" fontId="54" fillId="0" borderId="16" xfId="0" applyFont="1" applyBorder="1" applyAlignment="1">
      <alignment horizontal="center"/>
    </xf>
    <xf numFmtId="0" fontId="54" fillId="0" borderId="15" xfId="0" applyFont="1" applyBorder="1" applyAlignment="1">
      <alignment horizontal="center"/>
    </xf>
    <xf numFmtId="0" fontId="57" fillId="0" borderId="0" xfId="0" applyFont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96" fillId="0" borderId="39" xfId="0" applyFont="1" applyBorder="1" applyAlignment="1">
      <alignment horizontal="center" vertical="center"/>
    </xf>
    <xf numFmtId="0" fontId="96" fillId="0" borderId="41" xfId="0" applyFont="1" applyBorder="1" applyAlignment="1">
      <alignment horizontal="center" vertical="center"/>
    </xf>
    <xf numFmtId="0" fontId="96" fillId="0" borderId="45" xfId="0" applyFont="1" applyBorder="1" applyAlignment="1">
      <alignment horizontal="center" vertical="center"/>
    </xf>
    <xf numFmtId="0" fontId="96" fillId="0" borderId="66" xfId="0" applyFont="1" applyBorder="1" applyAlignment="1">
      <alignment horizontal="center" vertical="center"/>
    </xf>
    <xf numFmtId="0" fontId="96" fillId="0" borderId="50" xfId="0" applyFont="1" applyBorder="1" applyAlignment="1">
      <alignment horizontal="center" vertical="center"/>
    </xf>
    <xf numFmtId="0" fontId="96" fillId="0" borderId="72" xfId="0" applyFont="1" applyBorder="1" applyAlignment="1">
      <alignment horizontal="center" vertical="center"/>
    </xf>
    <xf numFmtId="0" fontId="99" fillId="0" borderId="68" xfId="0" applyFont="1" applyBorder="1" applyAlignment="1">
      <alignment horizontal="left" vertical="center" wrapText="1"/>
    </xf>
    <xf numFmtId="0" fontId="99" fillId="0" borderId="49" xfId="0" applyFont="1" applyBorder="1" applyAlignment="1">
      <alignment horizontal="left" vertical="center" wrapText="1"/>
    </xf>
    <xf numFmtId="0" fontId="99" fillId="0" borderId="73" xfId="0" applyFont="1" applyBorder="1" applyAlignment="1">
      <alignment horizontal="left" vertical="center" wrapText="1"/>
    </xf>
    <xf numFmtId="0" fontId="96" fillId="0" borderId="41" xfId="0" applyFont="1" applyBorder="1" applyAlignment="1">
      <alignment horizontal="center" vertical="center" wrapText="1"/>
    </xf>
    <xf numFmtId="0" fontId="96" fillId="0" borderId="31" xfId="0" applyFont="1" applyBorder="1" applyAlignment="1">
      <alignment horizontal="center" vertical="center" wrapText="1"/>
    </xf>
    <xf numFmtId="0" fontId="96" fillId="0" borderId="50" xfId="0" applyFont="1" applyBorder="1" applyAlignment="1">
      <alignment horizontal="center" vertical="center" wrapText="1"/>
    </xf>
    <xf numFmtId="0" fontId="96" fillId="0" borderId="12" xfId="0" applyFont="1" applyBorder="1" applyAlignment="1">
      <alignment horizontal="center" vertical="center" wrapText="1"/>
    </xf>
    <xf numFmtId="0" fontId="97" fillId="0" borderId="70" xfId="0" applyFont="1" applyBorder="1" applyAlignment="1">
      <alignment horizontal="center" wrapText="1"/>
    </xf>
    <xf numFmtId="0" fontId="97" fillId="0" borderId="10" xfId="0" applyFont="1" applyBorder="1" applyAlignment="1">
      <alignment horizontal="center" wrapText="1"/>
    </xf>
    <xf numFmtId="0" fontId="98" fillId="0" borderId="19" xfId="0" applyFont="1" applyBorder="1" applyAlignment="1">
      <alignment horizontal="center" wrapText="1"/>
    </xf>
    <xf numFmtId="0" fontId="98" fillId="0" borderId="33" xfId="0" applyFont="1" applyBorder="1" applyAlignment="1">
      <alignment horizontal="center" wrapText="1"/>
    </xf>
    <xf numFmtId="3" fontId="98" fillId="0" borderId="19" xfId="0" applyNumberFormat="1" applyFont="1" applyBorder="1" applyAlignment="1">
      <alignment horizontal="center" wrapText="1"/>
    </xf>
    <xf numFmtId="3" fontId="98" fillId="0" borderId="11" xfId="0" applyNumberFormat="1" applyFont="1" applyBorder="1" applyAlignment="1">
      <alignment horizontal="center" wrapText="1"/>
    </xf>
    <xf numFmtId="0" fontId="97" fillId="0" borderId="16" xfId="0" applyFont="1" applyBorder="1" applyAlignment="1">
      <alignment horizontal="center"/>
    </xf>
    <xf numFmtId="0" fontId="97" fillId="0" borderId="15" xfId="0" applyFont="1" applyBorder="1" applyAlignment="1">
      <alignment horizontal="center"/>
    </xf>
    <xf numFmtId="0" fontId="99" fillId="0" borderId="46" xfId="0" applyFont="1" applyBorder="1" applyAlignment="1">
      <alignment horizontal="left" vertical="center"/>
    </xf>
    <xf numFmtId="0" fontId="99" fillId="0" borderId="17" xfId="0" applyFont="1" applyBorder="1" applyAlignment="1">
      <alignment horizontal="left" vertical="center"/>
    </xf>
    <xf numFmtId="0" fontId="99" fillId="0" borderId="15" xfId="0" applyFont="1" applyBorder="1" applyAlignment="1">
      <alignment horizontal="left" vertical="center"/>
    </xf>
    <xf numFmtId="0" fontId="99" fillId="0" borderId="17" xfId="0" quotePrefix="1" applyFont="1" applyBorder="1" applyAlignment="1">
      <alignment horizontal="center" vertical="center"/>
    </xf>
    <xf numFmtId="0" fontId="99" fillId="0" borderId="14" xfId="0" quotePrefix="1" applyFont="1" applyBorder="1" applyAlignment="1">
      <alignment horizontal="center" vertical="center"/>
    </xf>
    <xf numFmtId="49" fontId="60" fillId="0" borderId="16" xfId="0" applyNumberFormat="1" applyFont="1" applyBorder="1" applyAlignment="1">
      <alignment horizontal="center"/>
    </xf>
    <xf numFmtId="49" fontId="60" fillId="0" borderId="15" xfId="0" applyNumberFormat="1" applyFont="1" applyBorder="1" applyAlignment="1">
      <alignment horizontal="center"/>
    </xf>
    <xf numFmtId="0" fontId="99" fillId="0" borderId="46" xfId="0" applyFont="1" applyBorder="1" applyAlignment="1">
      <alignment horizontal="left" vertical="center" wrapText="1"/>
    </xf>
    <xf numFmtId="0" fontId="99" fillId="0" borderId="17" xfId="0" applyFont="1" applyBorder="1" applyAlignment="1">
      <alignment horizontal="left" vertical="center" wrapText="1"/>
    </xf>
    <xf numFmtId="0" fontId="99" fillId="0" borderId="15" xfId="0" applyFont="1" applyBorder="1" applyAlignment="1">
      <alignment horizontal="left" vertical="center" wrapText="1"/>
    </xf>
    <xf numFmtId="0" fontId="96" fillId="0" borderId="27" xfId="0" applyFont="1" applyBorder="1" applyAlignment="1">
      <alignment horizontal="left" vertical="center" wrapText="1"/>
    </xf>
    <xf numFmtId="0" fontId="96" fillId="0" borderId="28" xfId="0" applyFont="1" applyBorder="1" applyAlignment="1">
      <alignment horizontal="left" vertical="center" wrapText="1"/>
    </xf>
    <xf numFmtId="0" fontId="96" fillId="0" borderId="29" xfId="0" applyFont="1" applyBorder="1" applyAlignment="1">
      <alignment horizontal="left" vertical="center" wrapText="1"/>
    </xf>
    <xf numFmtId="0" fontId="96" fillId="0" borderId="36" xfId="0" quotePrefix="1" applyFont="1" applyBorder="1" applyAlignment="1">
      <alignment horizontal="center" vertical="center"/>
    </xf>
    <xf numFmtId="0" fontId="96" fillId="0" borderId="69" xfId="0" quotePrefix="1" applyFont="1" applyBorder="1" applyAlignment="1">
      <alignment horizontal="center" vertical="center"/>
    </xf>
    <xf numFmtId="49" fontId="97" fillId="0" borderId="54" xfId="0" applyNumberFormat="1" applyFont="1" applyBorder="1" applyAlignment="1">
      <alignment horizontal="center"/>
    </xf>
    <xf numFmtId="49" fontId="97" fillId="0" borderId="44" xfId="0" applyNumberFormat="1" applyFont="1" applyBorder="1" applyAlignment="1">
      <alignment horizontal="center"/>
    </xf>
    <xf numFmtId="0" fontId="98" fillId="0" borderId="42" xfId="0" applyFont="1" applyBorder="1" applyAlignment="1">
      <alignment horizontal="center" vertical="distributed" wrapText="1"/>
    </xf>
    <xf numFmtId="0" fontId="98" fillId="0" borderId="67" xfId="0" applyFont="1" applyBorder="1" applyAlignment="1">
      <alignment horizontal="center" vertical="distributed" wrapText="1"/>
    </xf>
    <xf numFmtId="0" fontId="98" fillId="0" borderId="43" xfId="0" applyFont="1" applyBorder="1" applyAlignment="1">
      <alignment horizontal="center" vertical="distributed" wrapText="1"/>
    </xf>
    <xf numFmtId="0" fontId="101" fillId="0" borderId="46" xfId="0" applyFont="1" applyBorder="1" applyAlignment="1">
      <alignment horizontal="left" vertical="center" wrapText="1"/>
    </xf>
    <xf numFmtId="0" fontId="101" fillId="0" borderId="17" xfId="0" applyFont="1" applyBorder="1" applyAlignment="1">
      <alignment horizontal="left" vertical="center" wrapText="1"/>
    </xf>
    <xf numFmtId="0" fontId="101" fillId="0" borderId="15" xfId="0" applyFont="1" applyBorder="1" applyAlignment="1">
      <alignment horizontal="left" vertical="center" wrapText="1"/>
    </xf>
    <xf numFmtId="0" fontId="101" fillId="0" borderId="17" xfId="0" quotePrefix="1" applyFont="1" applyBorder="1" applyAlignment="1">
      <alignment horizontal="center" vertical="center"/>
    </xf>
    <xf numFmtId="0" fontId="101" fillId="0" borderId="14" xfId="0" quotePrefix="1" applyFont="1" applyBorder="1" applyAlignment="1">
      <alignment horizontal="center" vertical="center"/>
    </xf>
    <xf numFmtId="49" fontId="102" fillId="0" borderId="16" xfId="0" applyNumberFormat="1" applyFont="1" applyBorder="1" applyAlignment="1">
      <alignment horizontal="center"/>
    </xf>
    <xf numFmtId="49" fontId="102" fillId="0" borderId="15" xfId="0" applyNumberFormat="1" applyFont="1" applyBorder="1" applyAlignment="1">
      <alignment horizontal="center"/>
    </xf>
    <xf numFmtId="49" fontId="100" fillId="0" borderId="16" xfId="0" applyNumberFormat="1" applyFont="1" applyBorder="1" applyAlignment="1">
      <alignment horizontal="center"/>
    </xf>
    <xf numFmtId="49" fontId="100" fillId="0" borderId="15" xfId="0" applyNumberFormat="1" applyFont="1" applyBorder="1" applyAlignment="1">
      <alignment horizontal="center"/>
    </xf>
    <xf numFmtId="0" fontId="4" fillId="0" borderId="67" xfId="0" applyFont="1" applyBorder="1" applyAlignment="1">
      <alignment horizontal="center"/>
    </xf>
    <xf numFmtId="0" fontId="96" fillId="0" borderId="67" xfId="0" quotePrefix="1" applyFont="1" applyBorder="1" applyAlignment="1">
      <alignment horizontal="center" vertical="center"/>
    </xf>
    <xf numFmtId="0" fontId="96" fillId="0" borderId="74" xfId="0" quotePrefix="1" applyFont="1" applyBorder="1" applyAlignment="1">
      <alignment horizontal="center" vertical="center"/>
    </xf>
    <xf numFmtId="49" fontId="97" fillId="0" borderId="65" xfId="0" applyNumberFormat="1" applyFont="1" applyBorder="1" applyAlignment="1">
      <alignment horizontal="center"/>
    </xf>
    <xf numFmtId="49" fontId="97" fillId="0" borderId="43" xfId="0" applyNumberFormat="1" applyFont="1" applyBorder="1" applyAlignment="1">
      <alignment horizontal="center"/>
    </xf>
    <xf numFmtId="0" fontId="99" fillId="0" borderId="49" xfId="0" quotePrefix="1" applyFont="1" applyBorder="1" applyAlignment="1">
      <alignment horizontal="center" vertical="center"/>
    </xf>
    <xf numFmtId="0" fontId="99" fillId="0" borderId="18" xfId="0" quotePrefix="1" applyFont="1" applyBorder="1" applyAlignment="1">
      <alignment horizontal="center" vertical="center"/>
    </xf>
    <xf numFmtId="49" fontId="100" fillId="0" borderId="48" xfId="0" applyNumberFormat="1" applyFont="1" applyBorder="1" applyAlignment="1">
      <alignment horizontal="center"/>
    </xf>
    <xf numFmtId="49" fontId="100" fillId="0" borderId="73" xfId="0" applyNumberFormat="1" applyFont="1" applyBorder="1" applyAlignment="1">
      <alignment horizontal="center"/>
    </xf>
    <xf numFmtId="0" fontId="98" fillId="0" borderId="71" xfId="0" applyFont="1" applyBorder="1" applyAlignment="1">
      <alignment horizontal="center" wrapText="1"/>
    </xf>
    <xf numFmtId="0" fontId="98" fillId="0" borderId="13" xfId="0" applyFont="1" applyBorder="1" applyAlignment="1">
      <alignment horizontal="center" wrapText="1"/>
    </xf>
    <xf numFmtId="167" fontId="2" fillId="0" borderId="0" xfId="1" applyNumberFormat="1" applyAlignment="1">
      <alignment horizontal="center"/>
    </xf>
    <xf numFmtId="0" fontId="13" fillId="0" borderId="6" xfId="2" applyFont="1" applyBorder="1" applyAlignment="1">
      <alignment horizontal="center" vertical="center" wrapText="1"/>
    </xf>
    <xf numFmtId="168" fontId="25" fillId="0" borderId="44" xfId="4" applyNumberFormat="1" applyFont="1" applyBorder="1" applyAlignment="1">
      <alignment horizontal="center" vertical="center" wrapText="1"/>
    </xf>
    <xf numFmtId="168" fontId="26" fillId="0" borderId="43" xfId="4" applyNumberFormat="1" applyFont="1" applyBorder="1" applyAlignment="1">
      <alignment horizontal="center" vertical="center" wrapText="1"/>
    </xf>
    <xf numFmtId="168" fontId="29" fillId="0" borderId="73" xfId="4" applyNumberFormat="1" applyFont="1" applyBorder="1" applyAlignment="1">
      <alignment vertical="center" wrapText="1"/>
    </xf>
    <xf numFmtId="168" fontId="29" fillId="0" borderId="44" xfId="4" applyNumberFormat="1" applyFont="1" applyBorder="1" applyAlignment="1">
      <alignment vertical="center" wrapText="1"/>
    </xf>
    <xf numFmtId="168" fontId="29" fillId="0" borderId="79" xfId="4" applyNumberFormat="1" applyFont="1" applyBorder="1" applyAlignment="1">
      <alignment vertical="center" wrapText="1"/>
    </xf>
    <xf numFmtId="167" fontId="14" fillId="0" borderId="44" xfId="1" applyNumberFormat="1" applyFont="1" applyBorder="1"/>
    <xf numFmtId="167" fontId="27" fillId="0" borderId="44" xfId="1" applyNumberFormat="1" applyFont="1" applyBorder="1"/>
    <xf numFmtId="167" fontId="30" fillId="0" borderId="44" xfId="1" applyNumberFormat="1" applyFont="1" applyBorder="1"/>
    <xf numFmtId="168" fontId="36" fillId="0" borderId="74" xfId="4" applyNumberFormat="1" applyFont="1" applyBorder="1" applyAlignment="1">
      <alignment vertical="center" wrapText="1"/>
    </xf>
    <xf numFmtId="168" fontId="36" fillId="0" borderId="38" xfId="4" applyNumberFormat="1" applyFont="1" applyBorder="1" applyAlignment="1">
      <alignment vertical="center" wrapText="1"/>
    </xf>
    <xf numFmtId="168" fontId="25" fillId="0" borderId="37" xfId="4" applyNumberFormat="1" applyFont="1" applyBorder="1" applyAlignment="1">
      <alignment horizontal="center" vertical="center" wrapText="1"/>
    </xf>
    <xf numFmtId="168" fontId="26" fillId="0" borderId="42" xfId="4" applyNumberFormat="1" applyFont="1" applyBorder="1" applyAlignment="1">
      <alignment horizontal="center" vertical="center" wrapText="1"/>
    </xf>
    <xf numFmtId="168" fontId="25" fillId="0" borderId="36" xfId="4" applyNumberFormat="1" applyFont="1" applyBorder="1" applyAlignment="1">
      <alignment horizontal="center" vertical="center" wrapText="1"/>
    </xf>
    <xf numFmtId="168" fontId="26" fillId="0" borderId="67" xfId="4" applyNumberFormat="1" applyFont="1" applyBorder="1" applyAlignment="1">
      <alignment horizontal="center" vertical="center" wrapText="1"/>
    </xf>
    <xf numFmtId="167" fontId="14" fillId="0" borderId="36" xfId="1" applyNumberFormat="1" applyFont="1" applyBorder="1"/>
    <xf numFmtId="167" fontId="30" fillId="0" borderId="36" xfId="1" applyNumberFormat="1" applyFont="1" applyBorder="1"/>
    <xf numFmtId="168" fontId="36" fillId="0" borderId="67" xfId="4" applyNumberFormat="1" applyFont="1" applyBorder="1" applyAlignment="1">
      <alignment vertical="center" wrapText="1"/>
    </xf>
    <xf numFmtId="168" fontId="25" fillId="0" borderId="31" xfId="4" applyNumberFormat="1" applyFont="1" applyBorder="1" applyAlignment="1">
      <alignment horizontal="center" vertical="center" wrapText="1"/>
    </xf>
    <xf numFmtId="167" fontId="30" fillId="0" borderId="43" xfId="1" applyNumberFormat="1" applyFont="1" applyBorder="1"/>
    <xf numFmtId="168" fontId="25" fillId="0" borderId="40" xfId="4" applyNumberFormat="1" applyFont="1" applyBorder="1" applyAlignment="1">
      <alignment horizontal="center" vertical="center" wrapText="1"/>
    </xf>
    <xf numFmtId="0" fontId="4" fillId="0" borderId="63" xfId="0" applyFont="1" applyBorder="1"/>
    <xf numFmtId="0" fontId="4" fillId="0" borderId="35" xfId="0" applyFont="1" applyBorder="1"/>
    <xf numFmtId="0" fontId="4" fillId="0" borderId="60" xfId="0" applyFont="1" applyBorder="1"/>
    <xf numFmtId="168" fontId="33" fillId="0" borderId="35" xfId="4" applyNumberFormat="1" applyFont="1" applyBorder="1" applyAlignment="1" applyProtection="1">
      <alignment horizontal="left" vertical="center" wrapText="1" indent="1"/>
      <protection locked="0"/>
    </xf>
    <xf numFmtId="168" fontId="25" fillId="0" borderId="29" xfId="4" applyNumberFormat="1" applyFont="1" applyBorder="1" applyAlignment="1">
      <alignment horizontal="center" vertical="center" wrapText="1"/>
    </xf>
    <xf numFmtId="168" fontId="26" fillId="0" borderId="34" xfId="4" applyNumberFormat="1" applyFont="1" applyBorder="1" applyAlignment="1">
      <alignment horizontal="center" vertical="center" wrapText="1"/>
    </xf>
    <xf numFmtId="168" fontId="24" fillId="0" borderId="6" xfId="4" applyNumberFormat="1" applyFont="1" applyBorder="1" applyAlignment="1" applyProtection="1">
      <alignment vertical="center" wrapText="1"/>
      <protection locked="0"/>
    </xf>
    <xf numFmtId="168" fontId="28" fillId="0" borderId="6" xfId="4" applyNumberFormat="1" applyFont="1" applyBorder="1" applyAlignment="1" applyProtection="1">
      <alignment vertical="center" wrapText="1"/>
      <protection locked="0"/>
    </xf>
    <xf numFmtId="168" fontId="28" fillId="0" borderId="23" xfId="4" applyNumberFormat="1" applyFont="1" applyBorder="1" applyAlignment="1" applyProtection="1">
      <alignment vertical="center" wrapText="1"/>
      <protection locked="0"/>
    </xf>
    <xf numFmtId="168" fontId="24" fillId="0" borderId="35" xfId="4" applyNumberFormat="1" applyFont="1" applyBorder="1" applyAlignment="1" applyProtection="1">
      <alignment vertical="center" wrapText="1"/>
      <protection locked="0"/>
    </xf>
  </cellXfs>
  <cellStyles count="7">
    <cellStyle name="Ezres" xfId="1" builtinId="3"/>
    <cellStyle name="Ezres_Ktgvetési rendelet mellékletek_2008_Eszteregnye" xfId="3" xr:uid="{00000000-0005-0000-0000-000001000000}"/>
    <cellStyle name="Normál" xfId="0" builtinId="0"/>
    <cellStyle name="Normál_Ktgvetési rendelet mellékletek_2008_Eszteregnye" xfId="2" xr:uid="{00000000-0005-0000-0000-000003000000}"/>
    <cellStyle name="Normál_KVIREND" xfId="4" xr:uid="{00000000-0005-0000-0000-000004000000}"/>
    <cellStyle name="Normál_likviditási terv" xfId="5" xr:uid="{00000000-0005-0000-0000-000005000000}"/>
    <cellStyle name="Pénznem" xfId="6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kumentumok\2018\k&#246;lts&#233;gvet&#233;s_tervez&#233;s\S&#225;rmell&#233;k\S&#225;rmell&#233;k_k&#246;lts&#233;gvet&#233;se_2_fordul&#243;_2018_02_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kumentumok\2020\2020ktgvet&#233;s\2020_&#233;vi_k&#246;lts&#233;gvet&#233;s_m&#243;dos&#237;t&#225;sa\&#193;MK\&#193;MK_k&#246;lts&#233;gvet&#233;s_m&#243;dos&#237;t&#225;sa_2020_07_0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20k&#246;lts&#233;gvet&#233;s\S&#225;rmell&#233;k\S&#225;rmell&#233;k_ktgvet&#233;s_el&#337;terjeszt&#233;s_mell&#233;klete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m"/>
      <sheetName val="15"/>
      <sheetName val="3"/>
      <sheetName val="5"/>
      <sheetName val="6"/>
      <sheetName val="tartalék"/>
      <sheetName val="7"/>
      <sheetName val="4"/>
      <sheetName val="8"/>
      <sheetName val="9"/>
      <sheetName val="14"/>
      <sheetName val="18"/>
      <sheetName val="13"/>
      <sheetName val="13a"/>
      <sheetName val="12"/>
      <sheetName val="11"/>
      <sheetName val="11a"/>
      <sheetName val="11b"/>
      <sheetName val="11c"/>
      <sheetName val="11d"/>
      <sheetName val="11e"/>
      <sheetName val="10"/>
      <sheetName val="2"/>
      <sheetName val="16"/>
      <sheetName val="16a"/>
      <sheetName val="16b"/>
      <sheetName val="17"/>
    </sheetNames>
    <sheetDataSet>
      <sheetData sheetId="0"/>
      <sheetData sheetId="1"/>
      <sheetData sheetId="2">
        <row r="10">
          <cell r="F10"/>
        </row>
        <row r="11">
          <cell r="F11"/>
        </row>
        <row r="12">
          <cell r="F12"/>
        </row>
        <row r="13">
          <cell r="E13"/>
          <cell r="F13"/>
        </row>
        <row r="15">
          <cell r="E15"/>
          <cell r="F15"/>
        </row>
        <row r="17">
          <cell r="E17"/>
          <cell r="F17"/>
        </row>
        <row r="19">
          <cell r="F19"/>
        </row>
        <row r="22">
          <cell r="F22"/>
        </row>
        <row r="24">
          <cell r="F24"/>
        </row>
        <row r="25">
          <cell r="F25"/>
        </row>
        <row r="34">
          <cell r="F34"/>
        </row>
        <row r="36">
          <cell r="F36"/>
        </row>
        <row r="37">
          <cell r="F37"/>
        </row>
        <row r="38">
          <cell r="F38"/>
        </row>
        <row r="40">
          <cell r="F40"/>
        </row>
        <row r="41">
          <cell r="F41"/>
        </row>
        <row r="42">
          <cell r="F42"/>
        </row>
        <row r="44">
          <cell r="F44"/>
        </row>
        <row r="45">
          <cell r="F45"/>
        </row>
        <row r="46">
          <cell r="F46"/>
        </row>
        <row r="47">
          <cell r="F47">
            <v>0</v>
          </cell>
        </row>
        <row r="50">
          <cell r="F50"/>
        </row>
        <row r="51">
          <cell r="F51"/>
        </row>
        <row r="53">
          <cell r="F53">
            <v>0</v>
          </cell>
        </row>
        <row r="54">
          <cell r="F54">
            <v>0</v>
          </cell>
        </row>
        <row r="56">
          <cell r="F56"/>
        </row>
        <row r="57">
          <cell r="F57">
            <v>0</v>
          </cell>
        </row>
        <row r="58">
          <cell r="F58">
            <v>0</v>
          </cell>
        </row>
        <row r="66">
          <cell r="F66"/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0">
          <cell r="F10"/>
        </row>
        <row r="11">
          <cell r="F11"/>
        </row>
        <row r="12">
          <cell r="F12"/>
        </row>
        <row r="13">
          <cell r="E13"/>
          <cell r="F13"/>
        </row>
        <row r="15">
          <cell r="E15"/>
          <cell r="F15"/>
        </row>
        <row r="17">
          <cell r="E17"/>
          <cell r="F17"/>
        </row>
        <row r="19">
          <cell r="F19"/>
        </row>
        <row r="24">
          <cell r="F24"/>
        </row>
        <row r="32">
          <cell r="F32"/>
        </row>
        <row r="34">
          <cell r="F34"/>
        </row>
        <row r="35">
          <cell r="F35"/>
        </row>
        <row r="36">
          <cell r="F36"/>
        </row>
        <row r="38">
          <cell r="F38"/>
        </row>
        <row r="39">
          <cell r="F39">
            <v>0</v>
          </cell>
        </row>
        <row r="40">
          <cell r="F40"/>
        </row>
        <row r="42">
          <cell r="F42"/>
        </row>
        <row r="43">
          <cell r="F43">
            <v>0</v>
          </cell>
        </row>
        <row r="44">
          <cell r="F44">
            <v>0</v>
          </cell>
        </row>
        <row r="45">
          <cell r="F45">
            <v>0</v>
          </cell>
        </row>
        <row r="48">
          <cell r="F48">
            <v>0</v>
          </cell>
        </row>
        <row r="49">
          <cell r="F49"/>
        </row>
        <row r="51">
          <cell r="F51">
            <v>0</v>
          </cell>
        </row>
        <row r="52">
          <cell r="F52">
            <v>0</v>
          </cell>
        </row>
        <row r="54">
          <cell r="F54"/>
        </row>
        <row r="55">
          <cell r="F55">
            <v>0</v>
          </cell>
        </row>
        <row r="56">
          <cell r="F56">
            <v>0</v>
          </cell>
        </row>
        <row r="62">
          <cell r="F62"/>
        </row>
        <row r="64">
          <cell r="F64"/>
        </row>
      </sheetData>
      <sheetData sheetId="14"/>
      <sheetData sheetId="15"/>
      <sheetData sheetId="16">
        <row r="10">
          <cell r="F10"/>
        </row>
        <row r="11">
          <cell r="F11"/>
        </row>
        <row r="12">
          <cell r="F12"/>
        </row>
        <row r="13">
          <cell r="E13"/>
          <cell r="F13"/>
        </row>
        <row r="15">
          <cell r="E15"/>
          <cell r="F15"/>
        </row>
        <row r="17">
          <cell r="E17"/>
          <cell r="F17"/>
        </row>
        <row r="19">
          <cell r="F19"/>
        </row>
        <row r="24">
          <cell r="F24"/>
        </row>
        <row r="32">
          <cell r="F32"/>
        </row>
        <row r="34">
          <cell r="F34"/>
        </row>
        <row r="35">
          <cell r="F35"/>
        </row>
        <row r="36">
          <cell r="F36"/>
        </row>
        <row r="38">
          <cell r="F38"/>
        </row>
        <row r="39">
          <cell r="F39">
            <v>0</v>
          </cell>
        </row>
        <row r="40">
          <cell r="F40"/>
        </row>
        <row r="42">
          <cell r="F42"/>
        </row>
        <row r="43">
          <cell r="F43">
            <v>0</v>
          </cell>
        </row>
        <row r="44">
          <cell r="F44">
            <v>0</v>
          </cell>
        </row>
        <row r="45">
          <cell r="F45">
            <v>0</v>
          </cell>
        </row>
        <row r="48">
          <cell r="F48">
            <v>0</v>
          </cell>
        </row>
        <row r="49">
          <cell r="F49"/>
        </row>
        <row r="51">
          <cell r="F51">
            <v>0</v>
          </cell>
        </row>
        <row r="52">
          <cell r="F52">
            <v>0</v>
          </cell>
        </row>
        <row r="54">
          <cell r="F54"/>
        </row>
        <row r="55">
          <cell r="F55">
            <v>0</v>
          </cell>
        </row>
        <row r="56">
          <cell r="F56">
            <v>0</v>
          </cell>
        </row>
        <row r="62">
          <cell r="F62"/>
        </row>
        <row r="64">
          <cell r="F64"/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étel2020"/>
      <sheetName val="bölcsőde2020"/>
      <sheetName val="óvóda2020"/>
      <sheetName val="közművelődés2020"/>
    </sheetNames>
    <sheetDataSet>
      <sheetData sheetId="0"/>
      <sheetData sheetId="1">
        <row r="62">
          <cell r="R62">
            <v>13877600</v>
          </cell>
        </row>
      </sheetData>
      <sheetData sheetId="2">
        <row r="75">
          <cell r="K75">
            <v>34067283.609999999</v>
          </cell>
        </row>
      </sheetData>
      <sheetData sheetId="3">
        <row r="97">
          <cell r="K97">
            <v>12940927.029999999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ér "/>
      <sheetName val="éves_bér_és_jár"/>
      <sheetName val="bér_jár_Cofogszerint"/>
      <sheetName val="beruházások"/>
      <sheetName val="Kiadások_összesen"/>
      <sheetName val="Kiadás_bev_összesítő"/>
      <sheetName val="dologi_kiadások_összesen"/>
      <sheetName val="Pénzeszközátadások"/>
      <sheetName val="segélyek"/>
      <sheetName val="Bevételek"/>
      <sheetName val="bevételek2"/>
      <sheetName val="Munka2"/>
      <sheetName val="kötött tartalék"/>
      <sheetName val="pénzmaradvány_tételes"/>
      <sheetName val="maradványkim_helyesbített"/>
    </sheetNames>
    <sheetDataSet>
      <sheetData sheetId="0" refreshError="1"/>
      <sheetData sheetId="1" refreshError="1">
        <row r="11">
          <cell r="K11">
            <v>17301400</v>
          </cell>
          <cell r="N11">
            <v>672000</v>
          </cell>
          <cell r="O11">
            <v>312000</v>
          </cell>
          <cell r="S11">
            <v>160000</v>
          </cell>
          <cell r="W11">
            <v>3367945</v>
          </cell>
          <cell r="X11">
            <v>100800</v>
          </cell>
        </row>
        <row r="22">
          <cell r="K22">
            <v>4647216</v>
          </cell>
          <cell r="S22">
            <v>140000</v>
          </cell>
          <cell r="W22">
            <v>418881.4</v>
          </cell>
        </row>
        <row r="26">
          <cell r="K26">
            <v>3360600</v>
          </cell>
          <cell r="N26">
            <v>192000</v>
          </cell>
          <cell r="S26">
            <v>70000</v>
          </cell>
          <cell r="W26">
            <v>668955</v>
          </cell>
          <cell r="X26">
            <v>28800</v>
          </cell>
        </row>
        <row r="39">
          <cell r="O39">
            <v>0</v>
          </cell>
        </row>
        <row r="41">
          <cell r="N41">
            <v>96000</v>
          </cell>
          <cell r="S41">
            <v>30000</v>
          </cell>
        </row>
        <row r="42">
          <cell r="W42">
            <v>984923.62499999988</v>
          </cell>
          <cell r="X42">
            <v>14400</v>
          </cell>
        </row>
        <row r="44">
          <cell r="S44">
            <v>0</v>
          </cell>
        </row>
        <row r="62">
          <cell r="T62">
            <v>0</v>
          </cell>
          <cell r="W62">
            <v>0</v>
          </cell>
        </row>
        <row r="76">
          <cell r="T76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workbookViewId="0">
      <selection activeCell="G1" sqref="G1"/>
    </sheetView>
  </sheetViews>
  <sheetFormatPr defaultColWidth="9.140625" defaultRowHeight="15.75" x14ac:dyDescent="0.25"/>
  <cols>
    <col min="1" max="1" width="5.5703125" style="3" customWidth="1"/>
    <col min="2" max="2" width="48.140625" style="2" customWidth="1"/>
    <col min="3" max="3" width="21.28515625" style="2" customWidth="1"/>
    <col min="4" max="10" width="9.140625" style="2"/>
    <col min="11" max="16384" width="9.140625" style="3"/>
  </cols>
  <sheetData>
    <row r="1" spans="1:10" ht="18.75" x14ac:dyDescent="0.25">
      <c r="A1" s="671"/>
      <c r="B1" s="671"/>
      <c r="C1" s="671"/>
      <c r="D1" s="1"/>
      <c r="E1" s="1"/>
      <c r="F1" s="1"/>
    </row>
    <row r="2" spans="1:10" x14ac:dyDescent="0.25">
      <c r="A2" s="672"/>
      <c r="B2" s="672"/>
      <c r="C2" s="672"/>
      <c r="D2" s="4"/>
      <c r="E2" s="4"/>
      <c r="F2" s="4"/>
      <c r="G2" s="4"/>
    </row>
    <row r="3" spans="1:10" x14ac:dyDescent="0.25">
      <c r="B3" s="5"/>
      <c r="C3" s="5" t="s">
        <v>500</v>
      </c>
      <c r="D3" s="5"/>
      <c r="E3" s="4"/>
      <c r="F3" s="4"/>
      <c r="G3" s="4"/>
    </row>
    <row r="4" spans="1:10" x14ac:dyDescent="0.25">
      <c r="B4" s="6"/>
      <c r="C4" s="5"/>
      <c r="D4" s="5"/>
      <c r="E4" s="5"/>
      <c r="F4" s="5"/>
      <c r="G4" s="4"/>
    </row>
    <row r="5" spans="1:10" ht="19.5" thickBot="1" x14ac:dyDescent="0.3">
      <c r="B5" s="7"/>
      <c r="C5" s="8"/>
    </row>
    <row r="6" spans="1:10" ht="18.75" x14ac:dyDescent="0.25">
      <c r="A6" s="673" t="s">
        <v>0</v>
      </c>
      <c r="B6" s="674"/>
      <c r="C6" s="675"/>
    </row>
    <row r="7" spans="1:10" ht="18.75" x14ac:dyDescent="0.25">
      <c r="A7" s="9" t="s">
        <v>1</v>
      </c>
      <c r="B7" s="676" t="s">
        <v>2</v>
      </c>
      <c r="C7" s="677"/>
    </row>
    <row r="8" spans="1:10" s="10" customFormat="1" ht="18.75" x14ac:dyDescent="0.25">
      <c r="A8" s="9"/>
      <c r="B8" s="676"/>
      <c r="C8" s="677"/>
      <c r="D8" s="2"/>
      <c r="E8" s="2"/>
      <c r="F8" s="2"/>
      <c r="G8" s="2"/>
      <c r="H8" s="2"/>
      <c r="I8" s="2"/>
      <c r="J8" s="2"/>
    </row>
    <row r="9" spans="1:10" x14ac:dyDescent="0.25">
      <c r="B9" s="5"/>
    </row>
  </sheetData>
  <mergeCells count="5">
    <mergeCell ref="A1:C1"/>
    <mergeCell ref="A2:C2"/>
    <mergeCell ref="A6:C6"/>
    <mergeCell ref="B7:C7"/>
    <mergeCell ref="B8:C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24"/>
  <sheetViews>
    <sheetView workbookViewId="0">
      <selection activeCell="C1" sqref="C1:D1"/>
    </sheetView>
  </sheetViews>
  <sheetFormatPr defaultRowHeight="15" x14ac:dyDescent="0.25"/>
  <cols>
    <col min="1" max="1" width="14.85546875" style="158" customWidth="1"/>
    <col min="2" max="2" width="31.5703125" style="158" customWidth="1"/>
    <col min="3" max="3" width="5" style="158" customWidth="1"/>
    <col min="4" max="4" width="7" style="158" customWidth="1"/>
    <col min="5" max="5" width="4.5703125" style="158" customWidth="1"/>
    <col min="6" max="6" width="9.7109375" style="158" customWidth="1"/>
    <col min="8" max="8" width="10.28515625" bestFit="1" customWidth="1"/>
    <col min="9" max="9" width="21.7109375" bestFit="1" customWidth="1"/>
    <col min="16" max="16" width="15.7109375" bestFit="1" customWidth="1"/>
    <col min="21" max="21" width="9.85546875" bestFit="1" customWidth="1"/>
  </cols>
  <sheetData>
    <row r="1" spans="1:22" x14ac:dyDescent="0.25">
      <c r="H1" s="158"/>
      <c r="I1" s="158"/>
      <c r="J1" s="158"/>
      <c r="K1" s="158"/>
      <c r="L1" s="158"/>
      <c r="M1" s="158"/>
      <c r="O1" s="158"/>
      <c r="P1" s="158"/>
      <c r="Q1" s="158"/>
      <c r="R1" s="158"/>
      <c r="S1" s="158"/>
      <c r="T1" s="158"/>
    </row>
    <row r="2" spans="1:22" ht="18.75" x14ac:dyDescent="0.3">
      <c r="A2" s="851" t="s">
        <v>816</v>
      </c>
      <c r="B2" s="851"/>
      <c r="C2" s="851"/>
      <c r="D2" s="851"/>
      <c r="E2" s="851"/>
      <c r="F2" s="851"/>
      <c r="H2" s="851" t="s">
        <v>816</v>
      </c>
      <c r="I2" s="851"/>
      <c r="J2" s="851"/>
      <c r="K2" s="851"/>
      <c r="L2" s="851"/>
      <c r="M2" s="851"/>
      <c r="O2" s="851" t="s">
        <v>816</v>
      </c>
      <c r="P2" s="851"/>
      <c r="Q2" s="851"/>
      <c r="R2" s="851"/>
      <c r="S2" s="851"/>
      <c r="T2" s="851"/>
      <c r="U2" s="393" t="s">
        <v>269</v>
      </c>
      <c r="V2" s="375"/>
    </row>
    <row r="3" spans="1:22" ht="18.75" x14ac:dyDescent="0.3">
      <c r="A3" s="851"/>
      <c r="B3" s="851"/>
      <c r="C3" s="851"/>
      <c r="D3" s="851"/>
      <c r="E3" s="851"/>
      <c r="F3" s="851"/>
      <c r="H3" s="851"/>
      <c r="I3" s="851"/>
      <c r="J3" s="851"/>
      <c r="K3" s="851"/>
      <c r="L3" s="851"/>
      <c r="M3" s="851"/>
      <c r="O3" s="851" t="s">
        <v>270</v>
      </c>
      <c r="P3" s="851"/>
      <c r="Q3" s="851"/>
      <c r="R3" s="851"/>
      <c r="S3" s="851"/>
      <c r="T3" s="851"/>
    </row>
    <row r="4" spans="1:22" ht="20.25" x14ac:dyDescent="0.3">
      <c r="A4" s="851" t="s">
        <v>3</v>
      </c>
      <c r="B4" s="851"/>
      <c r="C4" s="851"/>
      <c r="D4" s="851"/>
      <c r="E4" s="851"/>
      <c r="F4" s="851"/>
      <c r="H4" s="899" t="s">
        <v>271</v>
      </c>
      <c r="I4" s="899"/>
      <c r="J4" s="899"/>
      <c r="K4" s="899"/>
      <c r="L4" s="899"/>
      <c r="M4" s="899"/>
      <c r="O4" s="900"/>
      <c r="P4" s="900"/>
      <c r="Q4" s="900"/>
      <c r="R4" s="900"/>
      <c r="S4" s="900"/>
      <c r="T4" s="900"/>
    </row>
    <row r="5" spans="1:22" ht="18.75" x14ac:dyDescent="0.3">
      <c r="A5" s="851" t="s">
        <v>272</v>
      </c>
      <c r="B5" s="851"/>
      <c r="C5" s="851"/>
      <c r="D5" s="851"/>
      <c r="E5" s="851"/>
      <c r="F5" s="851"/>
      <c r="H5" s="851" t="s">
        <v>272</v>
      </c>
      <c r="I5" s="851"/>
      <c r="J5" s="851"/>
      <c r="K5" s="851"/>
      <c r="L5" s="851"/>
      <c r="M5" s="851"/>
      <c r="O5" s="851" t="s">
        <v>272</v>
      </c>
      <c r="P5" s="851"/>
      <c r="Q5" s="851"/>
      <c r="R5" s="851"/>
      <c r="S5" s="851"/>
      <c r="T5" s="851"/>
    </row>
    <row r="6" spans="1:22" x14ac:dyDescent="0.25">
      <c r="H6" s="158"/>
      <c r="I6" s="158"/>
      <c r="J6" s="158"/>
      <c r="K6" s="158"/>
      <c r="L6" s="158"/>
      <c r="M6" s="158"/>
      <c r="O6" s="158"/>
      <c r="P6" s="158"/>
      <c r="Q6" s="158"/>
      <c r="R6" s="158"/>
      <c r="S6" s="158"/>
      <c r="T6" s="158"/>
    </row>
    <row r="7" spans="1:22" ht="47.25" x14ac:dyDescent="0.25">
      <c r="A7" s="276" t="s">
        <v>273</v>
      </c>
      <c r="B7" s="276" t="s">
        <v>274</v>
      </c>
      <c r="C7" s="880" t="s">
        <v>275</v>
      </c>
      <c r="D7" s="880"/>
      <c r="E7" s="880"/>
      <c r="F7" s="880"/>
      <c r="H7" s="276" t="s">
        <v>273</v>
      </c>
      <c r="I7" s="276" t="s">
        <v>274</v>
      </c>
      <c r="J7" s="880" t="s">
        <v>275</v>
      </c>
      <c r="K7" s="880"/>
      <c r="L7" s="880"/>
      <c r="M7" s="880"/>
      <c r="O7" s="276" t="s">
        <v>273</v>
      </c>
      <c r="P7" s="276" t="s">
        <v>274</v>
      </c>
      <c r="Q7" s="880" t="s">
        <v>275</v>
      </c>
      <c r="R7" s="880"/>
      <c r="S7" s="880"/>
      <c r="T7" s="880"/>
    </row>
    <row r="8" spans="1:22" ht="31.5" x14ac:dyDescent="0.25">
      <c r="A8" s="277" t="s">
        <v>276</v>
      </c>
      <c r="B8" s="278" t="s">
        <v>277</v>
      </c>
      <c r="C8" s="897">
        <v>2</v>
      </c>
      <c r="D8" s="897"/>
      <c r="E8" s="897"/>
      <c r="F8" s="897"/>
      <c r="H8" s="277" t="s">
        <v>278</v>
      </c>
      <c r="I8" s="278" t="s">
        <v>279</v>
      </c>
      <c r="J8" s="898">
        <v>6</v>
      </c>
      <c r="K8" s="898"/>
      <c r="L8" s="898"/>
      <c r="M8" s="898"/>
      <c r="O8" s="277" t="s">
        <v>280</v>
      </c>
      <c r="P8" s="278" t="s">
        <v>281</v>
      </c>
      <c r="Q8" s="897">
        <v>4</v>
      </c>
      <c r="R8" s="897"/>
      <c r="S8" s="897"/>
      <c r="T8" s="897"/>
    </row>
    <row r="9" spans="1:22" ht="31.5" x14ac:dyDescent="0.25">
      <c r="A9" s="277" t="s">
        <v>282</v>
      </c>
      <c r="B9" s="278" t="s">
        <v>283</v>
      </c>
      <c r="C9" s="892">
        <v>8</v>
      </c>
      <c r="D9" s="893"/>
      <c r="E9" s="893"/>
      <c r="F9" s="894"/>
      <c r="H9" s="277" t="s">
        <v>284</v>
      </c>
      <c r="I9" s="278" t="s">
        <v>285</v>
      </c>
      <c r="J9" s="885">
        <v>1</v>
      </c>
      <c r="K9" s="895"/>
      <c r="L9" s="895"/>
      <c r="M9" s="896"/>
      <c r="O9" s="277" t="s">
        <v>286</v>
      </c>
      <c r="P9" s="278" t="s">
        <v>287</v>
      </c>
      <c r="Q9" s="892">
        <v>1</v>
      </c>
      <c r="R9" s="893"/>
      <c r="S9" s="893"/>
      <c r="T9" s="894"/>
    </row>
    <row r="10" spans="1:22" ht="15.75" x14ac:dyDescent="0.25">
      <c r="A10" s="277" t="s">
        <v>278</v>
      </c>
      <c r="B10" s="279" t="s">
        <v>288</v>
      </c>
      <c r="C10" s="885">
        <v>1</v>
      </c>
      <c r="D10" s="895"/>
      <c r="E10" s="895"/>
      <c r="F10" s="896"/>
      <c r="H10" s="277" t="s">
        <v>289</v>
      </c>
      <c r="I10" s="278" t="s">
        <v>48</v>
      </c>
      <c r="J10" s="885">
        <v>1</v>
      </c>
      <c r="K10" s="895"/>
      <c r="L10" s="895"/>
      <c r="M10" s="896"/>
      <c r="O10" s="280">
        <v>104030</v>
      </c>
      <c r="P10" s="278" t="s">
        <v>290</v>
      </c>
      <c r="Q10" s="885">
        <v>3</v>
      </c>
      <c r="R10" s="895"/>
      <c r="S10" s="895"/>
      <c r="T10" s="896"/>
    </row>
    <row r="11" spans="1:22" ht="31.5" x14ac:dyDescent="0.25">
      <c r="A11" s="277" t="s">
        <v>291</v>
      </c>
      <c r="B11" s="278" t="s">
        <v>292</v>
      </c>
      <c r="C11" s="888">
        <v>1</v>
      </c>
      <c r="D11" s="889"/>
      <c r="E11" s="889"/>
      <c r="F11" s="890"/>
      <c r="H11" s="280"/>
      <c r="I11" s="278"/>
      <c r="J11" s="888"/>
      <c r="K11" s="889"/>
      <c r="L11" s="889"/>
      <c r="M11" s="890"/>
      <c r="O11" s="280">
        <v>91140</v>
      </c>
      <c r="P11" s="278" t="s">
        <v>293</v>
      </c>
      <c r="Q11" s="888">
        <v>2</v>
      </c>
      <c r="R11" s="889"/>
      <c r="S11" s="889"/>
      <c r="T11" s="890"/>
    </row>
    <row r="12" spans="1:22" ht="31.5" x14ac:dyDescent="0.25">
      <c r="A12" s="280">
        <v>82092</v>
      </c>
      <c r="B12" s="278" t="s">
        <v>696</v>
      </c>
      <c r="C12" s="891">
        <v>1</v>
      </c>
      <c r="D12" s="891"/>
      <c r="E12" s="891"/>
      <c r="F12" s="891"/>
      <c r="H12" s="280"/>
      <c r="I12" s="278"/>
      <c r="J12" s="891"/>
      <c r="K12" s="891"/>
      <c r="L12" s="891"/>
      <c r="M12" s="891"/>
      <c r="O12" s="280"/>
      <c r="P12" s="278"/>
      <c r="Q12" s="891"/>
      <c r="R12" s="891"/>
      <c r="S12" s="891"/>
      <c r="T12" s="891"/>
    </row>
    <row r="13" spans="1:22" ht="15.75" x14ac:dyDescent="0.25">
      <c r="A13" s="280"/>
      <c r="B13" s="278"/>
      <c r="C13" s="885"/>
      <c r="D13" s="886"/>
      <c r="E13" s="886"/>
      <c r="F13" s="887"/>
      <c r="H13" s="280"/>
      <c r="I13" s="278"/>
      <c r="J13" s="885"/>
      <c r="K13" s="886"/>
      <c r="L13" s="886"/>
      <c r="M13" s="887"/>
      <c r="O13" s="280"/>
      <c r="P13" s="278"/>
      <c r="Q13" s="885"/>
      <c r="R13" s="886"/>
      <c r="S13" s="886"/>
      <c r="T13" s="887"/>
    </row>
    <row r="14" spans="1:22" ht="15.75" x14ac:dyDescent="0.25">
      <c r="A14" s="880" t="s">
        <v>128</v>
      </c>
      <c r="B14" s="880"/>
      <c r="C14" s="884">
        <f>SUM(C8:F13)</f>
        <v>13</v>
      </c>
      <c r="D14" s="884"/>
      <c r="E14" s="884"/>
      <c r="F14" s="884"/>
      <c r="H14" s="880" t="s">
        <v>128</v>
      </c>
      <c r="I14" s="880"/>
      <c r="J14" s="884">
        <f>SUM(J8:M13)</f>
        <v>8</v>
      </c>
      <c r="K14" s="884"/>
      <c r="L14" s="884"/>
      <c r="M14" s="884"/>
      <c r="O14" s="880" t="s">
        <v>128</v>
      </c>
      <c r="P14" s="880"/>
      <c r="Q14" s="884">
        <f>SUM(Q8:T13)</f>
        <v>10</v>
      </c>
      <c r="R14" s="884"/>
      <c r="S14" s="884"/>
      <c r="T14" s="884"/>
    </row>
    <row r="15" spans="1:22" x14ac:dyDescent="0.25">
      <c r="A15" s="281"/>
      <c r="B15" s="281"/>
    </row>
    <row r="16" spans="1:22" ht="18.75" x14ac:dyDescent="0.3">
      <c r="A16" s="851" t="s">
        <v>294</v>
      </c>
      <c r="B16" s="851"/>
      <c r="C16" s="851"/>
      <c r="D16" s="851"/>
      <c r="E16" s="851"/>
      <c r="F16" s="851"/>
    </row>
    <row r="18" spans="1:6" ht="31.5" x14ac:dyDescent="0.25">
      <c r="A18" s="276" t="s">
        <v>273</v>
      </c>
      <c r="B18" s="276" t="s">
        <v>274</v>
      </c>
      <c r="C18" s="880" t="s">
        <v>295</v>
      </c>
      <c r="D18" s="880"/>
      <c r="E18" s="880"/>
      <c r="F18" s="880"/>
    </row>
    <row r="19" spans="1:6" ht="15.75" x14ac:dyDescent="0.25">
      <c r="A19" s="277" t="s">
        <v>296</v>
      </c>
      <c r="B19" s="278" t="s">
        <v>297</v>
      </c>
      <c r="C19" s="881">
        <v>5</v>
      </c>
      <c r="D19" s="882"/>
      <c r="E19" s="882"/>
      <c r="F19" s="883"/>
    </row>
    <row r="20" spans="1:6" ht="15.75" x14ac:dyDescent="0.25">
      <c r="A20" s="880" t="s">
        <v>128</v>
      </c>
      <c r="B20" s="880"/>
      <c r="C20" s="884">
        <f>SUM(C14:F19)</f>
        <v>18</v>
      </c>
      <c r="D20" s="884"/>
      <c r="E20" s="884"/>
      <c r="F20" s="884"/>
    </row>
    <row r="24" spans="1:6" x14ac:dyDescent="0.25">
      <c r="D24" s="282"/>
    </row>
  </sheetData>
  <mergeCells count="44">
    <mergeCell ref="A2:F2"/>
    <mergeCell ref="H2:M2"/>
    <mergeCell ref="O2:T2"/>
    <mergeCell ref="A3:F3"/>
    <mergeCell ref="H3:M3"/>
    <mergeCell ref="O3:T3"/>
    <mergeCell ref="A4:F4"/>
    <mergeCell ref="H4:M4"/>
    <mergeCell ref="O4:T4"/>
    <mergeCell ref="A5:F5"/>
    <mergeCell ref="H5:M5"/>
    <mergeCell ref="O5:T5"/>
    <mergeCell ref="C7:F7"/>
    <mergeCell ref="J7:M7"/>
    <mergeCell ref="Q7:T7"/>
    <mergeCell ref="C8:F8"/>
    <mergeCell ref="J8:M8"/>
    <mergeCell ref="Q8:T8"/>
    <mergeCell ref="C9:F9"/>
    <mergeCell ref="J9:M9"/>
    <mergeCell ref="Q9:T9"/>
    <mergeCell ref="C10:F10"/>
    <mergeCell ref="J10:M10"/>
    <mergeCell ref="Q10:T10"/>
    <mergeCell ref="C11:F11"/>
    <mergeCell ref="J11:M11"/>
    <mergeCell ref="Q11:T11"/>
    <mergeCell ref="C12:F12"/>
    <mergeCell ref="J12:M12"/>
    <mergeCell ref="Q12:T12"/>
    <mergeCell ref="C13:F13"/>
    <mergeCell ref="J13:M13"/>
    <mergeCell ref="Q13:T13"/>
    <mergeCell ref="A14:B14"/>
    <mergeCell ref="C14:F14"/>
    <mergeCell ref="H14:I14"/>
    <mergeCell ref="J14:M14"/>
    <mergeCell ref="O14:P14"/>
    <mergeCell ref="Q14:T14"/>
    <mergeCell ref="A16:F16"/>
    <mergeCell ref="C18:F18"/>
    <mergeCell ref="C19:F19"/>
    <mergeCell ref="A20:B20"/>
    <mergeCell ref="C20:F20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7030A0"/>
  </sheetPr>
  <dimension ref="A1:K105"/>
  <sheetViews>
    <sheetView topLeftCell="B37" workbookViewId="0">
      <selection activeCell="H64" sqref="H64:I64"/>
    </sheetView>
  </sheetViews>
  <sheetFormatPr defaultRowHeight="15.75" x14ac:dyDescent="0.25"/>
  <cols>
    <col min="1" max="1" width="6" style="2" customWidth="1"/>
    <col min="2" max="2" width="5.140625" style="1" customWidth="1"/>
    <col min="3" max="3" width="64.28515625" style="1" bestFit="1" customWidth="1"/>
    <col min="4" max="4" width="14.42578125" style="2" customWidth="1"/>
    <col min="5" max="5" width="14.5703125" style="2" customWidth="1"/>
    <col min="6" max="6" width="14.42578125" style="2" customWidth="1"/>
    <col min="7" max="7" width="14.85546875" style="11" bestFit="1" customWidth="1"/>
    <col min="8" max="8" width="16.7109375" style="11" bestFit="1" customWidth="1"/>
    <col min="9" max="9" width="14.85546875" style="11" bestFit="1" customWidth="1"/>
    <col min="10" max="16384" width="9.140625" style="11"/>
  </cols>
  <sheetData>
    <row r="1" spans="1:11" ht="20.100000000000001" customHeight="1" x14ac:dyDescent="0.3">
      <c r="A1" s="708" t="s">
        <v>707</v>
      </c>
      <c r="B1" s="709"/>
      <c r="C1" s="709"/>
      <c r="D1" s="709"/>
      <c r="E1" s="709"/>
      <c r="F1" s="709"/>
    </row>
    <row r="2" spans="1:11" ht="20.100000000000001" customHeight="1" x14ac:dyDescent="0.25">
      <c r="A2" s="672"/>
      <c r="B2" s="672"/>
      <c r="C2" s="672"/>
      <c r="D2" s="672"/>
      <c r="E2" s="672"/>
      <c r="F2" s="672"/>
    </row>
    <row r="3" spans="1:11" ht="20.100000000000001" customHeight="1" x14ac:dyDescent="0.25">
      <c r="A3" s="710" t="s">
        <v>298</v>
      </c>
      <c r="B3" s="710"/>
      <c r="C3" s="710"/>
      <c r="D3" s="710"/>
      <c r="E3" s="710"/>
      <c r="F3" s="710"/>
      <c r="G3" s="710"/>
    </row>
    <row r="4" spans="1:11" ht="20.100000000000001" customHeight="1" x14ac:dyDescent="0.25">
      <c r="A4" s="672" t="s">
        <v>4</v>
      </c>
      <c r="B4" s="672"/>
      <c r="C4" s="672"/>
      <c r="D4" s="672"/>
      <c r="E4" s="672"/>
      <c r="F4" s="672"/>
    </row>
    <row r="5" spans="1:11" ht="39" customHeight="1" thickBot="1" x14ac:dyDescent="0.3">
      <c r="A5" s="711" t="s">
        <v>698</v>
      </c>
      <c r="B5" s="711"/>
      <c r="C5" s="711"/>
      <c r="D5" s="711"/>
      <c r="E5" s="711"/>
      <c r="F5" s="711"/>
    </row>
    <row r="6" spans="1:11" ht="20.100000000000001" customHeight="1" x14ac:dyDescent="0.25">
      <c r="A6" s="712" t="s">
        <v>6</v>
      </c>
      <c r="B6" s="715" t="s">
        <v>7</v>
      </c>
      <c r="C6" s="715"/>
      <c r="D6" s="718" t="s">
        <v>613</v>
      </c>
      <c r="E6" s="720" t="s">
        <v>9</v>
      </c>
      <c r="F6" s="720" t="s">
        <v>10</v>
      </c>
      <c r="G6" s="704" t="s">
        <v>11</v>
      </c>
      <c r="H6" s="718" t="s">
        <v>613</v>
      </c>
      <c r="I6" s="720" t="s">
        <v>9</v>
      </c>
      <c r="J6" s="720" t="s">
        <v>10</v>
      </c>
      <c r="K6" s="704" t="s">
        <v>11</v>
      </c>
    </row>
    <row r="7" spans="1:11" ht="38.25" customHeight="1" x14ac:dyDescent="0.25">
      <c r="A7" s="713"/>
      <c r="B7" s="716"/>
      <c r="C7" s="716"/>
      <c r="D7" s="719"/>
      <c r="E7" s="721"/>
      <c r="F7" s="721"/>
      <c r="G7" s="705"/>
      <c r="H7" s="719"/>
      <c r="I7" s="721"/>
      <c r="J7" s="721"/>
      <c r="K7" s="705"/>
    </row>
    <row r="8" spans="1:11" ht="22.5" customHeight="1" thickBot="1" x14ac:dyDescent="0.3">
      <c r="A8" s="905"/>
      <c r="B8" s="906"/>
      <c r="C8" s="906"/>
      <c r="D8" s="901" t="s">
        <v>718</v>
      </c>
      <c r="E8" s="719"/>
      <c r="F8" s="719"/>
      <c r="G8" s="283"/>
      <c r="H8" s="901" t="s">
        <v>898</v>
      </c>
      <c r="I8" s="719"/>
      <c r="J8" s="719"/>
      <c r="K8" s="283"/>
    </row>
    <row r="9" spans="1:11" ht="15.95" customHeight="1" x14ac:dyDescent="0.25">
      <c r="A9" s="420"/>
      <c r="B9" s="715" t="s">
        <v>12</v>
      </c>
      <c r="C9" s="715"/>
      <c r="D9" s="285"/>
      <c r="E9" s="286"/>
      <c r="F9" s="287"/>
      <c r="G9" s="287"/>
      <c r="H9" s="285"/>
      <c r="I9" s="286"/>
      <c r="J9" s="287"/>
      <c r="K9" s="287"/>
    </row>
    <row r="10" spans="1:11" ht="15.95" customHeight="1" x14ac:dyDescent="0.25">
      <c r="A10" s="9">
        <v>1</v>
      </c>
      <c r="B10" s="689" t="s">
        <v>13</v>
      </c>
      <c r="C10" s="689"/>
      <c r="D10" s="17">
        <v>37931</v>
      </c>
      <c r="E10" s="17">
        <v>37931</v>
      </c>
      <c r="F10" s="18"/>
      <c r="G10" s="19"/>
      <c r="H10" s="17">
        <v>38532</v>
      </c>
      <c r="I10" s="17">
        <v>38532</v>
      </c>
      <c r="J10" s="18"/>
      <c r="K10" s="19"/>
    </row>
    <row r="11" spans="1:11" ht="15.95" customHeight="1" x14ac:dyDescent="0.25">
      <c r="A11" s="9">
        <v>2</v>
      </c>
      <c r="B11" s="689" t="s">
        <v>14</v>
      </c>
      <c r="C11" s="689"/>
      <c r="D11" s="17">
        <v>7444</v>
      </c>
      <c r="E11" s="17">
        <v>7444</v>
      </c>
      <c r="F11" s="18"/>
      <c r="G11" s="19"/>
      <c r="H11" s="17">
        <v>6658</v>
      </c>
      <c r="I11" s="17">
        <v>6658</v>
      </c>
      <c r="J11" s="18"/>
      <c r="K11" s="19"/>
    </row>
    <row r="12" spans="1:11" ht="15.95" customHeight="1" x14ac:dyDescent="0.25">
      <c r="A12" s="9">
        <v>3</v>
      </c>
      <c r="B12" s="689" t="s">
        <v>15</v>
      </c>
      <c r="C12" s="689"/>
      <c r="D12" s="17">
        <v>15718</v>
      </c>
      <c r="E12" s="17">
        <v>15718</v>
      </c>
      <c r="F12" s="18"/>
      <c r="G12" s="20"/>
      <c r="H12" s="17">
        <v>15103</v>
      </c>
      <c r="I12" s="17">
        <v>15103</v>
      </c>
      <c r="J12" s="18"/>
      <c r="K12" s="20"/>
    </row>
    <row r="13" spans="1:11" ht="15.95" customHeight="1" x14ac:dyDescent="0.25">
      <c r="A13" s="9" t="s">
        <v>16</v>
      </c>
      <c r="B13" s="689" t="s">
        <v>17</v>
      </c>
      <c r="C13" s="689"/>
      <c r="D13" s="288"/>
      <c r="E13" s="288"/>
      <c r="F13" s="18"/>
      <c r="G13" s="19"/>
      <c r="H13" s="288"/>
      <c r="I13" s="288"/>
      <c r="J13" s="18"/>
      <c r="K13" s="19"/>
    </row>
    <row r="14" spans="1:11" ht="15.95" customHeight="1" x14ac:dyDescent="0.25">
      <c r="A14" s="9" t="s">
        <v>18</v>
      </c>
      <c r="B14" s="695" t="s">
        <v>19</v>
      </c>
      <c r="C14" s="695"/>
      <c r="D14" s="288">
        <f>+D15+D16+D17+D18+D19</f>
        <v>0</v>
      </c>
      <c r="E14" s="288">
        <f>+E15+E16+E17+E18+E19</f>
        <v>0</v>
      </c>
      <c r="F14" s="23"/>
      <c r="G14" s="23"/>
      <c r="H14" s="288">
        <f>+H15+H16+H17+H18+H19</f>
        <v>0</v>
      </c>
      <c r="I14" s="288">
        <f>+I15+I16+I17+I18+I19</f>
        <v>0</v>
      </c>
      <c r="J14" s="23"/>
      <c r="K14" s="23"/>
    </row>
    <row r="15" spans="1:11" ht="15.95" customHeight="1" x14ac:dyDescent="0.25">
      <c r="A15" s="9" t="s">
        <v>20</v>
      </c>
      <c r="B15" s="696" t="s">
        <v>130</v>
      </c>
      <c r="C15" s="696"/>
      <c r="D15" s="288"/>
      <c r="E15" s="288"/>
      <c r="F15" s="18"/>
      <c r="G15" s="19"/>
      <c r="H15" s="288"/>
      <c r="I15" s="288"/>
      <c r="J15" s="18"/>
      <c r="K15" s="19"/>
    </row>
    <row r="16" spans="1:11" ht="15.95" customHeight="1" x14ac:dyDescent="0.25">
      <c r="A16" s="9" t="s">
        <v>21</v>
      </c>
      <c r="B16" s="696" t="s">
        <v>22</v>
      </c>
      <c r="C16" s="696"/>
      <c r="D16" s="288"/>
      <c r="E16" s="288"/>
      <c r="F16" s="18"/>
      <c r="G16" s="19"/>
      <c r="H16" s="288"/>
      <c r="I16" s="288"/>
      <c r="J16" s="18"/>
      <c r="K16" s="19"/>
    </row>
    <row r="17" spans="1:11" ht="15.95" customHeight="1" x14ac:dyDescent="0.25">
      <c r="A17" s="9"/>
      <c r="B17" s="904" t="s">
        <v>133</v>
      </c>
      <c r="C17" s="904"/>
      <c r="D17" s="288"/>
      <c r="E17" s="288"/>
      <c r="F17" s="18"/>
      <c r="G17" s="19"/>
      <c r="H17" s="288"/>
      <c r="I17" s="288"/>
      <c r="J17" s="18"/>
      <c r="K17" s="19"/>
    </row>
    <row r="18" spans="1:11" ht="15.95" customHeight="1" x14ac:dyDescent="0.25">
      <c r="A18" s="9" t="s">
        <v>23</v>
      </c>
      <c r="B18" s="699" t="s">
        <v>24</v>
      </c>
      <c r="C18" s="699"/>
      <c r="D18" s="288"/>
      <c r="E18" s="288"/>
      <c r="F18" s="18"/>
      <c r="G18" s="19"/>
      <c r="H18" s="288"/>
      <c r="I18" s="288"/>
      <c r="J18" s="18"/>
      <c r="K18" s="19"/>
    </row>
    <row r="19" spans="1:11" ht="15.95" customHeight="1" x14ac:dyDescent="0.25">
      <c r="A19" s="9" t="s">
        <v>25</v>
      </c>
      <c r="B19" s="699" t="s">
        <v>299</v>
      </c>
      <c r="C19" s="902"/>
      <c r="D19" s="288"/>
      <c r="E19" s="288"/>
      <c r="F19" s="18"/>
      <c r="G19" s="19"/>
      <c r="H19" s="288"/>
      <c r="I19" s="288"/>
      <c r="J19" s="18"/>
      <c r="K19" s="19"/>
    </row>
    <row r="20" spans="1:11" ht="15.95" customHeight="1" x14ac:dyDescent="0.25">
      <c r="A20" s="9"/>
      <c r="B20" s="689" t="s">
        <v>26</v>
      </c>
      <c r="C20" s="689"/>
      <c r="D20" s="289"/>
      <c r="E20" s="289"/>
      <c r="F20" s="290"/>
      <c r="G20" s="291"/>
      <c r="H20" s="289"/>
      <c r="I20" s="289"/>
      <c r="J20" s="290"/>
      <c r="K20" s="291"/>
    </row>
    <row r="21" spans="1:11" ht="15.95" customHeight="1" x14ac:dyDescent="0.25">
      <c r="A21" s="9" t="s">
        <v>1</v>
      </c>
      <c r="B21" s="419" t="s">
        <v>28</v>
      </c>
      <c r="C21" s="292"/>
      <c r="D21" s="288">
        <f>+D10+D11+D12+D13+D14+D20</f>
        <v>61093</v>
      </c>
      <c r="E21" s="288">
        <f>+E10+E11+E12+E13+E14+E20</f>
        <v>61093</v>
      </c>
      <c r="F21" s="23">
        <f>+F10+F11+F12+F13+F14+F20+F16</f>
        <v>0</v>
      </c>
      <c r="G21" s="17"/>
      <c r="H21" s="288">
        <f>+H10+H11+H12+H13+H14+H20</f>
        <v>60293</v>
      </c>
      <c r="I21" s="288">
        <f>+I10+I11+I12+I13+I14+I20</f>
        <v>60293</v>
      </c>
      <c r="J21" s="23">
        <f>+J10+J11+J12+J13+J14+J20+J16</f>
        <v>0</v>
      </c>
      <c r="K21" s="17"/>
    </row>
    <row r="22" spans="1:11" ht="15.95" customHeight="1" x14ac:dyDescent="0.25">
      <c r="A22" s="9" t="s">
        <v>29</v>
      </c>
      <c r="B22" s="689" t="s">
        <v>30</v>
      </c>
      <c r="C22" s="689"/>
      <c r="D22" s="289">
        <v>720</v>
      </c>
      <c r="E22" s="289">
        <v>720</v>
      </c>
      <c r="F22" s="115"/>
      <c r="G22" s="19"/>
      <c r="H22" s="289">
        <v>593</v>
      </c>
      <c r="I22" s="289">
        <v>593</v>
      </c>
      <c r="J22" s="115"/>
      <c r="K22" s="19"/>
    </row>
    <row r="23" spans="1:11" ht="15.95" customHeight="1" x14ac:dyDescent="0.25">
      <c r="A23" s="9" t="s">
        <v>31</v>
      </c>
      <c r="B23" s="689" t="s">
        <v>32</v>
      </c>
      <c r="C23" s="689"/>
      <c r="D23" s="289"/>
      <c r="E23" s="289"/>
      <c r="F23" s="18"/>
      <c r="G23" s="19"/>
      <c r="H23" s="289"/>
      <c r="I23" s="289"/>
      <c r="J23" s="18"/>
      <c r="K23" s="19"/>
    </row>
    <row r="24" spans="1:11" ht="15.95" customHeight="1" x14ac:dyDescent="0.25">
      <c r="A24" s="9" t="s">
        <v>33</v>
      </c>
      <c r="B24" s="689" t="s">
        <v>137</v>
      </c>
      <c r="C24" s="689"/>
      <c r="D24" s="289"/>
      <c r="E24" s="289"/>
      <c r="F24" s="18"/>
      <c r="G24" s="19"/>
      <c r="H24" s="289"/>
      <c r="I24" s="289"/>
      <c r="J24" s="18"/>
      <c r="K24" s="19"/>
    </row>
    <row r="25" spans="1:11" ht="15.95" customHeight="1" x14ac:dyDescent="0.25">
      <c r="A25" s="9" t="s">
        <v>35</v>
      </c>
      <c r="B25" s="689" t="s">
        <v>36</v>
      </c>
      <c r="C25" s="689"/>
      <c r="D25" s="289">
        <f>+D22+D23+D24</f>
        <v>720</v>
      </c>
      <c r="E25" s="289">
        <f>+E22+E23+E24</f>
        <v>720</v>
      </c>
      <c r="F25" s="18">
        <f>SUM(F22:F24)</f>
        <v>0</v>
      </c>
      <c r="G25" s="19"/>
      <c r="H25" s="289">
        <f>+H22+H23+H24</f>
        <v>593</v>
      </c>
      <c r="I25" s="289">
        <f>+I22+I23+I24</f>
        <v>593</v>
      </c>
      <c r="J25" s="18">
        <f>SUM(J22:J24)</f>
        <v>0</v>
      </c>
      <c r="K25" s="19"/>
    </row>
    <row r="26" spans="1:11" ht="15.95" customHeight="1" x14ac:dyDescent="0.25">
      <c r="A26" s="9" t="s">
        <v>37</v>
      </c>
      <c r="B26" s="689"/>
      <c r="C26" s="689"/>
      <c r="D26" s="289"/>
      <c r="E26" s="289"/>
      <c r="F26" s="18"/>
      <c r="G26" s="19"/>
      <c r="H26" s="289"/>
      <c r="I26" s="289"/>
      <c r="J26" s="18"/>
      <c r="K26" s="19"/>
    </row>
    <row r="27" spans="1:11" ht="15.95" customHeight="1" x14ac:dyDescent="0.25">
      <c r="A27" s="9" t="s">
        <v>38</v>
      </c>
      <c r="B27" s="691"/>
      <c r="C27" s="691"/>
      <c r="D27" s="293"/>
      <c r="E27" s="293"/>
      <c r="F27" s="18">
        <f>+D27+E27</f>
        <v>0</v>
      </c>
      <c r="G27" s="19"/>
      <c r="H27" s="293"/>
      <c r="I27" s="293"/>
      <c r="J27" s="18">
        <f>+H27+I27</f>
        <v>0</v>
      </c>
      <c r="K27" s="19"/>
    </row>
    <row r="28" spans="1:11" ht="15.95" customHeight="1" x14ac:dyDescent="0.25">
      <c r="A28" s="9" t="s">
        <v>39</v>
      </c>
      <c r="B28" s="691"/>
      <c r="C28" s="691"/>
      <c r="D28" s="293"/>
      <c r="E28" s="293"/>
      <c r="F28" s="18">
        <f>+D28+E28</f>
        <v>0</v>
      </c>
      <c r="G28" s="19"/>
      <c r="H28" s="293"/>
      <c r="I28" s="293"/>
      <c r="J28" s="18">
        <f>+H28+I28</f>
        <v>0</v>
      </c>
      <c r="K28" s="19"/>
    </row>
    <row r="29" spans="1:11" ht="15.95" customHeight="1" x14ac:dyDescent="0.3">
      <c r="A29" s="36" t="s">
        <v>40</v>
      </c>
      <c r="B29" s="685" t="s">
        <v>300</v>
      </c>
      <c r="C29" s="685"/>
      <c r="D29" s="295">
        <f t="shared" ref="D29:K29" si="0">+D21+D25+D26+D27+D28</f>
        <v>61813</v>
      </c>
      <c r="E29" s="295">
        <f t="shared" si="0"/>
        <v>61813</v>
      </c>
      <c r="F29" s="66">
        <f t="shared" si="0"/>
        <v>0</v>
      </c>
      <c r="G29" s="67">
        <f t="shared" si="0"/>
        <v>0</v>
      </c>
      <c r="H29" s="295">
        <f t="shared" si="0"/>
        <v>60886</v>
      </c>
      <c r="I29" s="295">
        <f t="shared" si="0"/>
        <v>60886</v>
      </c>
      <c r="J29" s="66">
        <f t="shared" si="0"/>
        <v>0</v>
      </c>
      <c r="K29" s="67">
        <f t="shared" si="0"/>
        <v>0</v>
      </c>
    </row>
    <row r="30" spans="1:11" ht="15.95" customHeight="1" x14ac:dyDescent="0.25">
      <c r="A30" s="40"/>
      <c r="B30" s="903"/>
      <c r="C30" s="903"/>
      <c r="D30" s="125"/>
      <c r="E30" s="125"/>
      <c r="F30" s="96"/>
      <c r="G30" s="96"/>
      <c r="H30" s="125"/>
      <c r="I30" s="125"/>
      <c r="J30" s="96"/>
      <c r="K30" s="96"/>
    </row>
    <row r="31" spans="1:11" ht="15.95" customHeight="1" x14ac:dyDescent="0.25">
      <c r="A31" s="9"/>
      <c r="B31" s="758" t="s">
        <v>42</v>
      </c>
      <c r="C31" s="758"/>
      <c r="D31" s="289"/>
      <c r="E31" s="289"/>
      <c r="F31" s="18"/>
      <c r="G31" s="19"/>
      <c r="H31" s="289"/>
      <c r="I31" s="289"/>
      <c r="J31" s="18"/>
      <c r="K31" s="19"/>
    </row>
    <row r="32" spans="1:11" ht="15.95" customHeight="1" x14ac:dyDescent="0.25">
      <c r="A32" s="9" t="s">
        <v>43</v>
      </c>
      <c r="B32" s="683" t="s">
        <v>44</v>
      </c>
      <c r="C32" s="683"/>
      <c r="D32" s="289">
        <v>1350</v>
      </c>
      <c r="E32" s="289">
        <v>1350</v>
      </c>
      <c r="F32" s="18"/>
      <c r="G32" s="19">
        <v>0</v>
      </c>
      <c r="H32" s="289">
        <v>2361</v>
      </c>
      <c r="I32" s="289">
        <v>2361</v>
      </c>
      <c r="J32" s="18"/>
      <c r="K32" s="19">
        <v>0</v>
      </c>
    </row>
    <row r="33" spans="1:11" ht="15.95" customHeight="1" x14ac:dyDescent="0.25">
      <c r="A33" s="9" t="s">
        <v>45</v>
      </c>
      <c r="B33" s="683" t="s">
        <v>46</v>
      </c>
      <c r="C33" s="683"/>
      <c r="D33" s="289">
        <f>SUM(D34:D36)</f>
        <v>0</v>
      </c>
      <c r="E33" s="289">
        <f>SUM(E34:E36)</f>
        <v>0</v>
      </c>
      <c r="F33" s="32">
        <f>SUM(F34:F36)</f>
        <v>0</v>
      </c>
      <c r="G33" s="19"/>
      <c r="H33" s="289">
        <f>SUM(H34:H36)</f>
        <v>0</v>
      </c>
      <c r="I33" s="289">
        <f>SUM(I34:I36)</f>
        <v>0</v>
      </c>
      <c r="J33" s="32">
        <f>SUM(J34:J36)</f>
        <v>0</v>
      </c>
      <c r="K33" s="19"/>
    </row>
    <row r="34" spans="1:11" ht="15.95" customHeight="1" x14ac:dyDescent="0.25">
      <c r="A34" s="9"/>
      <c r="B34" s="51" t="s">
        <v>47</v>
      </c>
      <c r="C34" s="52" t="s">
        <v>48</v>
      </c>
      <c r="D34" s="289"/>
      <c r="E34" s="289"/>
      <c r="F34" s="18"/>
      <c r="G34" s="19"/>
      <c r="H34" s="289"/>
      <c r="I34" s="289"/>
      <c r="J34" s="18"/>
      <c r="K34" s="19"/>
    </row>
    <row r="35" spans="1:11" ht="15.95" customHeight="1" x14ac:dyDescent="0.25">
      <c r="A35" s="9"/>
      <c r="B35" s="51" t="s">
        <v>49</v>
      </c>
      <c r="C35" s="52" t="s">
        <v>50</v>
      </c>
      <c r="D35" s="289"/>
      <c r="E35" s="289"/>
      <c r="F35" s="18"/>
      <c r="G35" s="19"/>
      <c r="H35" s="289"/>
      <c r="I35" s="289"/>
      <c r="J35" s="18"/>
      <c r="K35" s="19"/>
    </row>
    <row r="36" spans="1:11" ht="15.95" customHeight="1" x14ac:dyDescent="0.25">
      <c r="A36" s="9"/>
      <c r="B36" s="51" t="s">
        <v>51</v>
      </c>
      <c r="C36" s="52" t="s">
        <v>52</v>
      </c>
      <c r="D36" s="289"/>
      <c r="E36" s="289"/>
      <c r="F36" s="18"/>
      <c r="G36" s="19"/>
      <c r="H36" s="289"/>
      <c r="I36" s="289"/>
      <c r="J36" s="18"/>
      <c r="K36" s="19"/>
    </row>
    <row r="37" spans="1:11" ht="15.95" customHeight="1" x14ac:dyDescent="0.25">
      <c r="A37" s="9" t="s">
        <v>53</v>
      </c>
      <c r="B37" s="683" t="s">
        <v>54</v>
      </c>
      <c r="C37" s="683"/>
      <c r="D37" s="289">
        <f>SUM(D38:D40)</f>
        <v>0</v>
      </c>
      <c r="E37" s="289">
        <f>SUM(E38:E40)</f>
        <v>0</v>
      </c>
      <c r="F37" s="18">
        <f>SUM(F38:F40)</f>
        <v>0</v>
      </c>
      <c r="G37" s="19"/>
      <c r="H37" s="289">
        <f>SUM(H38:H40)</f>
        <v>0</v>
      </c>
      <c r="I37" s="289">
        <f>SUM(I38:I40)</f>
        <v>0</v>
      </c>
      <c r="J37" s="18">
        <f>SUM(J38:J40)</f>
        <v>0</v>
      </c>
      <c r="K37" s="19"/>
    </row>
    <row r="38" spans="1:11" ht="15.95" customHeight="1" x14ac:dyDescent="0.25">
      <c r="A38" s="9"/>
      <c r="B38" s="55" t="s">
        <v>55</v>
      </c>
      <c r="C38" s="418" t="s">
        <v>56</v>
      </c>
      <c r="D38" s="289"/>
      <c r="E38" s="289"/>
      <c r="F38" s="18"/>
      <c r="G38" s="19"/>
      <c r="H38" s="289"/>
      <c r="I38" s="289"/>
      <c r="J38" s="18"/>
      <c r="K38" s="19"/>
    </row>
    <row r="39" spans="1:11" ht="15.95" customHeight="1" x14ac:dyDescent="0.25">
      <c r="A39" s="9"/>
      <c r="B39" s="55" t="s">
        <v>57</v>
      </c>
      <c r="C39" s="418" t="s">
        <v>58</v>
      </c>
      <c r="D39" s="289"/>
      <c r="E39" s="289"/>
      <c r="F39" s="18">
        <f t="shared" ref="F39:F45" si="1">SUM(D39:D39)</f>
        <v>0</v>
      </c>
      <c r="G39" s="19"/>
      <c r="H39" s="289"/>
      <c r="I39" s="289"/>
      <c r="J39" s="18">
        <f t="shared" ref="J39" si="2">SUM(H39:H39)</f>
        <v>0</v>
      </c>
      <c r="K39" s="19"/>
    </row>
    <row r="40" spans="1:11" ht="15.95" customHeight="1" x14ac:dyDescent="0.25">
      <c r="A40" s="9"/>
      <c r="B40" s="55" t="s">
        <v>59</v>
      </c>
      <c r="C40" s="418" t="s">
        <v>60</v>
      </c>
      <c r="D40" s="289"/>
      <c r="E40" s="289"/>
      <c r="F40" s="18"/>
      <c r="G40" s="19"/>
      <c r="H40" s="289"/>
      <c r="I40" s="289"/>
      <c r="J40" s="18"/>
      <c r="K40" s="19"/>
    </row>
    <row r="41" spans="1:11" ht="15.95" customHeight="1" x14ac:dyDescent="0.25">
      <c r="A41" s="9" t="s">
        <v>16</v>
      </c>
      <c r="B41" s="683" t="s">
        <v>61</v>
      </c>
      <c r="C41" s="683"/>
      <c r="D41" s="289">
        <f>+F41</f>
        <v>0</v>
      </c>
      <c r="E41" s="289">
        <f>+G41</f>
        <v>0</v>
      </c>
      <c r="F41" s="32">
        <f>SUM(F42:F45)</f>
        <v>0</v>
      </c>
      <c r="G41" s="19"/>
      <c r="H41" s="289">
        <f>+J41</f>
        <v>0</v>
      </c>
      <c r="I41" s="289">
        <f>+K41</f>
        <v>0</v>
      </c>
      <c r="J41" s="32">
        <f>SUM(J42:J45)</f>
        <v>0</v>
      </c>
      <c r="K41" s="19"/>
    </row>
    <row r="42" spans="1:11" ht="15.95" customHeight="1" x14ac:dyDescent="0.25">
      <c r="A42" s="9"/>
      <c r="B42" s="55" t="s">
        <v>62</v>
      </c>
      <c r="C42" s="418" t="s">
        <v>63</v>
      </c>
      <c r="D42" s="289">
        <f>+F42</f>
        <v>0</v>
      </c>
      <c r="E42" s="289">
        <f>+G42</f>
        <v>0</v>
      </c>
      <c r="F42" s="18"/>
      <c r="G42" s="19"/>
      <c r="H42" s="289">
        <f>+J42</f>
        <v>0</v>
      </c>
      <c r="I42" s="289">
        <f>+K42</f>
        <v>0</v>
      </c>
      <c r="J42" s="18"/>
      <c r="K42" s="19"/>
    </row>
    <row r="43" spans="1:11" ht="15.95" customHeight="1" x14ac:dyDescent="0.25">
      <c r="A43" s="9"/>
      <c r="B43" s="55" t="s">
        <v>64</v>
      </c>
      <c r="C43" s="418" t="s">
        <v>65</v>
      </c>
      <c r="D43" s="289"/>
      <c r="E43" s="289"/>
      <c r="F43" s="18">
        <f t="shared" si="1"/>
        <v>0</v>
      </c>
      <c r="G43" s="19"/>
      <c r="H43" s="289"/>
      <c r="I43" s="289"/>
      <c r="J43" s="18">
        <f t="shared" ref="J43:J45" si="3">SUM(H43:H43)</f>
        <v>0</v>
      </c>
      <c r="K43" s="19"/>
    </row>
    <row r="44" spans="1:11" ht="15.95" customHeight="1" x14ac:dyDescent="0.25">
      <c r="A44" s="9"/>
      <c r="B44" s="55" t="s">
        <v>66</v>
      </c>
      <c r="C44" s="418" t="s">
        <v>301</v>
      </c>
      <c r="D44" s="289"/>
      <c r="E44" s="289"/>
      <c r="F44" s="18">
        <f t="shared" si="1"/>
        <v>0</v>
      </c>
      <c r="G44" s="19"/>
      <c r="H44" s="289"/>
      <c r="I44" s="289"/>
      <c r="J44" s="18">
        <f t="shared" si="3"/>
        <v>0</v>
      </c>
      <c r="K44" s="19"/>
    </row>
    <row r="45" spans="1:11" ht="15.95" customHeight="1" x14ac:dyDescent="0.25">
      <c r="A45" s="9"/>
      <c r="B45" s="55" t="s">
        <v>68</v>
      </c>
      <c r="C45" s="418" t="s">
        <v>69</v>
      </c>
      <c r="D45" s="289"/>
      <c r="E45" s="289"/>
      <c r="F45" s="18">
        <f t="shared" si="1"/>
        <v>0</v>
      </c>
      <c r="G45" s="19"/>
      <c r="H45" s="289"/>
      <c r="I45" s="289"/>
      <c r="J45" s="18">
        <f t="shared" si="3"/>
        <v>0</v>
      </c>
      <c r="K45" s="19"/>
    </row>
    <row r="46" spans="1:11" s="333" customFormat="1" ht="15.95" customHeight="1" x14ac:dyDescent="0.25">
      <c r="A46" s="26" t="s">
        <v>1</v>
      </c>
      <c r="B46" s="687" t="s">
        <v>70</v>
      </c>
      <c r="C46" s="687"/>
      <c r="D46" s="289">
        <f t="shared" ref="D46:K46" si="4">+D32+D33+D37+D41</f>
        <v>1350</v>
      </c>
      <c r="E46" s="289">
        <f t="shared" si="4"/>
        <v>1350</v>
      </c>
      <c r="F46" s="289">
        <f t="shared" si="4"/>
        <v>0</v>
      </c>
      <c r="G46" s="289">
        <f t="shared" si="4"/>
        <v>0</v>
      </c>
      <c r="H46" s="289">
        <f t="shared" si="4"/>
        <v>2361</v>
      </c>
      <c r="I46" s="289">
        <f t="shared" si="4"/>
        <v>2361</v>
      </c>
      <c r="J46" s="289">
        <f t="shared" si="4"/>
        <v>0</v>
      </c>
      <c r="K46" s="289">
        <f t="shared" si="4"/>
        <v>0</v>
      </c>
    </row>
    <row r="47" spans="1:11" ht="15.95" customHeight="1" x14ac:dyDescent="0.25">
      <c r="A47" s="9" t="s">
        <v>18</v>
      </c>
      <c r="B47" s="683" t="s">
        <v>71</v>
      </c>
      <c r="C47" s="683"/>
      <c r="D47" s="289">
        <f>SUM(D48:D49)</f>
        <v>0</v>
      </c>
      <c r="E47" s="289">
        <f>SUM(E48:E49)</f>
        <v>0</v>
      </c>
      <c r="F47" s="32">
        <f>SUM(F48:F49)</f>
        <v>0</v>
      </c>
      <c r="G47" s="19"/>
      <c r="H47" s="289">
        <f>SUM(H48:H49)</f>
        <v>0</v>
      </c>
      <c r="I47" s="289">
        <f>SUM(I48:I49)</f>
        <v>0</v>
      </c>
      <c r="J47" s="32">
        <f>SUM(J48:J49)</f>
        <v>0</v>
      </c>
      <c r="K47" s="19"/>
    </row>
    <row r="48" spans="1:11" ht="15.95" customHeight="1" x14ac:dyDescent="0.25">
      <c r="A48" s="9"/>
      <c r="B48" s="55" t="s">
        <v>72</v>
      </c>
      <c r="C48" s="418" t="s">
        <v>73</v>
      </c>
      <c r="D48" s="289"/>
      <c r="E48" s="289"/>
      <c r="F48" s="18">
        <f t="shared" ref="F48:F56" si="5">SUM(D48:D48)</f>
        <v>0</v>
      </c>
      <c r="G48" s="19"/>
      <c r="H48" s="289"/>
      <c r="I48" s="289"/>
      <c r="J48" s="18">
        <f t="shared" ref="J48" si="6">SUM(H48:H48)</f>
        <v>0</v>
      </c>
      <c r="K48" s="19"/>
    </row>
    <row r="49" spans="1:11" ht="15.95" customHeight="1" x14ac:dyDescent="0.25">
      <c r="A49" s="9"/>
      <c r="B49" s="55" t="s">
        <v>74</v>
      </c>
      <c r="C49" s="418" t="s">
        <v>75</v>
      </c>
      <c r="D49" s="289"/>
      <c r="E49" s="289"/>
      <c r="F49" s="18"/>
      <c r="G49" s="19"/>
      <c r="H49" s="289"/>
      <c r="I49" s="289"/>
      <c r="J49" s="18"/>
      <c r="K49" s="19"/>
    </row>
    <row r="50" spans="1:11" ht="15.95" customHeight="1" x14ac:dyDescent="0.25">
      <c r="A50" s="9" t="s">
        <v>29</v>
      </c>
      <c r="B50" s="683" t="s">
        <v>76</v>
      </c>
      <c r="C50" s="683"/>
      <c r="D50" s="289">
        <f>SUM(D51:D52)</f>
        <v>0</v>
      </c>
      <c r="E50" s="289">
        <f>SUM(E51:E52)</f>
        <v>0</v>
      </c>
      <c r="F50" s="18">
        <f t="shared" si="5"/>
        <v>0</v>
      </c>
      <c r="G50" s="19"/>
      <c r="H50" s="289">
        <f>SUM(H51:H52)</f>
        <v>0</v>
      </c>
      <c r="I50" s="289">
        <f>SUM(I51:I52)</f>
        <v>0</v>
      </c>
      <c r="J50" s="18">
        <f t="shared" ref="J50:J52" si="7">SUM(H50:H50)</f>
        <v>0</v>
      </c>
      <c r="K50" s="19"/>
    </row>
    <row r="51" spans="1:11" ht="15.95" customHeight="1" x14ac:dyDescent="0.25">
      <c r="A51" s="9"/>
      <c r="B51" s="55" t="s">
        <v>77</v>
      </c>
      <c r="C51" s="418" t="s">
        <v>78</v>
      </c>
      <c r="D51" s="289"/>
      <c r="E51" s="289"/>
      <c r="F51" s="18">
        <f t="shared" si="5"/>
        <v>0</v>
      </c>
      <c r="G51" s="19"/>
      <c r="H51" s="289"/>
      <c r="I51" s="289"/>
      <c r="J51" s="18">
        <f t="shared" si="7"/>
        <v>0</v>
      </c>
      <c r="K51" s="19"/>
    </row>
    <row r="52" spans="1:11" ht="15.95" customHeight="1" x14ac:dyDescent="0.25">
      <c r="A52" s="9"/>
      <c r="B52" s="55" t="s">
        <v>79</v>
      </c>
      <c r="C52" s="418" t="s">
        <v>80</v>
      </c>
      <c r="D52" s="289">
        <v>0</v>
      </c>
      <c r="E52" s="289">
        <v>0</v>
      </c>
      <c r="F52" s="18">
        <f t="shared" si="5"/>
        <v>0</v>
      </c>
      <c r="G52" s="19"/>
      <c r="H52" s="289">
        <v>0</v>
      </c>
      <c r="I52" s="289">
        <v>0</v>
      </c>
      <c r="J52" s="18">
        <f t="shared" si="7"/>
        <v>0</v>
      </c>
      <c r="K52" s="19"/>
    </row>
    <row r="53" spans="1:11" ht="15.95" customHeight="1" x14ac:dyDescent="0.25">
      <c r="A53" s="9" t="s">
        <v>31</v>
      </c>
      <c r="B53" s="683" t="s">
        <v>81</v>
      </c>
      <c r="C53" s="683"/>
      <c r="D53" s="289">
        <f>SUM(D54:D56)</f>
        <v>0</v>
      </c>
      <c r="E53" s="289">
        <f>SUM(E54:E56)</f>
        <v>0</v>
      </c>
      <c r="F53" s="18">
        <f>SUM(F54:F56)</f>
        <v>0</v>
      </c>
      <c r="G53" s="19"/>
      <c r="H53" s="289">
        <f>SUM(H54:H56)</f>
        <v>0</v>
      </c>
      <c r="I53" s="289">
        <f>SUM(I54:I56)</f>
        <v>0</v>
      </c>
      <c r="J53" s="18">
        <f>SUM(J54:J56)</f>
        <v>0</v>
      </c>
      <c r="K53" s="19"/>
    </row>
    <row r="54" spans="1:11" ht="15.95" customHeight="1" x14ac:dyDescent="0.25">
      <c r="A54" s="9"/>
      <c r="B54" s="55" t="s">
        <v>82</v>
      </c>
      <c r="C54" s="418" t="s">
        <v>83</v>
      </c>
      <c r="D54" s="289"/>
      <c r="E54" s="289"/>
      <c r="F54" s="18"/>
      <c r="G54" s="19"/>
      <c r="H54" s="289"/>
      <c r="I54" s="289"/>
      <c r="J54" s="18"/>
      <c r="K54" s="19"/>
    </row>
    <row r="55" spans="1:11" ht="15.95" customHeight="1" x14ac:dyDescent="0.25">
      <c r="A55" s="9"/>
      <c r="B55" s="55" t="s">
        <v>84</v>
      </c>
      <c r="C55" s="418" t="s">
        <v>85</v>
      </c>
      <c r="D55" s="289"/>
      <c r="E55" s="289"/>
      <c r="F55" s="18">
        <f t="shared" si="5"/>
        <v>0</v>
      </c>
      <c r="G55" s="19"/>
      <c r="H55" s="289"/>
      <c r="I55" s="289"/>
      <c r="J55" s="18">
        <f t="shared" ref="J55:J56" si="8">SUM(H55:H55)</f>
        <v>0</v>
      </c>
      <c r="K55" s="19"/>
    </row>
    <row r="56" spans="1:11" ht="15.95" customHeight="1" x14ac:dyDescent="0.25">
      <c r="A56" s="9"/>
      <c r="B56" s="55" t="s">
        <v>86</v>
      </c>
      <c r="C56" s="418" t="s">
        <v>87</v>
      </c>
      <c r="D56" s="289"/>
      <c r="E56" s="289"/>
      <c r="F56" s="18">
        <f t="shared" si="5"/>
        <v>0</v>
      </c>
      <c r="G56" s="19"/>
      <c r="H56" s="289"/>
      <c r="I56" s="289"/>
      <c r="J56" s="18">
        <f t="shared" si="8"/>
        <v>0</v>
      </c>
      <c r="K56" s="19"/>
    </row>
    <row r="57" spans="1:11" s="333" customFormat="1" ht="15.95" customHeight="1" x14ac:dyDescent="0.25">
      <c r="A57" s="26" t="s">
        <v>35</v>
      </c>
      <c r="B57" s="687" t="s">
        <v>88</v>
      </c>
      <c r="C57" s="687"/>
      <c r="D57" s="293">
        <f t="shared" ref="D57:K57" si="9">+D47+D50+D53</f>
        <v>0</v>
      </c>
      <c r="E57" s="293">
        <f t="shared" si="9"/>
        <v>0</v>
      </c>
      <c r="F57" s="33">
        <f t="shared" si="9"/>
        <v>0</v>
      </c>
      <c r="G57" s="298">
        <f t="shared" si="9"/>
        <v>0</v>
      </c>
      <c r="H57" s="293">
        <f t="shared" si="9"/>
        <v>0</v>
      </c>
      <c r="I57" s="293">
        <f t="shared" si="9"/>
        <v>0</v>
      </c>
      <c r="J57" s="33">
        <f t="shared" si="9"/>
        <v>0</v>
      </c>
      <c r="K57" s="298">
        <f t="shared" si="9"/>
        <v>0</v>
      </c>
    </row>
    <row r="58" spans="1:11" s="333" customFormat="1" ht="15.95" customHeight="1" x14ac:dyDescent="0.25">
      <c r="A58" s="26" t="s">
        <v>37</v>
      </c>
      <c r="B58" s="687" t="s">
        <v>89</v>
      </c>
      <c r="C58" s="687"/>
      <c r="D58" s="293"/>
      <c r="E58" s="293"/>
      <c r="F58" s="299"/>
      <c r="G58" s="300"/>
      <c r="H58" s="293"/>
      <c r="I58" s="293"/>
      <c r="J58" s="299"/>
      <c r="K58" s="300"/>
    </row>
    <row r="59" spans="1:11" s="333" customFormat="1" ht="15.95" customHeight="1" x14ac:dyDescent="0.25">
      <c r="A59" s="26" t="s">
        <v>38</v>
      </c>
      <c r="B59" s="687" t="s">
        <v>90</v>
      </c>
      <c r="C59" s="687"/>
      <c r="D59" s="293"/>
      <c r="E59" s="293"/>
      <c r="F59" s="299"/>
      <c r="G59" s="300"/>
      <c r="H59" s="293"/>
      <c r="I59" s="293"/>
      <c r="J59" s="299"/>
      <c r="K59" s="300"/>
    </row>
    <row r="60" spans="1:11" s="335" customFormat="1" ht="15.95" customHeight="1" x14ac:dyDescent="0.3">
      <c r="A60" s="36" t="s">
        <v>91</v>
      </c>
      <c r="B60" s="680" t="s">
        <v>92</v>
      </c>
      <c r="C60" s="680"/>
      <c r="D60" s="295">
        <f t="shared" ref="D60:K60" si="10">+D46+D57+D58+D59</f>
        <v>1350</v>
      </c>
      <c r="E60" s="295">
        <f t="shared" si="10"/>
        <v>1350</v>
      </c>
      <c r="F60" s="66">
        <f t="shared" si="10"/>
        <v>0</v>
      </c>
      <c r="G60" s="67">
        <f t="shared" si="10"/>
        <v>0</v>
      </c>
      <c r="H60" s="295">
        <f t="shared" si="10"/>
        <v>2361</v>
      </c>
      <c r="I60" s="295">
        <f t="shared" si="10"/>
        <v>2361</v>
      </c>
      <c r="J60" s="66">
        <f t="shared" si="10"/>
        <v>0</v>
      </c>
      <c r="K60" s="67">
        <f t="shared" si="10"/>
        <v>0</v>
      </c>
    </row>
    <row r="61" spans="1:11" s="335" customFormat="1" ht="15.95" customHeight="1" x14ac:dyDescent="0.3">
      <c r="A61" s="36"/>
      <c r="B61" s="680" t="s">
        <v>93</v>
      </c>
      <c r="C61" s="680"/>
      <c r="D61" s="295">
        <f t="shared" ref="D61:K61" si="11">+D29-D60</f>
        <v>60463</v>
      </c>
      <c r="E61" s="295">
        <f t="shared" si="11"/>
        <v>60463</v>
      </c>
      <c r="F61" s="66">
        <f t="shared" si="11"/>
        <v>0</v>
      </c>
      <c r="G61" s="67">
        <f t="shared" si="11"/>
        <v>0</v>
      </c>
      <c r="H61" s="295">
        <f t="shared" si="11"/>
        <v>58525</v>
      </c>
      <c r="I61" s="295">
        <f t="shared" si="11"/>
        <v>58525</v>
      </c>
      <c r="J61" s="66">
        <f t="shared" si="11"/>
        <v>0</v>
      </c>
      <c r="K61" s="67">
        <f t="shared" si="11"/>
        <v>0</v>
      </c>
    </row>
    <row r="62" spans="1:11" s="335" customFormat="1" ht="15.95" customHeight="1" x14ac:dyDescent="0.3">
      <c r="A62" s="36"/>
      <c r="B62" s="687" t="s">
        <v>94</v>
      </c>
      <c r="C62" s="687"/>
      <c r="D62" s="295">
        <v>59198</v>
      </c>
      <c r="E62" s="295">
        <v>59198</v>
      </c>
      <c r="F62" s="66"/>
      <c r="G62" s="67"/>
      <c r="H62" s="295">
        <v>57426</v>
      </c>
      <c r="I62" s="295">
        <v>57426</v>
      </c>
      <c r="J62" s="66"/>
      <c r="K62" s="67"/>
    </row>
    <row r="63" spans="1:11" ht="15.95" customHeight="1" x14ac:dyDescent="0.25">
      <c r="A63" s="26" t="s">
        <v>39</v>
      </c>
      <c r="B63" s="687" t="s">
        <v>95</v>
      </c>
      <c r="C63" s="687"/>
      <c r="D63" s="289">
        <f>D64+D65</f>
        <v>1265</v>
      </c>
      <c r="E63" s="289">
        <f>E64+E65</f>
        <v>1265</v>
      </c>
      <c r="F63" s="18"/>
      <c r="G63" s="21"/>
      <c r="H63" s="289">
        <f>H64+H65</f>
        <v>1099</v>
      </c>
      <c r="I63" s="289">
        <f>I64+I65</f>
        <v>1099</v>
      </c>
      <c r="J63" s="18"/>
      <c r="K63" s="21"/>
    </row>
    <row r="64" spans="1:11" s="335" customFormat="1" ht="15.95" customHeight="1" x14ac:dyDescent="0.3">
      <c r="A64" s="36"/>
      <c r="B64" s="68" t="s">
        <v>43</v>
      </c>
      <c r="C64" s="418" t="s">
        <v>96</v>
      </c>
      <c r="D64" s="289">
        <v>1265</v>
      </c>
      <c r="E64" s="289">
        <v>1265</v>
      </c>
      <c r="F64" s="76"/>
      <c r="G64" s="69"/>
      <c r="H64" s="289">
        <v>1099</v>
      </c>
      <c r="I64" s="289">
        <v>1099</v>
      </c>
      <c r="J64" s="76"/>
      <c r="K64" s="69"/>
    </row>
    <row r="65" spans="1:11" s="335" customFormat="1" ht="15.95" customHeight="1" x14ac:dyDescent="0.3">
      <c r="A65" s="36"/>
      <c r="B65" s="68" t="s">
        <v>45</v>
      </c>
      <c r="C65" s="418" t="s">
        <v>97</v>
      </c>
      <c r="D65" s="301"/>
      <c r="E65" s="301"/>
      <c r="F65" s="18"/>
      <c r="G65" s="69"/>
      <c r="H65" s="301"/>
      <c r="I65" s="301"/>
      <c r="J65" s="18"/>
      <c r="K65" s="69"/>
    </row>
    <row r="66" spans="1:11" s="335" customFormat="1" ht="39.75" customHeight="1" x14ac:dyDescent="0.3">
      <c r="A66" s="36" t="s">
        <v>98</v>
      </c>
      <c r="B66" s="685" t="s">
        <v>99</v>
      </c>
      <c r="C66" s="685"/>
      <c r="D66" s="295">
        <f>+D63</f>
        <v>1265</v>
      </c>
      <c r="E66" s="295">
        <f>+E63</f>
        <v>1265</v>
      </c>
      <c r="F66" s="66">
        <f>+F63</f>
        <v>0</v>
      </c>
      <c r="G66" s="69"/>
      <c r="H66" s="295">
        <f>+H63</f>
        <v>1099</v>
      </c>
      <c r="I66" s="295">
        <f>+I63</f>
        <v>1099</v>
      </c>
      <c r="J66" s="66">
        <f>+J63</f>
        <v>0</v>
      </c>
      <c r="K66" s="69"/>
    </row>
    <row r="67" spans="1:11" s="335" customFormat="1" ht="15.95" customHeight="1" x14ac:dyDescent="0.3">
      <c r="A67" s="9" t="s">
        <v>100</v>
      </c>
      <c r="B67" s="683" t="s">
        <v>101</v>
      </c>
      <c r="C67" s="683"/>
      <c r="D67" s="295"/>
      <c r="E67" s="295"/>
      <c r="F67" s="72">
        <f t="shared" ref="F67:F80" si="12">SUM(D67:E67)</f>
        <v>0</v>
      </c>
      <c r="G67" s="73"/>
      <c r="H67" s="295"/>
      <c r="I67" s="295"/>
      <c r="J67" s="72">
        <f t="shared" ref="J67:J70" si="13">SUM(H67:I67)</f>
        <v>0</v>
      </c>
      <c r="K67" s="73"/>
    </row>
    <row r="68" spans="1:11" s="335" customFormat="1" ht="15.95" customHeight="1" x14ac:dyDescent="0.3">
      <c r="A68" s="9" t="s">
        <v>102</v>
      </c>
      <c r="B68" s="683" t="s">
        <v>103</v>
      </c>
      <c r="C68" s="683"/>
      <c r="D68" s="295">
        <f>SUM(D69:D72)</f>
        <v>0</v>
      </c>
      <c r="E68" s="295">
        <f>SUM(E69:E72)</f>
        <v>0</v>
      </c>
      <c r="F68" s="72">
        <f t="shared" si="12"/>
        <v>0</v>
      </c>
      <c r="G68" s="73"/>
      <c r="H68" s="295">
        <f>SUM(H69:H72)</f>
        <v>0</v>
      </c>
      <c r="I68" s="295">
        <f>SUM(I69:I72)</f>
        <v>0</v>
      </c>
      <c r="J68" s="72">
        <f t="shared" si="13"/>
        <v>0</v>
      </c>
      <c r="K68" s="73"/>
    </row>
    <row r="69" spans="1:11" s="335" customFormat="1" ht="15.95" customHeight="1" x14ac:dyDescent="0.3">
      <c r="A69" s="9"/>
      <c r="B69" s="55" t="s">
        <v>43</v>
      </c>
      <c r="C69" s="418" t="s">
        <v>302</v>
      </c>
      <c r="D69" s="301"/>
      <c r="E69" s="301"/>
      <c r="F69" s="76">
        <f t="shared" si="12"/>
        <v>0</v>
      </c>
      <c r="G69" s="73"/>
      <c r="H69" s="301"/>
      <c r="I69" s="301"/>
      <c r="J69" s="76">
        <f t="shared" si="13"/>
        <v>0</v>
      </c>
      <c r="K69" s="73"/>
    </row>
    <row r="70" spans="1:11" s="335" customFormat="1" ht="15.95" customHeight="1" x14ac:dyDescent="0.3">
      <c r="A70" s="9"/>
      <c r="B70" s="55" t="s">
        <v>45</v>
      </c>
      <c r="C70" s="418" t="s">
        <v>105</v>
      </c>
      <c r="D70" s="295"/>
      <c r="E70" s="295"/>
      <c r="F70" s="72">
        <f t="shared" si="12"/>
        <v>0</v>
      </c>
      <c r="G70" s="73"/>
      <c r="H70" s="295"/>
      <c r="I70" s="295"/>
      <c r="J70" s="72">
        <f t="shared" si="13"/>
        <v>0</v>
      </c>
      <c r="K70" s="73"/>
    </row>
    <row r="71" spans="1:11" s="335" customFormat="1" ht="15.95" customHeight="1" x14ac:dyDescent="0.3">
      <c r="A71" s="9"/>
      <c r="B71" s="55" t="s">
        <v>53</v>
      </c>
      <c r="C71" s="418" t="s">
        <v>106</v>
      </c>
      <c r="D71" s="301"/>
      <c r="E71" s="301"/>
      <c r="F71" s="72"/>
      <c r="G71" s="73"/>
      <c r="H71" s="301"/>
      <c r="I71" s="301"/>
      <c r="J71" s="72"/>
      <c r="K71" s="73"/>
    </row>
    <row r="72" spans="1:11" s="335" customFormat="1" ht="15.95" customHeight="1" x14ac:dyDescent="0.3">
      <c r="A72" s="9"/>
      <c r="B72" s="55" t="s">
        <v>16</v>
      </c>
      <c r="C72" s="418" t="s">
        <v>107</v>
      </c>
      <c r="D72" s="301"/>
      <c r="E72" s="301"/>
      <c r="F72" s="72"/>
      <c r="G72" s="73"/>
      <c r="H72" s="301"/>
      <c r="I72" s="301"/>
      <c r="J72" s="72"/>
      <c r="K72" s="73"/>
    </row>
    <row r="73" spans="1:11" s="335" customFormat="1" ht="33" customHeight="1" x14ac:dyDescent="0.3">
      <c r="A73" s="36" t="s">
        <v>108</v>
      </c>
      <c r="B73" s="684" t="s">
        <v>109</v>
      </c>
      <c r="C73" s="684"/>
      <c r="D73" s="295">
        <f>+D67+D68</f>
        <v>0</v>
      </c>
      <c r="E73" s="295">
        <f>+E67+E68</f>
        <v>0</v>
      </c>
      <c r="F73" s="72">
        <f t="shared" si="12"/>
        <v>0</v>
      </c>
      <c r="G73" s="73"/>
      <c r="H73" s="295">
        <f>+H67+H68</f>
        <v>0</v>
      </c>
      <c r="I73" s="295">
        <f>+I67+I68</f>
        <v>0</v>
      </c>
      <c r="J73" s="72">
        <f t="shared" ref="J73" si="14">SUM(H73:I73)</f>
        <v>0</v>
      </c>
      <c r="K73" s="73"/>
    </row>
    <row r="74" spans="1:11" s="335" customFormat="1" ht="15.95" customHeight="1" x14ac:dyDescent="0.3">
      <c r="A74" s="36" t="s">
        <v>110</v>
      </c>
      <c r="B74" s="680" t="s">
        <v>111</v>
      </c>
      <c r="C74" s="680"/>
      <c r="D74" s="71">
        <f>+D66+D73+D62</f>
        <v>60463</v>
      </c>
      <c r="E74" s="71">
        <f>+E66+E73+E62</f>
        <v>60463</v>
      </c>
      <c r="F74" s="71">
        <f>+F66+F73+F62</f>
        <v>0</v>
      </c>
      <c r="G74" s="73"/>
      <c r="H74" s="71">
        <f>+H66+H73+H62</f>
        <v>58525</v>
      </c>
      <c r="I74" s="71">
        <f>+I66+I73+I62</f>
        <v>58525</v>
      </c>
      <c r="J74" s="71">
        <f>+J66+J73+J62</f>
        <v>0</v>
      </c>
      <c r="K74" s="73"/>
    </row>
    <row r="75" spans="1:11" s="335" customFormat="1" ht="15.95" customHeight="1" x14ac:dyDescent="0.3">
      <c r="A75" s="9" t="s">
        <v>112</v>
      </c>
      <c r="B75" s="683" t="s">
        <v>303</v>
      </c>
      <c r="C75" s="683"/>
      <c r="D75" s="295"/>
      <c r="E75" s="295"/>
      <c r="F75" s="72">
        <f t="shared" si="12"/>
        <v>0</v>
      </c>
      <c r="G75" s="73"/>
      <c r="H75" s="295"/>
      <c r="I75" s="295"/>
      <c r="J75" s="72">
        <f t="shared" ref="J75:J80" si="15">SUM(H75:I75)</f>
        <v>0</v>
      </c>
      <c r="K75" s="73"/>
    </row>
    <row r="76" spans="1:11" s="335" customFormat="1" ht="15.95" customHeight="1" x14ac:dyDescent="0.3">
      <c r="A76" s="9" t="s">
        <v>114</v>
      </c>
      <c r="B76" s="683" t="s">
        <v>115</v>
      </c>
      <c r="C76" s="683"/>
      <c r="D76" s="301">
        <f>SUM(D77:D79)</f>
        <v>0</v>
      </c>
      <c r="E76" s="301">
        <f>SUM(E77:E79)</f>
        <v>0</v>
      </c>
      <c r="F76" s="76">
        <f t="shared" si="12"/>
        <v>0</v>
      </c>
      <c r="G76" s="73"/>
      <c r="H76" s="301">
        <f>SUM(H77:H79)</f>
        <v>0</v>
      </c>
      <c r="I76" s="301">
        <f>SUM(I77:I79)</f>
        <v>0</v>
      </c>
      <c r="J76" s="76">
        <f t="shared" si="15"/>
        <v>0</v>
      </c>
      <c r="K76" s="73"/>
    </row>
    <row r="77" spans="1:11" s="335" customFormat="1" ht="15.95" customHeight="1" x14ac:dyDescent="0.3">
      <c r="A77" s="9"/>
      <c r="B77" s="55" t="s">
        <v>43</v>
      </c>
      <c r="C77" s="418" t="s">
        <v>304</v>
      </c>
      <c r="D77" s="301"/>
      <c r="E77" s="301"/>
      <c r="F77" s="76">
        <f t="shared" si="12"/>
        <v>0</v>
      </c>
      <c r="G77" s="73"/>
      <c r="H77" s="301"/>
      <c r="I77" s="301"/>
      <c r="J77" s="76">
        <f t="shared" si="15"/>
        <v>0</v>
      </c>
      <c r="K77" s="73"/>
    </row>
    <row r="78" spans="1:11" s="335" customFormat="1" ht="15.95" customHeight="1" x14ac:dyDescent="0.3">
      <c r="A78" s="9"/>
      <c r="B78" s="55" t="s">
        <v>45</v>
      </c>
      <c r="C78" s="418" t="s">
        <v>305</v>
      </c>
      <c r="D78" s="301"/>
      <c r="E78" s="301"/>
      <c r="F78" s="76">
        <f t="shared" si="12"/>
        <v>0</v>
      </c>
      <c r="G78" s="73"/>
      <c r="H78" s="301"/>
      <c r="I78" s="301"/>
      <c r="J78" s="76">
        <f t="shared" si="15"/>
        <v>0</v>
      </c>
      <c r="K78" s="73"/>
    </row>
    <row r="79" spans="1:11" s="335" customFormat="1" ht="15.95" customHeight="1" x14ac:dyDescent="0.3">
      <c r="A79" s="9"/>
      <c r="B79" s="55" t="s">
        <v>53</v>
      </c>
      <c r="C79" s="418" t="s">
        <v>118</v>
      </c>
      <c r="D79" s="301"/>
      <c r="E79" s="301"/>
      <c r="F79" s="76">
        <f t="shared" si="12"/>
        <v>0</v>
      </c>
      <c r="G79" s="73"/>
      <c r="H79" s="301"/>
      <c r="I79" s="301"/>
      <c r="J79" s="76">
        <f t="shared" si="15"/>
        <v>0</v>
      </c>
      <c r="K79" s="73"/>
    </row>
    <row r="80" spans="1:11" s="335" customFormat="1" ht="15.95" customHeight="1" x14ac:dyDescent="0.3">
      <c r="A80" s="36" t="s">
        <v>120</v>
      </c>
      <c r="B80" s="680" t="s">
        <v>306</v>
      </c>
      <c r="C80" s="680"/>
      <c r="D80" s="295">
        <f>+D75+D76</f>
        <v>0</v>
      </c>
      <c r="E80" s="295">
        <f>+E75+E76</f>
        <v>0</v>
      </c>
      <c r="F80" s="72">
        <f t="shared" si="12"/>
        <v>0</v>
      </c>
      <c r="G80" s="73"/>
      <c r="H80" s="295">
        <f>+H75+H76</f>
        <v>0</v>
      </c>
      <c r="I80" s="295">
        <f>+I75+I76</f>
        <v>0</v>
      </c>
      <c r="J80" s="72">
        <f t="shared" si="15"/>
        <v>0</v>
      </c>
      <c r="K80" s="73"/>
    </row>
    <row r="81" spans="1:11" s="335" customFormat="1" ht="15.95" customHeight="1" x14ac:dyDescent="0.3">
      <c r="A81" s="36" t="s">
        <v>122</v>
      </c>
      <c r="B81" s="680" t="s">
        <v>123</v>
      </c>
      <c r="C81" s="680"/>
      <c r="D81" s="302">
        <f t="shared" ref="D81:K81" si="16">+D29+D80</f>
        <v>61813</v>
      </c>
      <c r="E81" s="302">
        <f t="shared" si="16"/>
        <v>61813</v>
      </c>
      <c r="F81" s="302">
        <f t="shared" si="16"/>
        <v>0</v>
      </c>
      <c r="G81" s="302">
        <f t="shared" si="16"/>
        <v>0</v>
      </c>
      <c r="H81" s="302">
        <f t="shared" si="16"/>
        <v>60886</v>
      </c>
      <c r="I81" s="302">
        <f t="shared" si="16"/>
        <v>60886</v>
      </c>
      <c r="J81" s="302">
        <f t="shared" si="16"/>
        <v>0</v>
      </c>
      <c r="K81" s="302">
        <f t="shared" si="16"/>
        <v>0</v>
      </c>
    </row>
    <row r="82" spans="1:11" s="335" customFormat="1" ht="15.95" customHeight="1" thickBot="1" x14ac:dyDescent="0.35">
      <c r="A82" s="303" t="s">
        <v>124</v>
      </c>
      <c r="B82" s="304" t="s">
        <v>125</v>
      </c>
      <c r="C82" s="304"/>
      <c r="D82" s="305">
        <f t="shared" ref="D82:K82" si="17">+D60+D74</f>
        <v>61813</v>
      </c>
      <c r="E82" s="305">
        <f t="shared" si="17"/>
        <v>61813</v>
      </c>
      <c r="F82" s="305">
        <f t="shared" si="17"/>
        <v>0</v>
      </c>
      <c r="G82" s="305">
        <f t="shared" si="17"/>
        <v>0</v>
      </c>
      <c r="H82" s="305">
        <f t="shared" si="17"/>
        <v>60886</v>
      </c>
      <c r="I82" s="305">
        <f t="shared" si="17"/>
        <v>60886</v>
      </c>
      <c r="J82" s="305">
        <f t="shared" si="17"/>
        <v>0</v>
      </c>
      <c r="K82" s="305">
        <f t="shared" si="17"/>
        <v>0</v>
      </c>
    </row>
    <row r="83" spans="1:11" ht="20.100000000000001" customHeight="1" x14ac:dyDescent="0.25">
      <c r="B83" s="85"/>
      <c r="C83" s="85"/>
      <c r="D83" s="86"/>
      <c r="E83" s="86"/>
      <c r="F83" s="86"/>
      <c r="H83" s="86"/>
      <c r="I83" s="86"/>
      <c r="J83" s="86"/>
    </row>
    <row r="84" spans="1:11" ht="20.100000000000001" customHeight="1" x14ac:dyDescent="0.25">
      <c r="B84" s="85"/>
      <c r="C84" s="85"/>
      <c r="D84" s="87">
        <f t="shared" ref="D84:K84" si="18">+D82-D81</f>
        <v>0</v>
      </c>
      <c r="E84" s="87">
        <f t="shared" si="18"/>
        <v>0</v>
      </c>
      <c r="F84" s="87">
        <f t="shared" si="18"/>
        <v>0</v>
      </c>
      <c r="G84" s="87">
        <f t="shared" si="18"/>
        <v>0</v>
      </c>
      <c r="H84" s="87">
        <f t="shared" si="18"/>
        <v>0</v>
      </c>
      <c r="I84" s="87">
        <f t="shared" si="18"/>
        <v>0</v>
      </c>
      <c r="J84" s="87">
        <f t="shared" si="18"/>
        <v>0</v>
      </c>
      <c r="K84" s="87">
        <f t="shared" si="18"/>
        <v>0</v>
      </c>
    </row>
    <row r="85" spans="1:11" ht="20.100000000000001" customHeight="1" x14ac:dyDescent="0.25">
      <c r="B85" s="85"/>
      <c r="C85" s="85"/>
      <c r="D85" s="86"/>
      <c r="E85" s="86"/>
      <c r="F85" s="86"/>
    </row>
    <row r="86" spans="1:11" ht="20.100000000000001" customHeight="1" x14ac:dyDescent="0.25">
      <c r="B86" s="85"/>
      <c r="C86" s="85"/>
      <c r="D86" s="86"/>
      <c r="E86" s="86"/>
      <c r="F86" s="86"/>
    </row>
    <row r="87" spans="1:11" ht="20.100000000000001" customHeight="1" x14ac:dyDescent="0.25">
      <c r="B87" s="85"/>
      <c r="C87" s="85"/>
      <c r="D87" s="86"/>
      <c r="E87" s="86"/>
      <c r="F87" s="86"/>
    </row>
    <row r="88" spans="1:11" ht="20.100000000000001" customHeight="1" x14ac:dyDescent="0.25">
      <c r="B88" s="85"/>
      <c r="C88" s="85"/>
      <c r="D88" s="86"/>
      <c r="E88" s="86"/>
      <c r="F88" s="86"/>
    </row>
    <row r="89" spans="1:11" ht="20.100000000000001" customHeight="1" x14ac:dyDescent="0.25">
      <c r="B89" s="85"/>
      <c r="C89" s="85"/>
      <c r="D89" s="86"/>
      <c r="E89" s="86"/>
      <c r="F89" s="86"/>
    </row>
    <row r="90" spans="1:11" ht="20.100000000000001" customHeight="1" x14ac:dyDescent="0.25">
      <c r="B90" s="85"/>
      <c r="C90" s="85"/>
      <c r="D90" s="86"/>
      <c r="E90" s="86"/>
      <c r="F90" s="86"/>
    </row>
    <row r="91" spans="1:11" ht="20.100000000000001" customHeight="1" x14ac:dyDescent="0.25">
      <c r="B91" s="85"/>
      <c r="C91" s="85"/>
      <c r="D91" s="86"/>
      <c r="E91" s="86"/>
      <c r="F91" s="86"/>
    </row>
    <row r="92" spans="1:11" ht="20.100000000000001" customHeight="1" x14ac:dyDescent="0.25">
      <c r="B92" s="85"/>
      <c r="C92" s="85"/>
      <c r="D92" s="86"/>
      <c r="E92" s="86"/>
      <c r="F92" s="86"/>
    </row>
    <row r="93" spans="1:11" ht="20.100000000000001" customHeight="1" x14ac:dyDescent="0.25">
      <c r="B93" s="85"/>
      <c r="C93" s="85"/>
      <c r="D93" s="86"/>
      <c r="E93" s="86"/>
      <c r="F93" s="86"/>
    </row>
    <row r="94" spans="1:11" ht="20.100000000000001" customHeight="1" x14ac:dyDescent="0.25">
      <c r="B94" s="85"/>
      <c r="C94" s="85"/>
      <c r="D94" s="86"/>
      <c r="E94" s="86"/>
      <c r="F94" s="86"/>
    </row>
    <row r="95" spans="1:11" ht="20.100000000000001" customHeight="1" x14ac:dyDescent="0.25">
      <c r="B95" s="85"/>
      <c r="C95" s="85"/>
      <c r="D95" s="86"/>
      <c r="E95" s="86"/>
      <c r="F95" s="86"/>
    </row>
    <row r="96" spans="1:11" ht="20.100000000000001" customHeight="1" x14ac:dyDescent="0.25">
      <c r="B96" s="85"/>
      <c r="C96" s="85"/>
      <c r="D96" s="86"/>
      <c r="E96" s="86"/>
      <c r="F96" s="86"/>
    </row>
    <row r="97" spans="2:6" ht="20.100000000000001" customHeight="1" x14ac:dyDescent="0.25">
      <c r="B97" s="85"/>
      <c r="C97" s="85"/>
      <c r="D97" s="86"/>
      <c r="E97" s="86"/>
      <c r="F97" s="86"/>
    </row>
    <row r="98" spans="2:6" ht="20.100000000000001" customHeight="1" x14ac:dyDescent="0.25">
      <c r="B98" s="85"/>
      <c r="C98" s="85"/>
      <c r="D98" s="86"/>
      <c r="E98" s="86"/>
      <c r="F98" s="86"/>
    </row>
    <row r="99" spans="2:6" ht="20.100000000000001" customHeight="1" x14ac:dyDescent="0.25">
      <c r="B99" s="85"/>
      <c r="C99" s="85"/>
      <c r="D99" s="86"/>
      <c r="E99" s="86"/>
      <c r="F99" s="86"/>
    </row>
    <row r="100" spans="2:6" ht="20.100000000000001" customHeight="1" x14ac:dyDescent="0.25">
      <c r="B100" s="85"/>
      <c r="C100" s="85"/>
      <c r="D100" s="86"/>
      <c r="E100" s="86"/>
      <c r="F100" s="86"/>
    </row>
    <row r="101" spans="2:6" ht="20.100000000000001" customHeight="1" x14ac:dyDescent="0.25">
      <c r="B101" s="85"/>
      <c r="C101" s="85"/>
      <c r="D101" s="86"/>
      <c r="E101" s="86"/>
      <c r="F101" s="86"/>
    </row>
    <row r="102" spans="2:6" ht="20.100000000000001" customHeight="1" x14ac:dyDescent="0.25">
      <c r="B102" s="85"/>
      <c r="C102" s="85"/>
      <c r="D102" s="86"/>
      <c r="E102" s="86"/>
      <c r="F102" s="86"/>
    </row>
    <row r="103" spans="2:6" ht="20.100000000000001" customHeight="1" x14ac:dyDescent="0.25">
      <c r="B103" s="85"/>
      <c r="C103" s="85"/>
      <c r="D103" s="86"/>
      <c r="E103" s="86"/>
      <c r="F103" s="86"/>
    </row>
    <row r="104" spans="2:6" ht="20.100000000000001" customHeight="1" x14ac:dyDescent="0.25">
      <c r="B104" s="85"/>
      <c r="C104" s="85"/>
      <c r="D104" s="86"/>
      <c r="E104" s="86"/>
      <c r="F104" s="86"/>
    </row>
    <row r="105" spans="2:6" ht="20.100000000000001" customHeight="1" x14ac:dyDescent="0.25"/>
  </sheetData>
  <mergeCells count="63">
    <mergeCell ref="A6:A8"/>
    <mergeCell ref="B6:C8"/>
    <mergeCell ref="D6:D7"/>
    <mergeCell ref="E6:E7"/>
    <mergeCell ref="F6:F7"/>
    <mergeCell ref="A1:F1"/>
    <mergeCell ref="A2:F2"/>
    <mergeCell ref="A3:G3"/>
    <mergeCell ref="A4:F4"/>
    <mergeCell ref="A5:F5"/>
    <mergeCell ref="B18:C18"/>
    <mergeCell ref="G6:G7"/>
    <mergeCell ref="D8:F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31:C31"/>
    <mergeCell ref="B19:C19"/>
    <mergeCell ref="B20:C20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60:C60"/>
    <mergeCell ref="B32:C32"/>
    <mergeCell ref="B33:C33"/>
    <mergeCell ref="B37:C37"/>
    <mergeCell ref="B41:C41"/>
    <mergeCell ref="B46:C46"/>
    <mergeCell ref="B47:C47"/>
    <mergeCell ref="B50:C50"/>
    <mergeCell ref="B53:C53"/>
    <mergeCell ref="B57:C57"/>
    <mergeCell ref="B58:C58"/>
    <mergeCell ref="B59:C59"/>
    <mergeCell ref="B81:C81"/>
    <mergeCell ref="B61:C61"/>
    <mergeCell ref="B62:C62"/>
    <mergeCell ref="B63:C63"/>
    <mergeCell ref="B66:C66"/>
    <mergeCell ref="B67:C67"/>
    <mergeCell ref="B68:C68"/>
    <mergeCell ref="B73:C73"/>
    <mergeCell ref="B74:C74"/>
    <mergeCell ref="B75:C75"/>
    <mergeCell ref="B76:C76"/>
    <mergeCell ref="B80:C80"/>
    <mergeCell ref="J6:J7"/>
    <mergeCell ref="K6:K7"/>
    <mergeCell ref="H8:J8"/>
    <mergeCell ref="H6:H7"/>
    <mergeCell ref="I6:I7"/>
  </mergeCells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7030A0"/>
  </sheetPr>
  <dimension ref="A1:T65"/>
  <sheetViews>
    <sheetView workbookViewId="0">
      <selection activeCell="U56" sqref="U56"/>
    </sheetView>
  </sheetViews>
  <sheetFormatPr defaultRowHeight="15" x14ac:dyDescent="0.25"/>
  <cols>
    <col min="5" max="5" width="24.140625" customWidth="1"/>
    <col min="6" max="6" width="13.85546875" bestFit="1" customWidth="1"/>
    <col min="7" max="7" width="12.42578125" bestFit="1" customWidth="1"/>
    <col min="8" max="8" width="14.7109375" customWidth="1"/>
    <col min="9" max="9" width="0" hidden="1" customWidth="1"/>
    <col min="10" max="10" width="10.28515625" style="468" hidden="1" customWidth="1"/>
    <col min="11" max="12" width="10.7109375" style="468" hidden="1" customWidth="1"/>
    <col min="13" max="15" width="0" hidden="1" customWidth="1"/>
    <col min="16" max="16" width="13.85546875" bestFit="1" customWidth="1"/>
    <col min="17" max="17" width="13.140625" customWidth="1"/>
    <col min="18" max="18" width="13.85546875" bestFit="1" customWidth="1"/>
    <col min="20" max="20" width="9.5703125" bestFit="1" customWidth="1"/>
    <col min="256" max="256" width="16.5703125" customWidth="1"/>
    <col min="257" max="257" width="14.42578125" customWidth="1"/>
    <col min="258" max="258" width="10.42578125" bestFit="1" customWidth="1"/>
    <col min="259" max="259" width="15.85546875" bestFit="1" customWidth="1"/>
    <col min="260" max="260" width="14" bestFit="1" customWidth="1"/>
    <col min="512" max="512" width="16.5703125" customWidth="1"/>
    <col min="513" max="513" width="14.42578125" customWidth="1"/>
    <col min="514" max="514" width="10.42578125" bestFit="1" customWidth="1"/>
    <col min="515" max="515" width="15.85546875" bestFit="1" customWidth="1"/>
    <col min="516" max="516" width="14" bestFit="1" customWidth="1"/>
    <col min="768" max="768" width="16.5703125" customWidth="1"/>
    <col min="769" max="769" width="14.42578125" customWidth="1"/>
    <col min="770" max="770" width="10.42578125" bestFit="1" customWidth="1"/>
    <col min="771" max="771" width="15.85546875" bestFit="1" customWidth="1"/>
    <col min="772" max="772" width="14" bestFit="1" customWidth="1"/>
    <col min="1024" max="1024" width="16.5703125" customWidth="1"/>
    <col min="1025" max="1025" width="14.42578125" customWidth="1"/>
    <col min="1026" max="1026" width="10.42578125" bestFit="1" customWidth="1"/>
    <col min="1027" max="1027" width="15.85546875" bestFit="1" customWidth="1"/>
    <col min="1028" max="1028" width="14" bestFit="1" customWidth="1"/>
    <col min="1280" max="1280" width="16.5703125" customWidth="1"/>
    <col min="1281" max="1281" width="14.42578125" customWidth="1"/>
    <col min="1282" max="1282" width="10.42578125" bestFit="1" customWidth="1"/>
    <col min="1283" max="1283" width="15.85546875" bestFit="1" customWidth="1"/>
    <col min="1284" max="1284" width="14" bestFit="1" customWidth="1"/>
    <col min="1536" max="1536" width="16.5703125" customWidth="1"/>
    <col min="1537" max="1537" width="14.42578125" customWidth="1"/>
    <col min="1538" max="1538" width="10.42578125" bestFit="1" customWidth="1"/>
    <col min="1539" max="1539" width="15.85546875" bestFit="1" customWidth="1"/>
    <col min="1540" max="1540" width="14" bestFit="1" customWidth="1"/>
    <col min="1792" max="1792" width="16.5703125" customWidth="1"/>
    <col min="1793" max="1793" width="14.42578125" customWidth="1"/>
    <col min="1794" max="1794" width="10.42578125" bestFit="1" customWidth="1"/>
    <col min="1795" max="1795" width="15.85546875" bestFit="1" customWidth="1"/>
    <col min="1796" max="1796" width="14" bestFit="1" customWidth="1"/>
    <col min="2048" max="2048" width="16.5703125" customWidth="1"/>
    <col min="2049" max="2049" width="14.42578125" customWidth="1"/>
    <col min="2050" max="2050" width="10.42578125" bestFit="1" customWidth="1"/>
    <col min="2051" max="2051" width="15.85546875" bestFit="1" customWidth="1"/>
    <col min="2052" max="2052" width="14" bestFit="1" customWidth="1"/>
    <col min="2304" max="2304" width="16.5703125" customWidth="1"/>
    <col min="2305" max="2305" width="14.42578125" customWidth="1"/>
    <col min="2306" max="2306" width="10.42578125" bestFit="1" customWidth="1"/>
    <col min="2307" max="2307" width="15.85546875" bestFit="1" customWidth="1"/>
    <col min="2308" max="2308" width="14" bestFit="1" customWidth="1"/>
    <col min="2560" max="2560" width="16.5703125" customWidth="1"/>
    <col min="2561" max="2561" width="14.42578125" customWidth="1"/>
    <col min="2562" max="2562" width="10.42578125" bestFit="1" customWidth="1"/>
    <col min="2563" max="2563" width="15.85546875" bestFit="1" customWidth="1"/>
    <col min="2564" max="2564" width="14" bestFit="1" customWidth="1"/>
    <col min="2816" max="2816" width="16.5703125" customWidth="1"/>
    <col min="2817" max="2817" width="14.42578125" customWidth="1"/>
    <col min="2818" max="2818" width="10.42578125" bestFit="1" customWidth="1"/>
    <col min="2819" max="2819" width="15.85546875" bestFit="1" customWidth="1"/>
    <col min="2820" max="2820" width="14" bestFit="1" customWidth="1"/>
    <col min="3072" max="3072" width="16.5703125" customWidth="1"/>
    <col min="3073" max="3073" width="14.42578125" customWidth="1"/>
    <col min="3074" max="3074" width="10.42578125" bestFit="1" customWidth="1"/>
    <col min="3075" max="3075" width="15.85546875" bestFit="1" customWidth="1"/>
    <col min="3076" max="3076" width="14" bestFit="1" customWidth="1"/>
    <col min="3328" max="3328" width="16.5703125" customWidth="1"/>
    <col min="3329" max="3329" width="14.42578125" customWidth="1"/>
    <col min="3330" max="3330" width="10.42578125" bestFit="1" customWidth="1"/>
    <col min="3331" max="3331" width="15.85546875" bestFit="1" customWidth="1"/>
    <col min="3332" max="3332" width="14" bestFit="1" customWidth="1"/>
    <col min="3584" max="3584" width="16.5703125" customWidth="1"/>
    <col min="3585" max="3585" width="14.42578125" customWidth="1"/>
    <col min="3586" max="3586" width="10.42578125" bestFit="1" customWidth="1"/>
    <col min="3587" max="3587" width="15.85546875" bestFit="1" customWidth="1"/>
    <col min="3588" max="3588" width="14" bestFit="1" customWidth="1"/>
    <col min="3840" max="3840" width="16.5703125" customWidth="1"/>
    <col min="3841" max="3841" width="14.42578125" customWidth="1"/>
    <col min="3842" max="3842" width="10.42578125" bestFit="1" customWidth="1"/>
    <col min="3843" max="3843" width="15.85546875" bestFit="1" customWidth="1"/>
    <col min="3844" max="3844" width="14" bestFit="1" customWidth="1"/>
    <col min="4096" max="4096" width="16.5703125" customWidth="1"/>
    <col min="4097" max="4097" width="14.42578125" customWidth="1"/>
    <col min="4098" max="4098" width="10.42578125" bestFit="1" customWidth="1"/>
    <col min="4099" max="4099" width="15.85546875" bestFit="1" customWidth="1"/>
    <col min="4100" max="4100" width="14" bestFit="1" customWidth="1"/>
    <col min="4352" max="4352" width="16.5703125" customWidth="1"/>
    <col min="4353" max="4353" width="14.42578125" customWidth="1"/>
    <col min="4354" max="4354" width="10.42578125" bestFit="1" customWidth="1"/>
    <col min="4355" max="4355" width="15.85546875" bestFit="1" customWidth="1"/>
    <col min="4356" max="4356" width="14" bestFit="1" customWidth="1"/>
    <col min="4608" max="4608" width="16.5703125" customWidth="1"/>
    <col min="4609" max="4609" width="14.42578125" customWidth="1"/>
    <col min="4610" max="4610" width="10.42578125" bestFit="1" customWidth="1"/>
    <col min="4611" max="4611" width="15.85546875" bestFit="1" customWidth="1"/>
    <col min="4612" max="4612" width="14" bestFit="1" customWidth="1"/>
    <col min="4864" max="4864" width="16.5703125" customWidth="1"/>
    <col min="4865" max="4865" width="14.42578125" customWidth="1"/>
    <col min="4866" max="4866" width="10.42578125" bestFit="1" customWidth="1"/>
    <col min="4867" max="4867" width="15.85546875" bestFit="1" customWidth="1"/>
    <col min="4868" max="4868" width="14" bestFit="1" customWidth="1"/>
    <col min="5120" max="5120" width="16.5703125" customWidth="1"/>
    <col min="5121" max="5121" width="14.42578125" customWidth="1"/>
    <col min="5122" max="5122" width="10.42578125" bestFit="1" customWidth="1"/>
    <col min="5123" max="5123" width="15.85546875" bestFit="1" customWidth="1"/>
    <col min="5124" max="5124" width="14" bestFit="1" customWidth="1"/>
    <col min="5376" max="5376" width="16.5703125" customWidth="1"/>
    <col min="5377" max="5377" width="14.42578125" customWidth="1"/>
    <col min="5378" max="5378" width="10.42578125" bestFit="1" customWidth="1"/>
    <col min="5379" max="5379" width="15.85546875" bestFit="1" customWidth="1"/>
    <col min="5380" max="5380" width="14" bestFit="1" customWidth="1"/>
    <col min="5632" max="5632" width="16.5703125" customWidth="1"/>
    <col min="5633" max="5633" width="14.42578125" customWidth="1"/>
    <col min="5634" max="5634" width="10.42578125" bestFit="1" customWidth="1"/>
    <col min="5635" max="5635" width="15.85546875" bestFit="1" customWidth="1"/>
    <col min="5636" max="5636" width="14" bestFit="1" customWidth="1"/>
    <col min="5888" max="5888" width="16.5703125" customWidth="1"/>
    <col min="5889" max="5889" width="14.42578125" customWidth="1"/>
    <col min="5890" max="5890" width="10.42578125" bestFit="1" customWidth="1"/>
    <col min="5891" max="5891" width="15.85546875" bestFit="1" customWidth="1"/>
    <col min="5892" max="5892" width="14" bestFit="1" customWidth="1"/>
    <col min="6144" max="6144" width="16.5703125" customWidth="1"/>
    <col min="6145" max="6145" width="14.42578125" customWidth="1"/>
    <col min="6146" max="6146" width="10.42578125" bestFit="1" customWidth="1"/>
    <col min="6147" max="6147" width="15.85546875" bestFit="1" customWidth="1"/>
    <col min="6148" max="6148" width="14" bestFit="1" customWidth="1"/>
    <col min="6400" max="6400" width="16.5703125" customWidth="1"/>
    <col min="6401" max="6401" width="14.42578125" customWidth="1"/>
    <col min="6402" max="6402" width="10.42578125" bestFit="1" customWidth="1"/>
    <col min="6403" max="6403" width="15.85546875" bestFit="1" customWidth="1"/>
    <col min="6404" max="6404" width="14" bestFit="1" customWidth="1"/>
    <col min="6656" max="6656" width="16.5703125" customWidth="1"/>
    <col min="6657" max="6657" width="14.42578125" customWidth="1"/>
    <col min="6658" max="6658" width="10.42578125" bestFit="1" customWidth="1"/>
    <col min="6659" max="6659" width="15.85546875" bestFit="1" customWidth="1"/>
    <col min="6660" max="6660" width="14" bestFit="1" customWidth="1"/>
    <col min="6912" max="6912" width="16.5703125" customWidth="1"/>
    <col min="6913" max="6913" width="14.42578125" customWidth="1"/>
    <col min="6914" max="6914" width="10.42578125" bestFit="1" customWidth="1"/>
    <col min="6915" max="6915" width="15.85546875" bestFit="1" customWidth="1"/>
    <col min="6916" max="6916" width="14" bestFit="1" customWidth="1"/>
    <col min="7168" max="7168" width="16.5703125" customWidth="1"/>
    <col min="7169" max="7169" width="14.42578125" customWidth="1"/>
    <col min="7170" max="7170" width="10.42578125" bestFit="1" customWidth="1"/>
    <col min="7171" max="7171" width="15.85546875" bestFit="1" customWidth="1"/>
    <col min="7172" max="7172" width="14" bestFit="1" customWidth="1"/>
    <col min="7424" max="7424" width="16.5703125" customWidth="1"/>
    <col min="7425" max="7425" width="14.42578125" customWidth="1"/>
    <col min="7426" max="7426" width="10.42578125" bestFit="1" customWidth="1"/>
    <col min="7427" max="7427" width="15.85546875" bestFit="1" customWidth="1"/>
    <col min="7428" max="7428" width="14" bestFit="1" customWidth="1"/>
    <col min="7680" max="7680" width="16.5703125" customWidth="1"/>
    <col min="7681" max="7681" width="14.42578125" customWidth="1"/>
    <col min="7682" max="7682" width="10.42578125" bestFit="1" customWidth="1"/>
    <col min="7683" max="7683" width="15.85546875" bestFit="1" customWidth="1"/>
    <col min="7684" max="7684" width="14" bestFit="1" customWidth="1"/>
    <col min="7936" max="7936" width="16.5703125" customWidth="1"/>
    <col min="7937" max="7937" width="14.42578125" customWidth="1"/>
    <col min="7938" max="7938" width="10.42578125" bestFit="1" customWidth="1"/>
    <col min="7939" max="7939" width="15.85546875" bestFit="1" customWidth="1"/>
    <col min="7940" max="7940" width="14" bestFit="1" customWidth="1"/>
    <col min="8192" max="8192" width="16.5703125" customWidth="1"/>
    <col min="8193" max="8193" width="14.42578125" customWidth="1"/>
    <col min="8194" max="8194" width="10.42578125" bestFit="1" customWidth="1"/>
    <col min="8195" max="8195" width="15.85546875" bestFit="1" customWidth="1"/>
    <col min="8196" max="8196" width="14" bestFit="1" customWidth="1"/>
    <col min="8448" max="8448" width="16.5703125" customWidth="1"/>
    <col min="8449" max="8449" width="14.42578125" customWidth="1"/>
    <col min="8450" max="8450" width="10.42578125" bestFit="1" customWidth="1"/>
    <col min="8451" max="8451" width="15.85546875" bestFit="1" customWidth="1"/>
    <col min="8452" max="8452" width="14" bestFit="1" customWidth="1"/>
    <col min="8704" max="8704" width="16.5703125" customWidth="1"/>
    <col min="8705" max="8705" width="14.42578125" customWidth="1"/>
    <col min="8706" max="8706" width="10.42578125" bestFit="1" customWidth="1"/>
    <col min="8707" max="8707" width="15.85546875" bestFit="1" customWidth="1"/>
    <col min="8708" max="8708" width="14" bestFit="1" customWidth="1"/>
    <col min="8960" max="8960" width="16.5703125" customWidth="1"/>
    <col min="8961" max="8961" width="14.42578125" customWidth="1"/>
    <col min="8962" max="8962" width="10.42578125" bestFit="1" customWidth="1"/>
    <col min="8963" max="8963" width="15.85546875" bestFit="1" customWidth="1"/>
    <col min="8964" max="8964" width="14" bestFit="1" customWidth="1"/>
    <col min="9216" max="9216" width="16.5703125" customWidth="1"/>
    <col min="9217" max="9217" width="14.42578125" customWidth="1"/>
    <col min="9218" max="9218" width="10.42578125" bestFit="1" customWidth="1"/>
    <col min="9219" max="9219" width="15.85546875" bestFit="1" customWidth="1"/>
    <col min="9220" max="9220" width="14" bestFit="1" customWidth="1"/>
    <col min="9472" max="9472" width="16.5703125" customWidth="1"/>
    <col min="9473" max="9473" width="14.42578125" customWidth="1"/>
    <col min="9474" max="9474" width="10.42578125" bestFit="1" customWidth="1"/>
    <col min="9475" max="9475" width="15.85546875" bestFit="1" customWidth="1"/>
    <col min="9476" max="9476" width="14" bestFit="1" customWidth="1"/>
    <col min="9728" max="9728" width="16.5703125" customWidth="1"/>
    <col min="9729" max="9729" width="14.42578125" customWidth="1"/>
    <col min="9730" max="9730" width="10.42578125" bestFit="1" customWidth="1"/>
    <col min="9731" max="9731" width="15.85546875" bestFit="1" customWidth="1"/>
    <col min="9732" max="9732" width="14" bestFit="1" customWidth="1"/>
    <col min="9984" max="9984" width="16.5703125" customWidth="1"/>
    <col min="9985" max="9985" width="14.42578125" customWidth="1"/>
    <col min="9986" max="9986" width="10.42578125" bestFit="1" customWidth="1"/>
    <col min="9987" max="9987" width="15.85546875" bestFit="1" customWidth="1"/>
    <col min="9988" max="9988" width="14" bestFit="1" customWidth="1"/>
    <col min="10240" max="10240" width="16.5703125" customWidth="1"/>
    <col min="10241" max="10241" width="14.42578125" customWidth="1"/>
    <col min="10242" max="10242" width="10.42578125" bestFit="1" customWidth="1"/>
    <col min="10243" max="10243" width="15.85546875" bestFit="1" customWidth="1"/>
    <col min="10244" max="10244" width="14" bestFit="1" customWidth="1"/>
    <col min="10496" max="10496" width="16.5703125" customWidth="1"/>
    <col min="10497" max="10497" width="14.42578125" customWidth="1"/>
    <col min="10498" max="10498" width="10.42578125" bestFit="1" customWidth="1"/>
    <col min="10499" max="10499" width="15.85546875" bestFit="1" customWidth="1"/>
    <col min="10500" max="10500" width="14" bestFit="1" customWidth="1"/>
    <col min="10752" max="10752" width="16.5703125" customWidth="1"/>
    <col min="10753" max="10753" width="14.42578125" customWidth="1"/>
    <col min="10754" max="10754" width="10.42578125" bestFit="1" customWidth="1"/>
    <col min="10755" max="10755" width="15.85546875" bestFit="1" customWidth="1"/>
    <col min="10756" max="10756" width="14" bestFit="1" customWidth="1"/>
    <col min="11008" max="11008" width="16.5703125" customWidth="1"/>
    <col min="11009" max="11009" width="14.42578125" customWidth="1"/>
    <col min="11010" max="11010" width="10.42578125" bestFit="1" customWidth="1"/>
    <col min="11011" max="11011" width="15.85546875" bestFit="1" customWidth="1"/>
    <col min="11012" max="11012" width="14" bestFit="1" customWidth="1"/>
    <col min="11264" max="11264" width="16.5703125" customWidth="1"/>
    <col min="11265" max="11265" width="14.42578125" customWidth="1"/>
    <col min="11266" max="11266" width="10.42578125" bestFit="1" customWidth="1"/>
    <col min="11267" max="11267" width="15.85546875" bestFit="1" customWidth="1"/>
    <col min="11268" max="11268" width="14" bestFit="1" customWidth="1"/>
    <col min="11520" max="11520" width="16.5703125" customWidth="1"/>
    <col min="11521" max="11521" width="14.42578125" customWidth="1"/>
    <col min="11522" max="11522" width="10.42578125" bestFit="1" customWidth="1"/>
    <col min="11523" max="11523" width="15.85546875" bestFit="1" customWidth="1"/>
    <col min="11524" max="11524" width="14" bestFit="1" customWidth="1"/>
    <col min="11776" max="11776" width="16.5703125" customWidth="1"/>
    <col min="11777" max="11777" width="14.42578125" customWidth="1"/>
    <col min="11778" max="11778" width="10.42578125" bestFit="1" customWidth="1"/>
    <col min="11779" max="11779" width="15.85546875" bestFit="1" customWidth="1"/>
    <col min="11780" max="11780" width="14" bestFit="1" customWidth="1"/>
    <col min="12032" max="12032" width="16.5703125" customWidth="1"/>
    <col min="12033" max="12033" width="14.42578125" customWidth="1"/>
    <col min="12034" max="12034" width="10.42578125" bestFit="1" customWidth="1"/>
    <col min="12035" max="12035" width="15.85546875" bestFit="1" customWidth="1"/>
    <col min="12036" max="12036" width="14" bestFit="1" customWidth="1"/>
    <col min="12288" max="12288" width="16.5703125" customWidth="1"/>
    <col min="12289" max="12289" width="14.42578125" customWidth="1"/>
    <col min="12290" max="12290" width="10.42578125" bestFit="1" customWidth="1"/>
    <col min="12291" max="12291" width="15.85546875" bestFit="1" customWidth="1"/>
    <col min="12292" max="12292" width="14" bestFit="1" customWidth="1"/>
    <col min="12544" max="12544" width="16.5703125" customWidth="1"/>
    <col min="12545" max="12545" width="14.42578125" customWidth="1"/>
    <col min="12546" max="12546" width="10.42578125" bestFit="1" customWidth="1"/>
    <col min="12547" max="12547" width="15.85546875" bestFit="1" customWidth="1"/>
    <col min="12548" max="12548" width="14" bestFit="1" customWidth="1"/>
    <col min="12800" max="12800" width="16.5703125" customWidth="1"/>
    <col min="12801" max="12801" width="14.42578125" customWidth="1"/>
    <col min="12802" max="12802" width="10.42578125" bestFit="1" customWidth="1"/>
    <col min="12803" max="12803" width="15.85546875" bestFit="1" customWidth="1"/>
    <col min="12804" max="12804" width="14" bestFit="1" customWidth="1"/>
    <col min="13056" max="13056" width="16.5703125" customWidth="1"/>
    <col min="13057" max="13057" width="14.42578125" customWidth="1"/>
    <col min="13058" max="13058" width="10.42578125" bestFit="1" customWidth="1"/>
    <col min="13059" max="13059" width="15.85546875" bestFit="1" customWidth="1"/>
    <col min="13060" max="13060" width="14" bestFit="1" customWidth="1"/>
    <col min="13312" max="13312" width="16.5703125" customWidth="1"/>
    <col min="13313" max="13313" width="14.42578125" customWidth="1"/>
    <col min="13314" max="13314" width="10.42578125" bestFit="1" customWidth="1"/>
    <col min="13315" max="13315" width="15.85546875" bestFit="1" customWidth="1"/>
    <col min="13316" max="13316" width="14" bestFit="1" customWidth="1"/>
    <col min="13568" max="13568" width="16.5703125" customWidth="1"/>
    <col min="13569" max="13569" width="14.42578125" customWidth="1"/>
    <col min="13570" max="13570" width="10.42578125" bestFit="1" customWidth="1"/>
    <col min="13571" max="13571" width="15.85546875" bestFit="1" customWidth="1"/>
    <col min="13572" max="13572" width="14" bestFit="1" customWidth="1"/>
    <col min="13824" max="13824" width="16.5703125" customWidth="1"/>
    <col min="13825" max="13825" width="14.42578125" customWidth="1"/>
    <col min="13826" max="13826" width="10.42578125" bestFit="1" customWidth="1"/>
    <col min="13827" max="13827" width="15.85546875" bestFit="1" customWidth="1"/>
    <col min="13828" max="13828" width="14" bestFit="1" customWidth="1"/>
    <col min="14080" max="14080" width="16.5703125" customWidth="1"/>
    <col min="14081" max="14081" width="14.42578125" customWidth="1"/>
    <col min="14082" max="14082" width="10.42578125" bestFit="1" customWidth="1"/>
    <col min="14083" max="14083" width="15.85546875" bestFit="1" customWidth="1"/>
    <col min="14084" max="14084" width="14" bestFit="1" customWidth="1"/>
    <col min="14336" max="14336" width="16.5703125" customWidth="1"/>
    <col min="14337" max="14337" width="14.42578125" customWidth="1"/>
    <col min="14338" max="14338" width="10.42578125" bestFit="1" customWidth="1"/>
    <col min="14339" max="14339" width="15.85546875" bestFit="1" customWidth="1"/>
    <col min="14340" max="14340" width="14" bestFit="1" customWidth="1"/>
    <col min="14592" max="14592" width="16.5703125" customWidth="1"/>
    <col min="14593" max="14593" width="14.42578125" customWidth="1"/>
    <col min="14594" max="14594" width="10.42578125" bestFit="1" customWidth="1"/>
    <col min="14595" max="14595" width="15.85546875" bestFit="1" customWidth="1"/>
    <col min="14596" max="14596" width="14" bestFit="1" customWidth="1"/>
    <col min="14848" max="14848" width="16.5703125" customWidth="1"/>
    <col min="14849" max="14849" width="14.42578125" customWidth="1"/>
    <col min="14850" max="14850" width="10.42578125" bestFit="1" customWidth="1"/>
    <col min="14851" max="14851" width="15.85546875" bestFit="1" customWidth="1"/>
    <col min="14852" max="14852" width="14" bestFit="1" customWidth="1"/>
    <col min="15104" max="15104" width="16.5703125" customWidth="1"/>
    <col min="15105" max="15105" width="14.42578125" customWidth="1"/>
    <col min="15106" max="15106" width="10.42578125" bestFit="1" customWidth="1"/>
    <col min="15107" max="15107" width="15.85546875" bestFit="1" customWidth="1"/>
    <col min="15108" max="15108" width="14" bestFit="1" customWidth="1"/>
    <col min="15360" max="15360" width="16.5703125" customWidth="1"/>
    <col min="15361" max="15361" width="14.42578125" customWidth="1"/>
    <col min="15362" max="15362" width="10.42578125" bestFit="1" customWidth="1"/>
    <col min="15363" max="15363" width="15.85546875" bestFit="1" customWidth="1"/>
    <col min="15364" max="15364" width="14" bestFit="1" customWidth="1"/>
    <col min="15616" max="15616" width="16.5703125" customWidth="1"/>
    <col min="15617" max="15617" width="14.42578125" customWidth="1"/>
    <col min="15618" max="15618" width="10.42578125" bestFit="1" customWidth="1"/>
    <col min="15619" max="15619" width="15.85546875" bestFit="1" customWidth="1"/>
    <col min="15620" max="15620" width="14" bestFit="1" customWidth="1"/>
    <col min="15872" max="15872" width="16.5703125" customWidth="1"/>
    <col min="15873" max="15873" width="14.42578125" customWidth="1"/>
    <col min="15874" max="15874" width="10.42578125" bestFit="1" customWidth="1"/>
    <col min="15875" max="15875" width="15.85546875" bestFit="1" customWidth="1"/>
    <col min="15876" max="15876" width="14" bestFit="1" customWidth="1"/>
    <col min="16128" max="16128" width="16.5703125" customWidth="1"/>
    <col min="16129" max="16129" width="14.42578125" customWidth="1"/>
    <col min="16130" max="16130" width="10.42578125" bestFit="1" customWidth="1"/>
    <col min="16131" max="16131" width="15.85546875" bestFit="1" customWidth="1"/>
    <col min="16132" max="16132" width="14" bestFit="1" customWidth="1"/>
  </cols>
  <sheetData>
    <row r="1" spans="1:18" ht="18.75" x14ac:dyDescent="0.3">
      <c r="A1" s="907" t="s">
        <v>719</v>
      </c>
      <c r="B1" s="907"/>
      <c r="C1" s="907"/>
      <c r="D1" s="907"/>
      <c r="E1" s="907"/>
      <c r="F1" s="907"/>
      <c r="H1" s="375" t="s">
        <v>899</v>
      </c>
    </row>
    <row r="2" spans="1:18" ht="19.5" thickBot="1" x14ac:dyDescent="0.35">
      <c r="D2" s="607"/>
      <c r="E2" s="607"/>
    </row>
    <row r="3" spans="1:18" s="312" customFormat="1" ht="16.5" thickBot="1" x14ac:dyDescent="0.3">
      <c r="F3" s="908" t="s">
        <v>900</v>
      </c>
      <c r="G3" s="909"/>
      <c r="H3" s="910"/>
      <c r="J3" s="608"/>
      <c r="K3" s="608"/>
      <c r="L3" s="608"/>
      <c r="P3" s="908" t="s">
        <v>901</v>
      </c>
      <c r="Q3" s="909"/>
      <c r="R3" s="910"/>
    </row>
    <row r="4" spans="1:18" ht="15.75" thickBot="1" x14ac:dyDescent="0.3">
      <c r="A4" s="914" t="s">
        <v>7</v>
      </c>
      <c r="B4" s="915"/>
      <c r="C4" s="915"/>
      <c r="D4" s="915"/>
      <c r="E4" s="916"/>
      <c r="F4" s="308" t="s">
        <v>307</v>
      </c>
      <c r="G4" s="308" t="s">
        <v>308</v>
      </c>
      <c r="H4" s="309" t="s">
        <v>182</v>
      </c>
      <c r="P4" s="308" t="s">
        <v>307</v>
      </c>
      <c r="Q4" s="308" t="s">
        <v>308</v>
      </c>
      <c r="R4" s="309" t="s">
        <v>182</v>
      </c>
    </row>
    <row r="5" spans="1:18" ht="15.75" thickBot="1" x14ac:dyDescent="0.3">
      <c r="A5" s="917" t="s">
        <v>309</v>
      </c>
      <c r="B5" s="918"/>
      <c r="C5" s="918"/>
      <c r="D5" s="918"/>
      <c r="E5" s="919"/>
      <c r="F5" s="310">
        <f>7559145+2242594</f>
        <v>9801739</v>
      </c>
      <c r="G5" s="310">
        <v>0</v>
      </c>
      <c r="H5" s="310">
        <f>G5+F5</f>
        <v>9801739</v>
      </c>
      <c r="J5" s="609">
        <v>508000</v>
      </c>
      <c r="P5" s="310">
        <f>7559145+2242594</f>
        <v>9801739</v>
      </c>
      <c r="Q5" s="310">
        <v>0</v>
      </c>
      <c r="R5" s="310">
        <f>Q5+P5</f>
        <v>9801739</v>
      </c>
    </row>
    <row r="6" spans="1:18" ht="15.75" thickBot="1" x14ac:dyDescent="0.3">
      <c r="A6" s="917" t="s">
        <v>310</v>
      </c>
      <c r="B6" s="918"/>
      <c r="C6" s="918"/>
      <c r="D6" s="918"/>
      <c r="E6" s="919"/>
      <c r="F6" s="310">
        <v>300000</v>
      </c>
      <c r="G6" s="310">
        <v>0</v>
      </c>
      <c r="H6" s="310">
        <f>G6+F6</f>
        <v>300000</v>
      </c>
      <c r="P6" s="310">
        <v>0</v>
      </c>
      <c r="Q6" s="310">
        <v>0</v>
      </c>
      <c r="R6" s="310">
        <f>Q6+P6</f>
        <v>0</v>
      </c>
    </row>
    <row r="7" spans="1:18" ht="15.75" thickBot="1" x14ac:dyDescent="0.3">
      <c r="A7" s="917" t="s">
        <v>311</v>
      </c>
      <c r="B7" s="918"/>
      <c r="C7" s="918"/>
      <c r="D7" s="918"/>
      <c r="E7" s="919"/>
      <c r="F7" s="310">
        <v>288000</v>
      </c>
      <c r="G7" s="310">
        <v>0</v>
      </c>
      <c r="H7" s="310">
        <f>G7+F7</f>
        <v>288000</v>
      </c>
      <c r="P7" s="310">
        <v>288000</v>
      </c>
      <c r="Q7" s="310">
        <v>0</v>
      </c>
      <c r="R7" s="310">
        <f>Q7+P7</f>
        <v>288000</v>
      </c>
    </row>
    <row r="8" spans="1:18" ht="15.75" thickBot="1" x14ac:dyDescent="0.3">
      <c r="A8" s="917" t="s">
        <v>312</v>
      </c>
      <c r="B8" s="918"/>
      <c r="C8" s="918"/>
      <c r="D8" s="918"/>
      <c r="E8" s="919"/>
      <c r="F8" s="310">
        <v>90720</v>
      </c>
      <c r="G8" s="310">
        <v>0</v>
      </c>
      <c r="H8" s="310">
        <f>G8+F8</f>
        <v>90720</v>
      </c>
      <c r="P8" s="310">
        <v>90720</v>
      </c>
      <c r="Q8" s="310">
        <v>0</v>
      </c>
      <c r="R8" s="310">
        <f>Q8+P8</f>
        <v>90720</v>
      </c>
    </row>
    <row r="9" spans="1:18" s="610" customFormat="1" ht="15.75" thickBot="1" x14ac:dyDescent="0.3">
      <c r="A9" s="944" t="s">
        <v>614</v>
      </c>
      <c r="B9" s="945"/>
      <c r="C9" s="945"/>
      <c r="D9" s="945"/>
      <c r="E9" s="946"/>
      <c r="F9" s="310">
        <v>60000</v>
      </c>
      <c r="G9" s="310">
        <v>0</v>
      </c>
      <c r="H9" s="310">
        <f>G9+F9</f>
        <v>60000</v>
      </c>
      <c r="J9" s="468">
        <v>300000</v>
      </c>
      <c r="K9" s="468"/>
      <c r="L9" s="468"/>
      <c r="P9" s="310">
        <v>60000</v>
      </c>
      <c r="Q9" s="310">
        <v>0</v>
      </c>
      <c r="R9" s="310">
        <f>Q9+P9</f>
        <v>60000</v>
      </c>
    </row>
    <row r="10" spans="1:18" s="312" customFormat="1" ht="16.5" thickBot="1" x14ac:dyDescent="0.3">
      <c r="A10" s="929" t="s">
        <v>317</v>
      </c>
      <c r="B10" s="930"/>
      <c r="C10" s="930"/>
      <c r="D10" s="930"/>
      <c r="E10" s="931"/>
      <c r="F10" s="311">
        <f>SUM(F5:F9)</f>
        <v>10540459</v>
      </c>
      <c r="G10" s="311">
        <v>0</v>
      </c>
      <c r="H10" s="311">
        <f>F10+G10</f>
        <v>10540459</v>
      </c>
      <c r="J10" s="608"/>
      <c r="K10" s="608"/>
      <c r="L10" s="608"/>
      <c r="P10" s="311">
        <f>SUM(P5:P9)</f>
        <v>10240459</v>
      </c>
      <c r="Q10" s="311">
        <v>0</v>
      </c>
      <c r="R10" s="311">
        <f>P10+Q10</f>
        <v>10240459</v>
      </c>
    </row>
    <row r="11" spans="1:18" s="312" customFormat="1" ht="30" customHeight="1" thickBot="1" x14ac:dyDescent="0.3">
      <c r="A11" s="938" t="s">
        <v>318</v>
      </c>
      <c r="B11" s="939"/>
      <c r="C11" s="939"/>
      <c r="D11" s="939"/>
      <c r="E11" s="940"/>
      <c r="F11" s="311">
        <v>1993185</v>
      </c>
      <c r="G11" s="311">
        <v>0</v>
      </c>
      <c r="H11" s="311">
        <f>F11+G11</f>
        <v>1993185</v>
      </c>
      <c r="J11" s="608"/>
      <c r="K11" s="608"/>
      <c r="L11" s="608"/>
      <c r="P11" s="311">
        <v>1763322</v>
      </c>
      <c r="Q11" s="311">
        <v>0</v>
      </c>
      <c r="R11" s="311">
        <f>P11+Q11</f>
        <v>1763322</v>
      </c>
    </row>
    <row r="12" spans="1:18" s="312" customFormat="1" ht="35.25" customHeight="1" thickBot="1" x14ac:dyDescent="0.3">
      <c r="A12" s="938" t="s">
        <v>616</v>
      </c>
      <c r="B12" s="939"/>
      <c r="C12" s="939"/>
      <c r="D12" s="939"/>
      <c r="E12" s="940"/>
      <c r="F12" s="311">
        <f>F10+F11</f>
        <v>12533644</v>
      </c>
      <c r="G12" s="311">
        <v>0</v>
      </c>
      <c r="H12" s="311">
        <f t="shared" ref="H12" si="0">H10+H11</f>
        <v>12533644</v>
      </c>
      <c r="J12" s="608"/>
      <c r="K12" s="608"/>
      <c r="L12" s="608"/>
      <c r="P12" s="311">
        <f>P10+P11</f>
        <v>12003781</v>
      </c>
      <c r="Q12" s="311">
        <v>0</v>
      </c>
      <c r="R12" s="311">
        <f t="shared" ref="R12" si="1">R10+R11</f>
        <v>12003781</v>
      </c>
    </row>
    <row r="13" spans="1:18" s="470" customFormat="1" ht="37.5" customHeight="1" thickBot="1" x14ac:dyDescent="0.3">
      <c r="A13" s="941" t="s">
        <v>319</v>
      </c>
      <c r="B13" s="942"/>
      <c r="C13" s="942"/>
      <c r="D13" s="942"/>
      <c r="E13" s="943"/>
      <c r="F13" s="474">
        <v>20000</v>
      </c>
      <c r="G13" s="474">
        <f>F13*5%</f>
        <v>1000</v>
      </c>
      <c r="H13" s="474">
        <f>F13+G13</f>
        <v>21000</v>
      </c>
      <c r="P13" s="474">
        <v>20000</v>
      </c>
      <c r="Q13" s="474">
        <f>P13*5%</f>
        <v>1000</v>
      </c>
      <c r="R13" s="474">
        <f>P13+Q13</f>
        <v>21000</v>
      </c>
    </row>
    <row r="14" spans="1:18" ht="15.75" thickBot="1" x14ac:dyDescent="0.3">
      <c r="A14" s="917" t="s">
        <v>617</v>
      </c>
      <c r="B14" s="918"/>
      <c r="C14" s="918"/>
      <c r="D14" s="918"/>
      <c r="E14" s="919"/>
      <c r="F14" s="310">
        <v>236221</v>
      </c>
      <c r="G14" s="310">
        <f>F14*27%-1</f>
        <v>63778.670000000006</v>
      </c>
      <c r="H14" s="310">
        <f>F14+G14</f>
        <v>299999.67</v>
      </c>
      <c r="P14" s="310">
        <v>150000</v>
      </c>
      <c r="Q14" s="310">
        <f>P14*27%-1</f>
        <v>40499</v>
      </c>
      <c r="R14" s="310">
        <f>P14+Q14</f>
        <v>190499</v>
      </c>
    </row>
    <row r="15" spans="1:18" ht="15.75" thickBot="1" x14ac:dyDescent="0.3">
      <c r="A15" s="923" t="s">
        <v>321</v>
      </c>
      <c r="B15" s="924"/>
      <c r="C15" s="924"/>
      <c r="D15" s="924"/>
      <c r="E15" s="925"/>
      <c r="F15" s="309">
        <f>F13+F14</f>
        <v>256221</v>
      </c>
      <c r="G15" s="309">
        <f t="shared" ref="G15:H15" si="2">G13+G14</f>
        <v>64778.670000000006</v>
      </c>
      <c r="H15" s="309">
        <f t="shared" si="2"/>
        <v>320999.67</v>
      </c>
      <c r="P15" s="309">
        <f>P13+P14</f>
        <v>170000</v>
      </c>
      <c r="Q15" s="309">
        <f t="shared" ref="Q15:R15" si="3">Q13+Q14</f>
        <v>41499</v>
      </c>
      <c r="R15" s="309">
        <f t="shared" si="3"/>
        <v>211499</v>
      </c>
    </row>
    <row r="16" spans="1:18" ht="15.75" thickBot="1" x14ac:dyDescent="0.3">
      <c r="A16" s="926" t="s">
        <v>618</v>
      </c>
      <c r="B16" s="927"/>
      <c r="C16" s="927"/>
      <c r="D16" s="927"/>
      <c r="E16" s="928"/>
      <c r="F16" s="310">
        <v>130000</v>
      </c>
      <c r="G16" s="310">
        <f t="shared" ref="G16:G17" si="4">F16*27%</f>
        <v>35100</v>
      </c>
      <c r="H16" s="310">
        <f t="shared" ref="H16:H26" si="5">F16+G16</f>
        <v>165100</v>
      </c>
      <c r="P16" s="310">
        <v>50000</v>
      </c>
      <c r="Q16" s="310">
        <f t="shared" ref="Q16:Q17" si="6">P16*27%</f>
        <v>13500</v>
      </c>
      <c r="R16" s="310">
        <f t="shared" ref="R16:R26" si="7">P16+Q16</f>
        <v>63500</v>
      </c>
    </row>
    <row r="17" spans="1:18" ht="15.75" thickBot="1" x14ac:dyDescent="0.3">
      <c r="A17" s="917" t="s">
        <v>619</v>
      </c>
      <c r="B17" s="918"/>
      <c r="C17" s="918"/>
      <c r="D17" s="918"/>
      <c r="E17" s="919"/>
      <c r="F17" s="310">
        <v>30000</v>
      </c>
      <c r="G17" s="310">
        <f t="shared" si="4"/>
        <v>8100.0000000000009</v>
      </c>
      <c r="H17" s="310">
        <f t="shared" si="5"/>
        <v>38100</v>
      </c>
      <c r="P17" s="310">
        <v>30000</v>
      </c>
      <c r="Q17" s="310">
        <f t="shared" si="6"/>
        <v>8100.0000000000009</v>
      </c>
      <c r="R17" s="310">
        <f t="shared" si="7"/>
        <v>38100</v>
      </c>
    </row>
    <row r="18" spans="1:18" ht="15.75" thickBot="1" x14ac:dyDescent="0.3">
      <c r="A18" s="911" t="s">
        <v>620</v>
      </c>
      <c r="B18" s="912"/>
      <c r="C18" s="912"/>
      <c r="D18" s="912"/>
      <c r="E18" s="913"/>
      <c r="F18" s="310">
        <v>250000</v>
      </c>
      <c r="G18" s="310">
        <f>F18*27%</f>
        <v>67500</v>
      </c>
      <c r="H18" s="310">
        <f t="shared" si="5"/>
        <v>317500</v>
      </c>
      <c r="P18" s="310">
        <v>100000</v>
      </c>
      <c r="Q18" s="310">
        <f>P18*27%</f>
        <v>27000</v>
      </c>
      <c r="R18" s="310">
        <f t="shared" si="7"/>
        <v>127000</v>
      </c>
    </row>
    <row r="19" spans="1:18" ht="15.75" thickBot="1" x14ac:dyDescent="0.3">
      <c r="A19" s="911" t="s">
        <v>640</v>
      </c>
      <c r="B19" s="912"/>
      <c r="C19" s="912"/>
      <c r="D19" s="912"/>
      <c r="E19" s="913"/>
      <c r="F19" s="310">
        <v>60000</v>
      </c>
      <c r="G19" s="310">
        <v>0</v>
      </c>
      <c r="H19" s="310">
        <f t="shared" si="5"/>
        <v>60000</v>
      </c>
      <c r="P19" s="310">
        <v>60000</v>
      </c>
      <c r="Q19" s="310">
        <v>0</v>
      </c>
      <c r="R19" s="310">
        <f t="shared" si="7"/>
        <v>60000</v>
      </c>
    </row>
    <row r="20" spans="1:18" ht="15.75" thickBot="1" x14ac:dyDescent="0.3">
      <c r="A20" s="911" t="s">
        <v>720</v>
      </c>
      <c r="B20" s="912"/>
      <c r="C20" s="912"/>
      <c r="D20" s="912"/>
      <c r="E20" s="913"/>
      <c r="F20" s="310">
        <v>50000</v>
      </c>
      <c r="G20" s="310">
        <f>F20*27%</f>
        <v>13500</v>
      </c>
      <c r="H20" s="310">
        <f t="shared" si="5"/>
        <v>63500</v>
      </c>
      <c r="P20" s="310">
        <v>25000</v>
      </c>
      <c r="Q20" s="310">
        <f>P20*27%</f>
        <v>6750</v>
      </c>
      <c r="R20" s="310">
        <f t="shared" si="7"/>
        <v>31750</v>
      </c>
    </row>
    <row r="21" spans="1:18" ht="15.75" thickBot="1" x14ac:dyDescent="0.3">
      <c r="A21" s="911" t="s">
        <v>621</v>
      </c>
      <c r="B21" s="912"/>
      <c r="C21" s="912"/>
      <c r="D21" s="912"/>
      <c r="E21" s="913"/>
      <c r="F21" s="310">
        <v>30000</v>
      </c>
      <c r="G21" s="310">
        <f>F21*27%</f>
        <v>8100.0000000000009</v>
      </c>
      <c r="H21" s="310">
        <f t="shared" si="5"/>
        <v>38100</v>
      </c>
      <c r="J21" s="468">
        <v>-160000</v>
      </c>
      <c r="K21" s="468">
        <v>-43200</v>
      </c>
      <c r="P21" s="310">
        <v>30000</v>
      </c>
      <c r="Q21" s="310">
        <f>P21*27%</f>
        <v>8100.0000000000009</v>
      </c>
      <c r="R21" s="310">
        <f t="shared" si="7"/>
        <v>38100</v>
      </c>
    </row>
    <row r="22" spans="1:18" ht="15.75" thickBot="1" x14ac:dyDescent="0.3">
      <c r="A22" s="911" t="s">
        <v>721</v>
      </c>
      <c r="B22" s="912"/>
      <c r="C22" s="912"/>
      <c r="D22" s="912"/>
      <c r="E22" s="913"/>
      <c r="F22" s="310">
        <v>40000</v>
      </c>
      <c r="G22" s="310">
        <f>F22*27%</f>
        <v>10800</v>
      </c>
      <c r="H22" s="310">
        <f t="shared" si="5"/>
        <v>50800</v>
      </c>
      <c r="P22" s="310">
        <v>40000</v>
      </c>
      <c r="Q22" s="310">
        <f>P22*27%</f>
        <v>10800</v>
      </c>
      <c r="R22" s="310">
        <f t="shared" si="7"/>
        <v>50800</v>
      </c>
    </row>
    <row r="23" spans="1:18" ht="15.75" thickBot="1" x14ac:dyDescent="0.3">
      <c r="A23" s="911" t="s">
        <v>722</v>
      </c>
      <c r="B23" s="912"/>
      <c r="C23" s="912"/>
      <c r="D23" s="912"/>
      <c r="E23" s="913"/>
      <c r="F23" s="310">
        <v>40000</v>
      </c>
      <c r="G23" s="310">
        <f>F23*27%</f>
        <v>10800</v>
      </c>
      <c r="H23" s="310">
        <f t="shared" si="5"/>
        <v>50800</v>
      </c>
      <c r="P23" s="310">
        <v>40000</v>
      </c>
      <c r="Q23" s="310">
        <f>P23*27%</f>
        <v>10800</v>
      </c>
      <c r="R23" s="310">
        <f t="shared" si="7"/>
        <v>50800</v>
      </c>
    </row>
    <row r="24" spans="1:18" ht="15.75" thickBot="1" x14ac:dyDescent="0.3">
      <c r="A24" s="911" t="s">
        <v>723</v>
      </c>
      <c r="B24" s="912"/>
      <c r="C24" s="912"/>
      <c r="D24" s="912"/>
      <c r="E24" s="913"/>
      <c r="F24" s="310">
        <v>0</v>
      </c>
      <c r="G24" s="310">
        <v>0</v>
      </c>
      <c r="H24" s="310">
        <f t="shared" si="5"/>
        <v>0</v>
      </c>
      <c r="P24" s="310">
        <v>0</v>
      </c>
      <c r="Q24" s="310">
        <v>0</v>
      </c>
      <c r="R24" s="310">
        <f t="shared" si="7"/>
        <v>0</v>
      </c>
    </row>
    <row r="25" spans="1:18" ht="15.75" thickBot="1" x14ac:dyDescent="0.3">
      <c r="A25" s="911" t="s">
        <v>724</v>
      </c>
      <c r="B25" s="912"/>
      <c r="C25" s="912"/>
      <c r="D25" s="912"/>
      <c r="E25" s="913"/>
      <c r="F25" s="310">
        <v>0</v>
      </c>
      <c r="G25" s="310">
        <f>F25*27%</f>
        <v>0</v>
      </c>
      <c r="H25" s="310">
        <f t="shared" si="5"/>
        <v>0</v>
      </c>
      <c r="P25" s="310">
        <v>0</v>
      </c>
      <c r="Q25" s="310">
        <f>P25*27%</f>
        <v>0</v>
      </c>
      <c r="R25" s="310">
        <f t="shared" si="7"/>
        <v>0</v>
      </c>
    </row>
    <row r="26" spans="1:18" s="470" customFormat="1" ht="32.25" customHeight="1" thickBot="1" x14ac:dyDescent="0.3">
      <c r="A26" s="920" t="s">
        <v>725</v>
      </c>
      <c r="B26" s="921"/>
      <c r="C26" s="921"/>
      <c r="D26" s="921"/>
      <c r="E26" s="922"/>
      <c r="F26" s="469">
        <v>50000</v>
      </c>
      <c r="G26" s="469">
        <f>F26*27%</f>
        <v>13500</v>
      </c>
      <c r="H26" s="469">
        <f t="shared" si="5"/>
        <v>63500</v>
      </c>
      <c r="J26" s="468"/>
      <c r="K26" s="468"/>
      <c r="L26" s="468"/>
      <c r="P26" s="469">
        <v>50000</v>
      </c>
      <c r="Q26" s="469">
        <f>P26*27%</f>
        <v>13500</v>
      </c>
      <c r="R26" s="469">
        <f t="shared" si="7"/>
        <v>63500</v>
      </c>
    </row>
    <row r="27" spans="1:18" ht="16.5" thickBot="1" x14ac:dyDescent="0.3">
      <c r="A27" s="929" t="s">
        <v>326</v>
      </c>
      <c r="B27" s="930"/>
      <c r="C27" s="930"/>
      <c r="D27" s="930"/>
      <c r="E27" s="931"/>
      <c r="F27" s="309">
        <f t="shared" ref="F27:R27" si="8">SUM(F16:F26)</f>
        <v>680000</v>
      </c>
      <c r="G27" s="309">
        <f t="shared" si="8"/>
        <v>167400</v>
      </c>
      <c r="H27" s="309">
        <f t="shared" si="8"/>
        <v>847400</v>
      </c>
      <c r="I27" s="309">
        <f t="shared" si="8"/>
        <v>0</v>
      </c>
      <c r="J27" s="309">
        <f t="shared" si="8"/>
        <v>-160000</v>
      </c>
      <c r="K27" s="309">
        <f t="shared" si="8"/>
        <v>-43200</v>
      </c>
      <c r="L27" s="309">
        <f t="shared" si="8"/>
        <v>0</v>
      </c>
      <c r="M27" s="309">
        <f t="shared" si="8"/>
        <v>0</v>
      </c>
      <c r="N27" s="309">
        <f t="shared" si="8"/>
        <v>0</v>
      </c>
      <c r="O27" s="309">
        <f t="shared" si="8"/>
        <v>0</v>
      </c>
      <c r="P27" s="309">
        <f t="shared" si="8"/>
        <v>425000</v>
      </c>
      <c r="Q27" s="309">
        <f t="shared" si="8"/>
        <v>98550</v>
      </c>
      <c r="R27" s="309">
        <f t="shared" si="8"/>
        <v>523550</v>
      </c>
    </row>
    <row r="28" spans="1:18" ht="15.75" thickBot="1" x14ac:dyDescent="0.3">
      <c r="A28" s="923" t="s">
        <v>327</v>
      </c>
      <c r="B28" s="924"/>
      <c r="C28" s="924"/>
      <c r="D28" s="924"/>
      <c r="E28" s="925"/>
      <c r="F28" s="309">
        <f t="shared" ref="F28:R28" si="9">F15+F27</f>
        <v>936221</v>
      </c>
      <c r="G28" s="309">
        <f t="shared" si="9"/>
        <v>232178.67</v>
      </c>
      <c r="H28" s="309">
        <f t="shared" si="9"/>
        <v>1168399.67</v>
      </c>
      <c r="I28" s="309">
        <f t="shared" si="9"/>
        <v>0</v>
      </c>
      <c r="J28" s="309">
        <f t="shared" si="9"/>
        <v>-160000</v>
      </c>
      <c r="K28" s="309">
        <f t="shared" si="9"/>
        <v>-43200</v>
      </c>
      <c r="L28" s="309">
        <f t="shared" si="9"/>
        <v>0</v>
      </c>
      <c r="M28" s="309">
        <f t="shared" si="9"/>
        <v>0</v>
      </c>
      <c r="N28" s="309">
        <f t="shared" si="9"/>
        <v>0</v>
      </c>
      <c r="O28" s="309">
        <f t="shared" si="9"/>
        <v>0</v>
      </c>
      <c r="P28" s="309">
        <f t="shared" si="9"/>
        <v>595000</v>
      </c>
      <c r="Q28" s="309">
        <f t="shared" si="9"/>
        <v>140049</v>
      </c>
      <c r="R28" s="309">
        <f t="shared" si="9"/>
        <v>735049</v>
      </c>
    </row>
    <row r="29" spans="1:18" ht="15.75" thickBot="1" x14ac:dyDescent="0.3">
      <c r="A29" s="917" t="s">
        <v>330</v>
      </c>
      <c r="B29" s="918"/>
      <c r="C29" s="918"/>
      <c r="D29" s="918"/>
      <c r="E29" s="919"/>
      <c r="F29" s="310">
        <v>96000</v>
      </c>
      <c r="G29" s="310">
        <f>F29*27%</f>
        <v>25920</v>
      </c>
      <c r="H29" s="310">
        <f>F29+G29</f>
        <v>121920</v>
      </c>
      <c r="P29" s="310">
        <v>96000</v>
      </c>
      <c r="Q29" s="310">
        <f>P29*27%</f>
        <v>25920</v>
      </c>
      <c r="R29" s="310">
        <f>P29+Q29</f>
        <v>121920</v>
      </c>
    </row>
    <row r="30" spans="1:18" s="307" customFormat="1" ht="15.75" thickBot="1" x14ac:dyDescent="0.3">
      <c r="A30" s="923" t="s">
        <v>331</v>
      </c>
      <c r="B30" s="924"/>
      <c r="C30" s="924"/>
      <c r="D30" s="924"/>
      <c r="E30" s="925"/>
      <c r="F30" s="309">
        <f t="shared" ref="F30:R31" si="10">F29</f>
        <v>96000</v>
      </c>
      <c r="G30" s="309">
        <f t="shared" si="10"/>
        <v>25920</v>
      </c>
      <c r="H30" s="309">
        <f t="shared" si="10"/>
        <v>121920</v>
      </c>
      <c r="I30" s="309">
        <f t="shared" si="10"/>
        <v>0</v>
      </c>
      <c r="J30" s="309">
        <f t="shared" si="10"/>
        <v>0</v>
      </c>
      <c r="K30" s="309">
        <f t="shared" si="10"/>
        <v>0</v>
      </c>
      <c r="L30" s="309">
        <f t="shared" si="10"/>
        <v>0</v>
      </c>
      <c r="M30" s="309">
        <f t="shared" si="10"/>
        <v>0</v>
      </c>
      <c r="N30" s="309">
        <f t="shared" si="10"/>
        <v>0</v>
      </c>
      <c r="O30" s="309">
        <f t="shared" si="10"/>
        <v>0</v>
      </c>
      <c r="P30" s="309">
        <f t="shared" si="10"/>
        <v>96000</v>
      </c>
      <c r="Q30" s="309">
        <f t="shared" si="10"/>
        <v>25920</v>
      </c>
      <c r="R30" s="309">
        <f t="shared" si="10"/>
        <v>121920</v>
      </c>
    </row>
    <row r="31" spans="1:18" s="307" customFormat="1" ht="15.75" thickBot="1" x14ac:dyDescent="0.3">
      <c r="A31" s="923" t="s">
        <v>332</v>
      </c>
      <c r="B31" s="924"/>
      <c r="C31" s="924"/>
      <c r="D31" s="924"/>
      <c r="E31" s="925"/>
      <c r="F31" s="309">
        <f t="shared" si="10"/>
        <v>96000</v>
      </c>
      <c r="G31" s="309">
        <f t="shared" si="10"/>
        <v>25920</v>
      </c>
      <c r="H31" s="309">
        <f t="shared" si="10"/>
        <v>121920</v>
      </c>
      <c r="I31" s="309">
        <f t="shared" si="10"/>
        <v>0</v>
      </c>
      <c r="J31" s="309">
        <f t="shared" si="10"/>
        <v>0</v>
      </c>
      <c r="K31" s="309">
        <f t="shared" si="10"/>
        <v>0</v>
      </c>
      <c r="L31" s="309">
        <f t="shared" si="10"/>
        <v>0</v>
      </c>
      <c r="M31" s="309">
        <f t="shared" si="10"/>
        <v>0</v>
      </c>
      <c r="N31" s="309">
        <f t="shared" si="10"/>
        <v>0</v>
      </c>
      <c r="O31" s="309">
        <f t="shared" si="10"/>
        <v>0</v>
      </c>
      <c r="P31" s="309">
        <f t="shared" si="10"/>
        <v>96000</v>
      </c>
      <c r="Q31" s="309">
        <f t="shared" si="10"/>
        <v>25920</v>
      </c>
      <c r="R31" s="309">
        <f t="shared" si="10"/>
        <v>121920</v>
      </c>
    </row>
    <row r="32" spans="1:18" ht="15.75" thickBot="1" x14ac:dyDescent="0.3">
      <c r="A32" s="911" t="s">
        <v>627</v>
      </c>
      <c r="B32" s="912"/>
      <c r="C32" s="912"/>
      <c r="D32" s="912"/>
      <c r="E32" s="913"/>
      <c r="F32" s="310">
        <v>450000</v>
      </c>
      <c r="G32" s="310">
        <f>F32*27%</f>
        <v>121500.00000000001</v>
      </c>
      <c r="H32" s="310">
        <f>F32+G32</f>
        <v>571500</v>
      </c>
      <c r="P32" s="310">
        <v>600000</v>
      </c>
      <c r="Q32" s="310">
        <f>P32*27%</f>
        <v>162000</v>
      </c>
      <c r="R32" s="310">
        <f>P32+Q32</f>
        <v>762000</v>
      </c>
    </row>
    <row r="33" spans="1:18" s="307" customFormat="1" ht="15.75" thickBot="1" x14ac:dyDescent="0.3">
      <c r="A33" s="914" t="s">
        <v>333</v>
      </c>
      <c r="B33" s="915"/>
      <c r="C33" s="915"/>
      <c r="D33" s="915"/>
      <c r="E33" s="916"/>
      <c r="F33" s="309">
        <f t="shared" ref="F33:R33" si="11">F32</f>
        <v>450000</v>
      </c>
      <c r="G33" s="309">
        <f t="shared" si="11"/>
        <v>121500.00000000001</v>
      </c>
      <c r="H33" s="309">
        <f t="shared" si="11"/>
        <v>571500</v>
      </c>
      <c r="I33" s="309">
        <f t="shared" si="11"/>
        <v>0</v>
      </c>
      <c r="J33" s="309">
        <f t="shared" si="11"/>
        <v>0</v>
      </c>
      <c r="K33" s="309">
        <f t="shared" si="11"/>
        <v>0</v>
      </c>
      <c r="L33" s="309">
        <f t="shared" si="11"/>
        <v>0</v>
      </c>
      <c r="M33" s="309">
        <f t="shared" si="11"/>
        <v>0</v>
      </c>
      <c r="N33" s="309">
        <f t="shared" si="11"/>
        <v>0</v>
      </c>
      <c r="O33" s="309">
        <f t="shared" si="11"/>
        <v>0</v>
      </c>
      <c r="P33" s="309">
        <f t="shared" si="11"/>
        <v>600000</v>
      </c>
      <c r="Q33" s="309">
        <f t="shared" si="11"/>
        <v>162000</v>
      </c>
      <c r="R33" s="309">
        <f t="shared" si="11"/>
        <v>762000</v>
      </c>
    </row>
    <row r="34" spans="1:18" ht="15.75" thickBot="1" x14ac:dyDescent="0.3">
      <c r="A34" s="911" t="s">
        <v>334</v>
      </c>
      <c r="B34" s="912"/>
      <c r="C34" s="912"/>
      <c r="D34" s="912"/>
      <c r="E34" s="913"/>
      <c r="F34" s="310">
        <v>60000</v>
      </c>
      <c r="G34" s="310">
        <f>F34*27%</f>
        <v>16200.000000000002</v>
      </c>
      <c r="H34" s="310">
        <f>F34+G34</f>
        <v>76200</v>
      </c>
      <c r="P34" s="310">
        <v>60000</v>
      </c>
      <c r="Q34" s="310">
        <f>P34*27%</f>
        <v>16200.000000000002</v>
      </c>
      <c r="R34" s="310">
        <f>P34+Q34</f>
        <v>76200</v>
      </c>
    </row>
    <row r="35" spans="1:18" ht="15.75" thickBot="1" x14ac:dyDescent="0.3">
      <c r="A35" s="911" t="s">
        <v>628</v>
      </c>
      <c r="B35" s="912"/>
      <c r="C35" s="912"/>
      <c r="D35" s="912"/>
      <c r="E35" s="913"/>
      <c r="F35" s="310">
        <v>68400</v>
      </c>
      <c r="G35" s="310">
        <v>0</v>
      </c>
      <c r="H35" s="310">
        <f>F35+G35</f>
        <v>68400</v>
      </c>
      <c r="P35" s="310">
        <v>68400</v>
      </c>
      <c r="Q35" s="310">
        <v>0</v>
      </c>
      <c r="R35" s="310">
        <f>P35+Q35</f>
        <v>68400</v>
      </c>
    </row>
    <row r="36" spans="1:18" ht="15.75" thickBot="1" x14ac:dyDescent="0.3">
      <c r="A36" s="911" t="s">
        <v>335</v>
      </c>
      <c r="B36" s="912"/>
      <c r="C36" s="912"/>
      <c r="D36" s="912"/>
      <c r="E36" s="913"/>
      <c r="F36" s="310">
        <v>35000</v>
      </c>
      <c r="G36" s="310">
        <f>F36*27%</f>
        <v>9450</v>
      </c>
      <c r="H36" s="310">
        <f>F36+G36</f>
        <v>44450</v>
      </c>
      <c r="P36" s="310">
        <v>35000</v>
      </c>
      <c r="Q36" s="310">
        <f>P36*27%</f>
        <v>9450</v>
      </c>
      <c r="R36" s="310">
        <f>P36+Q36</f>
        <v>44450</v>
      </c>
    </row>
    <row r="37" spans="1:18" s="307" customFormat="1" ht="15.75" thickBot="1" x14ac:dyDescent="0.3">
      <c r="A37" s="914" t="s">
        <v>336</v>
      </c>
      <c r="B37" s="915"/>
      <c r="C37" s="915"/>
      <c r="D37" s="915"/>
      <c r="E37" s="916"/>
      <c r="F37" s="309">
        <f t="shared" ref="F37:R37" si="12">F35+F36</f>
        <v>103400</v>
      </c>
      <c r="G37" s="309">
        <f t="shared" si="12"/>
        <v>9450</v>
      </c>
      <c r="H37" s="309">
        <f t="shared" si="12"/>
        <v>112850</v>
      </c>
      <c r="I37" s="309">
        <f t="shared" si="12"/>
        <v>0</v>
      </c>
      <c r="J37" s="309">
        <f t="shared" si="12"/>
        <v>0</v>
      </c>
      <c r="K37" s="309">
        <f t="shared" si="12"/>
        <v>0</v>
      </c>
      <c r="L37" s="309">
        <f t="shared" si="12"/>
        <v>0</v>
      </c>
      <c r="M37" s="309">
        <f t="shared" si="12"/>
        <v>0</v>
      </c>
      <c r="N37" s="309">
        <f t="shared" si="12"/>
        <v>0</v>
      </c>
      <c r="O37" s="309">
        <f t="shared" si="12"/>
        <v>0</v>
      </c>
      <c r="P37" s="309">
        <f t="shared" si="12"/>
        <v>103400</v>
      </c>
      <c r="Q37" s="309">
        <f t="shared" si="12"/>
        <v>9450</v>
      </c>
      <c r="R37" s="309">
        <f t="shared" si="12"/>
        <v>112850</v>
      </c>
    </row>
    <row r="38" spans="1:18" ht="21.75" customHeight="1" thickBot="1" x14ac:dyDescent="0.3">
      <c r="A38" s="911" t="s">
        <v>632</v>
      </c>
      <c r="B38" s="912"/>
      <c r="C38" s="912"/>
      <c r="D38" s="912"/>
      <c r="E38" s="913"/>
      <c r="F38" s="423">
        <v>21750</v>
      </c>
      <c r="G38" s="423">
        <v>0</v>
      </c>
      <c r="H38" s="423">
        <f>F38+G38</f>
        <v>21750</v>
      </c>
      <c r="P38" s="423">
        <v>21750</v>
      </c>
      <c r="Q38" s="423">
        <v>0</v>
      </c>
      <c r="R38" s="423">
        <f>P38+Q38</f>
        <v>21750</v>
      </c>
    </row>
    <row r="39" spans="1:18" ht="21" customHeight="1" thickBot="1" x14ac:dyDescent="0.3">
      <c r="A39" s="911" t="s">
        <v>634</v>
      </c>
      <c r="B39" s="912"/>
      <c r="C39" s="912"/>
      <c r="D39" s="912"/>
      <c r="E39" s="913"/>
      <c r="F39" s="310">
        <v>5000</v>
      </c>
      <c r="G39" s="310">
        <f>F39*27%</f>
        <v>1350</v>
      </c>
      <c r="H39" s="423">
        <f>F39+G39</f>
        <v>6350</v>
      </c>
      <c r="P39" s="310">
        <v>5000</v>
      </c>
      <c r="Q39" s="310">
        <f>P39*27%</f>
        <v>1350</v>
      </c>
      <c r="R39" s="423">
        <f>P39+Q39</f>
        <v>6350</v>
      </c>
    </row>
    <row r="40" spans="1:18" ht="21" customHeight="1" thickBot="1" x14ac:dyDescent="0.3">
      <c r="A40" s="911" t="s">
        <v>726</v>
      </c>
      <c r="B40" s="912"/>
      <c r="C40" s="912"/>
      <c r="D40" s="912"/>
      <c r="E40" s="913"/>
      <c r="F40" s="310">
        <v>10000</v>
      </c>
      <c r="G40" s="310">
        <f>F40*27%</f>
        <v>2700</v>
      </c>
      <c r="H40" s="423">
        <f>F40+G40</f>
        <v>12700</v>
      </c>
      <c r="P40" s="310">
        <v>10000</v>
      </c>
      <c r="Q40" s="310">
        <f>P40*27%</f>
        <v>2700</v>
      </c>
      <c r="R40" s="423">
        <f>P40+Q40</f>
        <v>12700</v>
      </c>
    </row>
    <row r="41" spans="1:18" ht="19.5" customHeight="1" thickBot="1" x14ac:dyDescent="0.3">
      <c r="A41" s="914" t="s">
        <v>342</v>
      </c>
      <c r="B41" s="915"/>
      <c r="C41" s="915"/>
      <c r="D41" s="915"/>
      <c r="E41" s="916"/>
      <c r="F41" s="309">
        <f>SUM(F38:F40)</f>
        <v>36750</v>
      </c>
      <c r="G41" s="309">
        <f>SUM(G38:G40)</f>
        <v>4050</v>
      </c>
      <c r="H41" s="309">
        <f>SUM(H38:H40)</f>
        <v>40800</v>
      </c>
      <c r="I41" s="307"/>
      <c r="J41" s="611"/>
      <c r="K41" s="611"/>
      <c r="L41" s="611"/>
      <c r="M41" s="307"/>
      <c r="N41" s="307"/>
      <c r="O41" s="307"/>
      <c r="P41" s="309">
        <f>SUM(P38:P40)</f>
        <v>36750</v>
      </c>
      <c r="Q41" s="309">
        <f>SUM(Q38:Q40)</f>
        <v>4050</v>
      </c>
      <c r="R41" s="309">
        <f>SUM(R38:R40)</f>
        <v>40800</v>
      </c>
    </row>
    <row r="42" spans="1:18" ht="19.5" customHeight="1" thickBot="1" x14ac:dyDescent="0.3">
      <c r="A42" s="914" t="s">
        <v>343</v>
      </c>
      <c r="B42" s="915"/>
      <c r="C42" s="915"/>
      <c r="D42" s="915"/>
      <c r="E42" s="916"/>
      <c r="F42" s="309">
        <f>F41+F37+F34+F33+F31+F28</f>
        <v>1682371</v>
      </c>
      <c r="G42" s="309">
        <f t="shared" ref="G42:R42" si="13">G41+G37+G34+G33+G31+G28</f>
        <v>409298.67000000004</v>
      </c>
      <c r="H42" s="309">
        <f t="shared" si="13"/>
        <v>2091669.67</v>
      </c>
      <c r="I42" s="309">
        <f t="shared" si="13"/>
        <v>0</v>
      </c>
      <c r="J42" s="309">
        <f t="shared" si="13"/>
        <v>-160000</v>
      </c>
      <c r="K42" s="309">
        <f t="shared" si="13"/>
        <v>-43200</v>
      </c>
      <c r="L42" s="309">
        <f t="shared" si="13"/>
        <v>0</v>
      </c>
      <c r="M42" s="309">
        <f t="shared" si="13"/>
        <v>0</v>
      </c>
      <c r="N42" s="309">
        <f t="shared" si="13"/>
        <v>0</v>
      </c>
      <c r="O42" s="309">
        <f t="shared" si="13"/>
        <v>0</v>
      </c>
      <c r="P42" s="309">
        <f>P41+P37+P34+P33+P31+P28</f>
        <v>1491150</v>
      </c>
      <c r="Q42" s="309">
        <f t="shared" si="13"/>
        <v>357669</v>
      </c>
      <c r="R42" s="309">
        <f t="shared" si="13"/>
        <v>1848819</v>
      </c>
    </row>
    <row r="43" spans="1:18" s="468" customFormat="1" ht="19.5" customHeight="1" thickBot="1" x14ac:dyDescent="0.3">
      <c r="A43" s="911" t="s">
        <v>344</v>
      </c>
      <c r="B43" s="912"/>
      <c r="C43" s="912"/>
      <c r="D43" s="912"/>
      <c r="E43" s="913"/>
      <c r="F43" s="310">
        <v>50000</v>
      </c>
      <c r="G43" s="310">
        <v>0</v>
      </c>
      <c r="H43" s="310">
        <f>F43+G43</f>
        <v>50000</v>
      </c>
      <c r="I43"/>
      <c r="M43"/>
      <c r="N43"/>
      <c r="O43"/>
      <c r="P43" s="310">
        <v>20000</v>
      </c>
      <c r="Q43" s="310">
        <v>0</v>
      </c>
      <c r="R43" s="310">
        <f>P43+Q43</f>
        <v>20000</v>
      </c>
    </row>
    <row r="44" spans="1:18" s="307" customFormat="1" ht="15.75" thickBot="1" x14ac:dyDescent="0.3">
      <c r="A44" s="914" t="s">
        <v>346</v>
      </c>
      <c r="B44" s="915"/>
      <c r="C44" s="915"/>
      <c r="D44" s="915"/>
      <c r="E44" s="916"/>
      <c r="F44" s="309">
        <f t="shared" ref="F44:R44" si="14">F43</f>
        <v>50000</v>
      </c>
      <c r="G44" s="309">
        <f t="shared" si="14"/>
        <v>0</v>
      </c>
      <c r="H44" s="309">
        <f t="shared" si="14"/>
        <v>50000</v>
      </c>
      <c r="I44" s="309">
        <f t="shared" si="14"/>
        <v>0</v>
      </c>
      <c r="J44" s="309">
        <f t="shared" si="14"/>
        <v>0</v>
      </c>
      <c r="K44" s="309">
        <f t="shared" si="14"/>
        <v>0</v>
      </c>
      <c r="L44" s="309">
        <f t="shared" si="14"/>
        <v>0</v>
      </c>
      <c r="M44" s="309">
        <f t="shared" si="14"/>
        <v>0</v>
      </c>
      <c r="N44" s="309">
        <f t="shared" si="14"/>
        <v>0</v>
      </c>
      <c r="O44" s="309">
        <f t="shared" si="14"/>
        <v>0</v>
      </c>
      <c r="P44" s="309">
        <f t="shared" si="14"/>
        <v>20000</v>
      </c>
      <c r="Q44" s="309">
        <f t="shared" si="14"/>
        <v>0</v>
      </c>
      <c r="R44" s="309">
        <f t="shared" si="14"/>
        <v>20000</v>
      </c>
    </row>
    <row r="45" spans="1:18" ht="15.75" thickBot="1" x14ac:dyDescent="0.3">
      <c r="A45" s="911" t="s">
        <v>347</v>
      </c>
      <c r="B45" s="912"/>
      <c r="C45" s="912"/>
      <c r="D45" s="912"/>
      <c r="E45" s="913"/>
      <c r="F45" s="310">
        <v>0</v>
      </c>
      <c r="G45" s="310">
        <f>G15+G27+G30+G33+G34+G37+G41</f>
        <v>409298.67000000004</v>
      </c>
      <c r="H45" s="310">
        <f>G45</f>
        <v>409298.67000000004</v>
      </c>
      <c r="P45" s="310">
        <v>0</v>
      </c>
      <c r="Q45" s="310">
        <f>Q15+Q27+Q30+Q33+Q34+Q37+Q41</f>
        <v>357669</v>
      </c>
      <c r="R45" s="310">
        <f>Q45</f>
        <v>357669</v>
      </c>
    </row>
    <row r="46" spans="1:18" ht="15.75" thickBot="1" x14ac:dyDescent="0.3">
      <c r="A46" s="911" t="s">
        <v>350</v>
      </c>
      <c r="B46" s="912"/>
      <c r="C46" s="912"/>
      <c r="D46" s="912"/>
      <c r="E46" s="913"/>
      <c r="F46" s="310">
        <v>5000</v>
      </c>
      <c r="G46" s="310">
        <v>0</v>
      </c>
      <c r="H46" s="310">
        <f>F46+G46</f>
        <v>5000</v>
      </c>
      <c r="P46" s="310">
        <v>5000</v>
      </c>
      <c r="Q46" s="310">
        <v>0</v>
      </c>
      <c r="R46" s="310">
        <f>P46+Q46</f>
        <v>5000</v>
      </c>
    </row>
    <row r="47" spans="1:18" s="307" customFormat="1" ht="15.75" thickBot="1" x14ac:dyDescent="0.3">
      <c r="A47" s="914" t="s">
        <v>348</v>
      </c>
      <c r="B47" s="915"/>
      <c r="C47" s="915"/>
      <c r="D47" s="915"/>
      <c r="E47" s="916"/>
      <c r="F47" s="309">
        <f>F45+F46</f>
        <v>5000</v>
      </c>
      <c r="G47" s="309">
        <f t="shared" ref="G47:H48" si="15">G45+G46</f>
        <v>409298.67000000004</v>
      </c>
      <c r="H47" s="309">
        <f t="shared" si="15"/>
        <v>414298.67000000004</v>
      </c>
      <c r="J47" s="611"/>
      <c r="K47" s="611"/>
      <c r="L47" s="611"/>
      <c r="P47" s="309">
        <f>P45+P46</f>
        <v>5000</v>
      </c>
      <c r="Q47" s="309">
        <f t="shared" ref="Q47:R48" si="16">Q45+Q46</f>
        <v>357669</v>
      </c>
      <c r="R47" s="309">
        <f t="shared" si="16"/>
        <v>362669</v>
      </c>
    </row>
    <row r="48" spans="1:18" ht="15.75" thickBot="1" x14ac:dyDescent="0.3">
      <c r="A48" s="914" t="s">
        <v>349</v>
      </c>
      <c r="B48" s="915"/>
      <c r="C48" s="915"/>
      <c r="D48" s="915"/>
      <c r="E48" s="916"/>
      <c r="F48" s="309">
        <f t="shared" ref="F48" si="17">F42+F44+F47</f>
        <v>1737371</v>
      </c>
      <c r="G48" s="309">
        <f t="shared" si="15"/>
        <v>409298.67000000004</v>
      </c>
      <c r="H48" s="309">
        <f>H42+H44+H47-H47+H46</f>
        <v>2146669.67</v>
      </c>
      <c r="I48" s="309">
        <f t="shared" ref="I48:P48" si="18">I42+I44+I47</f>
        <v>0</v>
      </c>
      <c r="J48" s="309">
        <f t="shared" si="18"/>
        <v>-160000</v>
      </c>
      <c r="K48" s="309">
        <f t="shared" si="18"/>
        <v>-43200</v>
      </c>
      <c r="L48" s="309">
        <f t="shared" si="18"/>
        <v>0</v>
      </c>
      <c r="M48" s="309">
        <f t="shared" si="18"/>
        <v>0</v>
      </c>
      <c r="N48" s="309">
        <f t="shared" si="18"/>
        <v>0</v>
      </c>
      <c r="O48" s="309">
        <f t="shared" si="18"/>
        <v>0</v>
      </c>
      <c r="P48" s="309">
        <f t="shared" si="18"/>
        <v>1516150</v>
      </c>
      <c r="Q48" s="309">
        <f t="shared" si="16"/>
        <v>357669</v>
      </c>
      <c r="R48" s="309">
        <f>R42+R44+R47-R47+R46</f>
        <v>1873819</v>
      </c>
    </row>
    <row r="49" spans="1:20" ht="16.5" thickBot="1" x14ac:dyDescent="0.3">
      <c r="A49" s="932" t="s">
        <v>638</v>
      </c>
      <c r="B49" s="933"/>
      <c r="C49" s="933"/>
      <c r="D49" s="933"/>
      <c r="E49" s="934"/>
      <c r="F49" s="309"/>
      <c r="G49" s="309"/>
      <c r="H49" s="309"/>
      <c r="I49" s="307"/>
      <c r="J49" s="611"/>
      <c r="K49" s="611"/>
      <c r="L49" s="611"/>
      <c r="M49" s="307"/>
      <c r="N49" s="307"/>
      <c r="O49" s="307"/>
      <c r="P49" s="309"/>
      <c r="Q49" s="309"/>
      <c r="R49" s="309"/>
    </row>
    <row r="50" spans="1:20" s="470" customFormat="1" ht="15.75" thickBot="1" x14ac:dyDescent="0.3">
      <c r="A50" s="935" t="s">
        <v>727</v>
      </c>
      <c r="B50" s="936"/>
      <c r="C50" s="936"/>
      <c r="D50" s="936"/>
      <c r="E50" s="937"/>
      <c r="F50" s="474">
        <v>10000</v>
      </c>
      <c r="G50" s="474">
        <v>0</v>
      </c>
      <c r="H50" s="474">
        <v>10000</v>
      </c>
      <c r="I50" s="474">
        <v>10000</v>
      </c>
      <c r="J50" s="474">
        <v>0</v>
      </c>
      <c r="K50" s="474">
        <f>I50+J50</f>
        <v>10000</v>
      </c>
      <c r="P50" s="474">
        <v>0</v>
      </c>
      <c r="Q50" s="474">
        <v>0</v>
      </c>
      <c r="R50" s="474">
        <v>0</v>
      </c>
    </row>
    <row r="51" spans="1:20" s="470" customFormat="1" ht="15.75" thickBot="1" x14ac:dyDescent="0.3">
      <c r="A51" s="935" t="s">
        <v>728</v>
      </c>
      <c r="B51" s="936"/>
      <c r="C51" s="936"/>
      <c r="D51" s="936"/>
      <c r="E51" s="937"/>
      <c r="F51" s="474"/>
      <c r="G51" s="474">
        <v>2700</v>
      </c>
      <c r="H51" s="474">
        <f>G51</f>
        <v>2700</v>
      </c>
      <c r="I51" s="474"/>
      <c r="J51" s="474">
        <v>2700</v>
      </c>
      <c r="K51" s="474">
        <f>I51+J51</f>
        <v>2700</v>
      </c>
      <c r="P51" s="474"/>
      <c r="Q51" s="474">
        <v>0</v>
      </c>
      <c r="R51" s="474">
        <f>Q51</f>
        <v>0</v>
      </c>
    </row>
    <row r="52" spans="1:20" s="470" customFormat="1" ht="15.75" thickBot="1" x14ac:dyDescent="0.3">
      <c r="A52" s="935" t="s">
        <v>729</v>
      </c>
      <c r="B52" s="936"/>
      <c r="C52" s="936"/>
      <c r="D52" s="936"/>
      <c r="E52" s="937"/>
      <c r="F52" s="474">
        <f>F50+F51</f>
        <v>10000</v>
      </c>
      <c r="G52" s="474">
        <f t="shared" ref="G52:K52" si="19">G50+G51</f>
        <v>2700</v>
      </c>
      <c r="H52" s="474">
        <f t="shared" si="19"/>
        <v>12700</v>
      </c>
      <c r="I52" s="474">
        <f t="shared" si="19"/>
        <v>10000</v>
      </c>
      <c r="J52" s="474">
        <f t="shared" si="19"/>
        <v>2700</v>
      </c>
      <c r="K52" s="474">
        <f t="shared" si="19"/>
        <v>12700</v>
      </c>
      <c r="P52" s="474">
        <f>P50+P51</f>
        <v>0</v>
      </c>
      <c r="Q52" s="474">
        <f t="shared" ref="Q52:R52" si="20">Q50+Q51</f>
        <v>0</v>
      </c>
      <c r="R52" s="474">
        <f t="shared" si="20"/>
        <v>0</v>
      </c>
    </row>
    <row r="53" spans="1:20" s="470" customFormat="1" ht="15.75" thickBot="1" x14ac:dyDescent="0.3">
      <c r="A53" s="935" t="s">
        <v>165</v>
      </c>
      <c r="B53" s="936"/>
      <c r="C53" s="936"/>
      <c r="D53" s="936"/>
      <c r="E53" s="937"/>
      <c r="F53" s="474">
        <v>50000</v>
      </c>
      <c r="G53" s="474">
        <f t="shared" ref="G53:G58" si="21">F53*27%</f>
        <v>13500</v>
      </c>
      <c r="H53" s="474">
        <f>F53+G53</f>
        <v>63500</v>
      </c>
      <c r="I53" s="474">
        <v>50000</v>
      </c>
      <c r="J53" s="474">
        <f t="shared" ref="J53:J59" si="22">I53*27%</f>
        <v>13500</v>
      </c>
      <c r="K53" s="474">
        <f>I53+J53</f>
        <v>63500</v>
      </c>
      <c r="P53" s="474">
        <v>0</v>
      </c>
      <c r="Q53" s="474">
        <f t="shared" ref="Q53:Q58" si="23">P53*27%</f>
        <v>0</v>
      </c>
      <c r="R53" s="474">
        <f>P53+Q53</f>
        <v>0</v>
      </c>
    </row>
    <row r="54" spans="1:20" s="470" customFormat="1" ht="15.75" thickBot="1" x14ac:dyDescent="0.3">
      <c r="A54" s="935" t="s">
        <v>166</v>
      </c>
      <c r="B54" s="936"/>
      <c r="C54" s="936"/>
      <c r="D54" s="936"/>
      <c r="E54" s="937"/>
      <c r="F54" s="474">
        <v>0</v>
      </c>
      <c r="G54" s="474">
        <f t="shared" si="21"/>
        <v>0</v>
      </c>
      <c r="H54" s="474">
        <f t="shared" ref="H54:H58" si="24">F54+G54</f>
        <v>0</v>
      </c>
      <c r="I54" s="474">
        <v>20000</v>
      </c>
      <c r="J54" s="474">
        <f t="shared" si="22"/>
        <v>5400</v>
      </c>
      <c r="K54" s="474">
        <f t="shared" ref="K54:K60" si="25">I54+J54</f>
        <v>25400</v>
      </c>
      <c r="P54" s="474">
        <v>0</v>
      </c>
      <c r="Q54" s="474">
        <f t="shared" si="23"/>
        <v>0</v>
      </c>
      <c r="R54" s="474">
        <f t="shared" ref="R54:R58" si="26">P54+Q54</f>
        <v>0</v>
      </c>
    </row>
    <row r="55" spans="1:20" s="470" customFormat="1" ht="15.75" thickBot="1" x14ac:dyDescent="0.3">
      <c r="A55" s="935" t="s">
        <v>157</v>
      </c>
      <c r="B55" s="936"/>
      <c r="C55" s="936"/>
      <c r="D55" s="936"/>
      <c r="E55" s="937"/>
      <c r="F55" s="474">
        <v>0</v>
      </c>
      <c r="G55" s="474">
        <f t="shared" si="21"/>
        <v>0</v>
      </c>
      <c r="H55" s="474">
        <f t="shared" si="24"/>
        <v>0</v>
      </c>
      <c r="I55" s="474">
        <v>12000</v>
      </c>
      <c r="J55" s="474">
        <f t="shared" si="22"/>
        <v>3240</v>
      </c>
      <c r="K55" s="474">
        <f t="shared" si="25"/>
        <v>15240</v>
      </c>
      <c r="P55" s="474">
        <v>0</v>
      </c>
      <c r="Q55" s="474">
        <f t="shared" si="23"/>
        <v>0</v>
      </c>
      <c r="R55" s="474">
        <f t="shared" si="26"/>
        <v>0</v>
      </c>
    </row>
    <row r="56" spans="1:20" s="470" customFormat="1" ht="15.75" thickBot="1" x14ac:dyDescent="0.3">
      <c r="A56" s="935" t="s">
        <v>167</v>
      </c>
      <c r="B56" s="936"/>
      <c r="C56" s="936"/>
      <c r="D56" s="936"/>
      <c r="E56" s="937"/>
      <c r="F56" s="474">
        <v>0</v>
      </c>
      <c r="G56" s="474">
        <f t="shared" si="21"/>
        <v>0</v>
      </c>
      <c r="H56" s="474">
        <f t="shared" si="24"/>
        <v>0</v>
      </c>
      <c r="I56" s="474">
        <v>50000</v>
      </c>
      <c r="J56" s="474">
        <f t="shared" si="22"/>
        <v>13500</v>
      </c>
      <c r="K56" s="474">
        <f t="shared" si="25"/>
        <v>63500</v>
      </c>
      <c r="P56" s="474">
        <v>0</v>
      </c>
      <c r="Q56" s="474">
        <f t="shared" si="23"/>
        <v>0</v>
      </c>
      <c r="R56" s="474">
        <f t="shared" si="26"/>
        <v>0</v>
      </c>
    </row>
    <row r="57" spans="1:20" s="470" customFormat="1" ht="15.75" thickBot="1" x14ac:dyDescent="0.3">
      <c r="A57" s="935" t="s">
        <v>730</v>
      </c>
      <c r="B57" s="936"/>
      <c r="C57" s="936"/>
      <c r="D57" s="936"/>
      <c r="E57" s="937"/>
      <c r="F57" s="474"/>
      <c r="G57" s="474">
        <f t="shared" si="21"/>
        <v>0</v>
      </c>
      <c r="H57" s="474">
        <f t="shared" si="24"/>
        <v>0</v>
      </c>
      <c r="I57" s="474"/>
      <c r="J57" s="474"/>
      <c r="K57" s="474"/>
      <c r="P57" s="474"/>
      <c r="Q57" s="474">
        <f t="shared" si="23"/>
        <v>0</v>
      </c>
      <c r="R57" s="474">
        <f t="shared" si="26"/>
        <v>0</v>
      </c>
    </row>
    <row r="58" spans="1:20" s="470" customFormat="1" ht="15.75" thickBot="1" x14ac:dyDescent="0.3">
      <c r="A58" s="935" t="s">
        <v>731</v>
      </c>
      <c r="B58" s="936"/>
      <c r="C58" s="936"/>
      <c r="D58" s="936"/>
      <c r="E58" s="937"/>
      <c r="F58" s="474">
        <v>0</v>
      </c>
      <c r="G58" s="474">
        <f t="shared" si="21"/>
        <v>0</v>
      </c>
      <c r="H58" s="474">
        <f t="shared" si="24"/>
        <v>0</v>
      </c>
      <c r="I58" s="474"/>
      <c r="J58" s="474"/>
      <c r="K58" s="474"/>
      <c r="P58" s="474">
        <v>0</v>
      </c>
      <c r="Q58" s="474">
        <f t="shared" si="23"/>
        <v>0</v>
      </c>
      <c r="R58" s="474">
        <f t="shared" si="26"/>
        <v>0</v>
      </c>
    </row>
    <row r="59" spans="1:20" s="307" customFormat="1" ht="16.5" thickBot="1" x14ac:dyDescent="0.3">
      <c r="A59" s="914" t="s">
        <v>351</v>
      </c>
      <c r="B59" s="915"/>
      <c r="C59" s="915"/>
      <c r="D59" s="915"/>
      <c r="E59" s="916"/>
      <c r="F59" s="311">
        <f>F53+F54+F55+F56+F57+F58</f>
        <v>50000</v>
      </c>
      <c r="G59" s="311">
        <f t="shared" ref="G59:H59" si="27">G53+G54+G55+G56+G57+G58</f>
        <v>13500</v>
      </c>
      <c r="H59" s="311">
        <f t="shared" si="27"/>
        <v>63500</v>
      </c>
      <c r="I59" s="309">
        <f>I53+I54+I55+I56</f>
        <v>132000</v>
      </c>
      <c r="J59" s="309">
        <f t="shared" si="22"/>
        <v>35640</v>
      </c>
      <c r="K59" s="309">
        <f t="shared" si="25"/>
        <v>167640</v>
      </c>
      <c r="L59" s="611"/>
      <c r="P59" s="311">
        <f>P53+P54+P55+P56+P57+P58</f>
        <v>0</v>
      </c>
      <c r="Q59" s="311">
        <f t="shared" ref="Q59:R59" si="28">Q53+Q54+Q55+Q56+Q57+Q58</f>
        <v>0</v>
      </c>
      <c r="R59" s="311">
        <f t="shared" si="28"/>
        <v>0</v>
      </c>
    </row>
    <row r="60" spans="1:20" s="307" customFormat="1" ht="16.5" customHeight="1" thickBot="1" x14ac:dyDescent="0.3">
      <c r="A60" s="914" t="s">
        <v>352</v>
      </c>
      <c r="B60" s="915"/>
      <c r="C60" s="915"/>
      <c r="D60" s="915"/>
      <c r="E60" s="916"/>
      <c r="F60" s="469"/>
      <c r="G60" s="469">
        <f>G51+G53</f>
        <v>16200</v>
      </c>
      <c r="H60" s="469">
        <f>F60+G60</f>
        <v>16200</v>
      </c>
      <c r="I60" s="309"/>
      <c r="J60" s="309">
        <f>J59</f>
        <v>35640</v>
      </c>
      <c r="K60" s="309">
        <f t="shared" si="25"/>
        <v>35640</v>
      </c>
      <c r="L60" s="468"/>
      <c r="M60"/>
      <c r="N60"/>
      <c r="O60"/>
      <c r="P60" s="469"/>
      <c r="Q60" s="469">
        <f>Q51+Q53</f>
        <v>0</v>
      </c>
      <c r="R60" s="469">
        <f>P60+Q60</f>
        <v>0</v>
      </c>
    </row>
    <row r="61" spans="1:20" s="307" customFormat="1" ht="15.75" thickBot="1" x14ac:dyDescent="0.3">
      <c r="A61" s="914" t="s">
        <v>732</v>
      </c>
      <c r="B61" s="915"/>
      <c r="C61" s="915"/>
      <c r="D61" s="915"/>
      <c r="E61" s="916"/>
      <c r="F61" s="309">
        <f>F59+F52</f>
        <v>60000</v>
      </c>
      <c r="G61" s="309">
        <f>G51+G59</f>
        <v>16200</v>
      </c>
      <c r="H61" s="309">
        <f>F61+G61</f>
        <v>76200</v>
      </c>
      <c r="I61" s="309">
        <f t="shared" ref="I61:O61" si="29">I59</f>
        <v>132000</v>
      </c>
      <c r="J61" s="309">
        <f t="shared" si="29"/>
        <v>35640</v>
      </c>
      <c r="K61" s="309">
        <f t="shared" si="29"/>
        <v>167640</v>
      </c>
      <c r="L61" s="309">
        <f t="shared" si="29"/>
        <v>0</v>
      </c>
      <c r="M61" s="309">
        <f t="shared" si="29"/>
        <v>0</v>
      </c>
      <c r="N61" s="309">
        <f t="shared" si="29"/>
        <v>0</v>
      </c>
      <c r="O61" s="309">
        <f t="shared" si="29"/>
        <v>0</v>
      </c>
      <c r="P61" s="309">
        <f>P59+P52</f>
        <v>0</v>
      </c>
      <c r="Q61" s="309">
        <f>Q51+Q59</f>
        <v>0</v>
      </c>
      <c r="R61" s="309">
        <f>P61+Q61</f>
        <v>0</v>
      </c>
    </row>
    <row r="62" spans="1:20" s="307" customFormat="1" ht="19.5" thickBot="1" x14ac:dyDescent="0.35">
      <c r="A62" s="947" t="s">
        <v>353</v>
      </c>
      <c r="B62" s="948"/>
      <c r="C62" s="948"/>
      <c r="D62" s="948"/>
      <c r="E62" s="949"/>
      <c r="F62" s="313">
        <f>F10+F11+F48+F61</f>
        <v>14331015</v>
      </c>
      <c r="G62" s="313">
        <f>G52+G59+G48</f>
        <v>425498.67000000004</v>
      </c>
      <c r="H62" s="313">
        <f>H61+H48+H12</f>
        <v>14756513.67</v>
      </c>
      <c r="I62" s="314"/>
      <c r="J62" s="612"/>
      <c r="K62" s="612"/>
      <c r="L62" s="612"/>
      <c r="M62" s="314"/>
      <c r="N62" s="314"/>
      <c r="O62" s="314"/>
      <c r="P62" s="313">
        <f>P10+P11+P48+P61</f>
        <v>13519931</v>
      </c>
      <c r="Q62" s="313">
        <f>Q52+Q59+Q48</f>
        <v>357669</v>
      </c>
      <c r="R62" s="313">
        <f>R61+R48+R12</f>
        <v>13877600</v>
      </c>
      <c r="T62" s="613"/>
    </row>
    <row r="63" spans="1:20" s="307" customFormat="1" x14ac:dyDescent="0.25">
      <c r="A63"/>
      <c r="B63"/>
      <c r="C63"/>
      <c r="D63"/>
      <c r="E63"/>
      <c r="F63"/>
      <c r="G63"/>
      <c r="H63"/>
      <c r="I63"/>
      <c r="J63" s="468"/>
      <c r="K63" s="468"/>
      <c r="L63" s="468"/>
      <c r="M63"/>
      <c r="N63"/>
      <c r="O63"/>
      <c r="P63"/>
      <c r="Q63"/>
      <c r="R63"/>
    </row>
    <row r="64" spans="1:20" s="307" customFormat="1" x14ac:dyDescent="0.25">
      <c r="A64"/>
      <c r="B64"/>
      <c r="C64"/>
      <c r="D64"/>
      <c r="E64"/>
      <c r="F64"/>
      <c r="G64"/>
      <c r="H64"/>
      <c r="I64"/>
      <c r="J64" s="468"/>
      <c r="K64" s="468"/>
      <c r="L64" s="468"/>
      <c r="M64"/>
      <c r="N64"/>
      <c r="O64"/>
      <c r="P64"/>
      <c r="Q64"/>
      <c r="R64"/>
    </row>
    <row r="65" spans="1:18" s="314" customFormat="1" ht="18.75" x14ac:dyDescent="0.3">
      <c r="A65"/>
      <c r="B65"/>
      <c r="C65"/>
      <c r="D65"/>
      <c r="E65"/>
      <c r="F65"/>
      <c r="G65"/>
      <c r="H65"/>
      <c r="I65"/>
      <c r="J65" s="468"/>
      <c r="K65" s="468"/>
      <c r="L65" s="468"/>
      <c r="M65"/>
      <c r="N65"/>
      <c r="O65"/>
      <c r="P65"/>
      <c r="Q65"/>
      <c r="R65"/>
    </row>
  </sheetData>
  <mergeCells count="62">
    <mergeCell ref="A61:E61"/>
    <mergeCell ref="A62:E62"/>
    <mergeCell ref="A56:E56"/>
    <mergeCell ref="A57:E57"/>
    <mergeCell ref="A58:E58"/>
    <mergeCell ref="A59:E59"/>
    <mergeCell ref="A60:E60"/>
    <mergeCell ref="A51:E51"/>
    <mergeCell ref="A52:E52"/>
    <mergeCell ref="A53:E53"/>
    <mergeCell ref="A54:E54"/>
    <mergeCell ref="A55:E55"/>
    <mergeCell ref="A13:E13"/>
    <mergeCell ref="A20:E20"/>
    <mergeCell ref="A21:E21"/>
    <mergeCell ref="A6:E6"/>
    <mergeCell ref="A7:E7"/>
    <mergeCell ref="A8:E8"/>
    <mergeCell ref="A9:E9"/>
    <mergeCell ref="A49:E49"/>
    <mergeCell ref="A50:E50"/>
    <mergeCell ref="A25:E25"/>
    <mergeCell ref="A14:E14"/>
    <mergeCell ref="A22:E22"/>
    <mergeCell ref="A23:E23"/>
    <mergeCell ref="A48:E48"/>
    <mergeCell ref="A38:E38"/>
    <mergeCell ref="A27:E27"/>
    <mergeCell ref="A28:E28"/>
    <mergeCell ref="A34:E34"/>
    <mergeCell ref="A35:E35"/>
    <mergeCell ref="A36:E36"/>
    <mergeCell ref="A37:E37"/>
    <mergeCell ref="A29:E29"/>
    <mergeCell ref="A30:E30"/>
    <mergeCell ref="A31:E31"/>
    <mergeCell ref="A32:E32"/>
    <mergeCell ref="A33:E33"/>
    <mergeCell ref="A43:E43"/>
    <mergeCell ref="A44:E44"/>
    <mergeCell ref="A46:E46"/>
    <mergeCell ref="A47:E47"/>
    <mergeCell ref="A39:E39"/>
    <mergeCell ref="A40:E40"/>
    <mergeCell ref="A41:E41"/>
    <mergeCell ref="A42:E42"/>
    <mergeCell ref="A1:F1"/>
    <mergeCell ref="F3:H3"/>
    <mergeCell ref="P3:R3"/>
    <mergeCell ref="A45:E45"/>
    <mergeCell ref="A4:E4"/>
    <mergeCell ref="A5:E5"/>
    <mergeCell ref="A26:E26"/>
    <mergeCell ref="A24:E24"/>
    <mergeCell ref="A15:E15"/>
    <mergeCell ref="A16:E16"/>
    <mergeCell ref="A17:E17"/>
    <mergeCell ref="A18:E18"/>
    <mergeCell ref="A19:E19"/>
    <mergeCell ref="A10:E10"/>
    <mergeCell ref="A11:E11"/>
    <mergeCell ref="A12:E12"/>
  </mergeCells>
  <pageMargins left="0.23622047244094491" right="0.23622047244094491" top="0.74803149606299213" bottom="0.74803149606299213" header="0.31496062992125984" footer="0.31496062992125984"/>
  <pageSetup paperSize="9" scale="6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7030A0"/>
  </sheetPr>
  <dimension ref="A2:M75"/>
  <sheetViews>
    <sheetView workbookViewId="0">
      <selection activeCell="K1" sqref="K1"/>
    </sheetView>
  </sheetViews>
  <sheetFormatPr defaultRowHeight="15" x14ac:dyDescent="0.25"/>
  <cols>
    <col min="5" max="5" width="24.140625" customWidth="1"/>
    <col min="6" max="6" width="14.42578125" style="306" customWidth="1"/>
    <col min="7" max="7" width="12.5703125" style="306" customWidth="1"/>
    <col min="8" max="8" width="15.85546875" bestFit="1" customWidth="1"/>
    <col min="9" max="9" width="23.85546875" bestFit="1" customWidth="1"/>
    <col min="11" max="11" width="15.42578125" customWidth="1"/>
    <col min="13" max="13" width="13.42578125" bestFit="1" customWidth="1"/>
    <col min="260" max="260" width="13" customWidth="1"/>
    <col min="261" max="261" width="14.42578125" customWidth="1"/>
    <col min="262" max="262" width="10.42578125" bestFit="1" customWidth="1"/>
    <col min="263" max="263" width="15.85546875" bestFit="1" customWidth="1"/>
    <col min="264" max="264" width="14" bestFit="1" customWidth="1"/>
    <col min="516" max="516" width="13" customWidth="1"/>
    <col min="517" max="517" width="14.42578125" customWidth="1"/>
    <col min="518" max="518" width="10.42578125" bestFit="1" customWidth="1"/>
    <col min="519" max="519" width="15.85546875" bestFit="1" customWidth="1"/>
    <col min="520" max="520" width="14" bestFit="1" customWidth="1"/>
    <col min="772" max="772" width="13" customWidth="1"/>
    <col min="773" max="773" width="14.42578125" customWidth="1"/>
    <col min="774" max="774" width="10.42578125" bestFit="1" customWidth="1"/>
    <col min="775" max="775" width="15.85546875" bestFit="1" customWidth="1"/>
    <col min="776" max="776" width="14" bestFit="1" customWidth="1"/>
    <col min="1028" max="1028" width="13" customWidth="1"/>
    <col min="1029" max="1029" width="14.42578125" customWidth="1"/>
    <col min="1030" max="1030" width="10.42578125" bestFit="1" customWidth="1"/>
    <col min="1031" max="1031" width="15.85546875" bestFit="1" customWidth="1"/>
    <col min="1032" max="1032" width="14" bestFit="1" customWidth="1"/>
    <col min="1284" max="1284" width="13" customWidth="1"/>
    <col min="1285" max="1285" width="14.42578125" customWidth="1"/>
    <col min="1286" max="1286" width="10.42578125" bestFit="1" customWidth="1"/>
    <col min="1287" max="1287" width="15.85546875" bestFit="1" customWidth="1"/>
    <col min="1288" max="1288" width="14" bestFit="1" customWidth="1"/>
    <col min="1540" max="1540" width="13" customWidth="1"/>
    <col min="1541" max="1541" width="14.42578125" customWidth="1"/>
    <col min="1542" max="1542" width="10.42578125" bestFit="1" customWidth="1"/>
    <col min="1543" max="1543" width="15.85546875" bestFit="1" customWidth="1"/>
    <col min="1544" max="1544" width="14" bestFit="1" customWidth="1"/>
    <col min="1796" max="1796" width="13" customWidth="1"/>
    <col min="1797" max="1797" width="14.42578125" customWidth="1"/>
    <col min="1798" max="1798" width="10.42578125" bestFit="1" customWidth="1"/>
    <col min="1799" max="1799" width="15.85546875" bestFit="1" customWidth="1"/>
    <col min="1800" max="1800" width="14" bestFit="1" customWidth="1"/>
    <col min="2052" max="2052" width="13" customWidth="1"/>
    <col min="2053" max="2053" width="14.42578125" customWidth="1"/>
    <col min="2054" max="2054" width="10.42578125" bestFit="1" customWidth="1"/>
    <col min="2055" max="2055" width="15.85546875" bestFit="1" customWidth="1"/>
    <col min="2056" max="2056" width="14" bestFit="1" customWidth="1"/>
    <col min="2308" max="2308" width="13" customWidth="1"/>
    <col min="2309" max="2309" width="14.42578125" customWidth="1"/>
    <col min="2310" max="2310" width="10.42578125" bestFit="1" customWidth="1"/>
    <col min="2311" max="2311" width="15.85546875" bestFit="1" customWidth="1"/>
    <col min="2312" max="2312" width="14" bestFit="1" customWidth="1"/>
    <col min="2564" max="2564" width="13" customWidth="1"/>
    <col min="2565" max="2565" width="14.42578125" customWidth="1"/>
    <col min="2566" max="2566" width="10.42578125" bestFit="1" customWidth="1"/>
    <col min="2567" max="2567" width="15.85546875" bestFit="1" customWidth="1"/>
    <col min="2568" max="2568" width="14" bestFit="1" customWidth="1"/>
    <col min="2820" max="2820" width="13" customWidth="1"/>
    <col min="2821" max="2821" width="14.42578125" customWidth="1"/>
    <col min="2822" max="2822" width="10.42578125" bestFit="1" customWidth="1"/>
    <col min="2823" max="2823" width="15.85546875" bestFit="1" customWidth="1"/>
    <col min="2824" max="2824" width="14" bestFit="1" customWidth="1"/>
    <col min="3076" max="3076" width="13" customWidth="1"/>
    <col min="3077" max="3077" width="14.42578125" customWidth="1"/>
    <col min="3078" max="3078" width="10.42578125" bestFit="1" customWidth="1"/>
    <col min="3079" max="3079" width="15.85546875" bestFit="1" customWidth="1"/>
    <col min="3080" max="3080" width="14" bestFit="1" customWidth="1"/>
    <col min="3332" max="3332" width="13" customWidth="1"/>
    <col min="3333" max="3333" width="14.42578125" customWidth="1"/>
    <col min="3334" max="3334" width="10.42578125" bestFit="1" customWidth="1"/>
    <col min="3335" max="3335" width="15.85546875" bestFit="1" customWidth="1"/>
    <col min="3336" max="3336" width="14" bestFit="1" customWidth="1"/>
    <col min="3588" max="3588" width="13" customWidth="1"/>
    <col min="3589" max="3589" width="14.42578125" customWidth="1"/>
    <col min="3590" max="3590" width="10.42578125" bestFit="1" customWidth="1"/>
    <col min="3591" max="3591" width="15.85546875" bestFit="1" customWidth="1"/>
    <col min="3592" max="3592" width="14" bestFit="1" customWidth="1"/>
    <col min="3844" max="3844" width="13" customWidth="1"/>
    <col min="3845" max="3845" width="14.42578125" customWidth="1"/>
    <col min="3846" max="3846" width="10.42578125" bestFit="1" customWidth="1"/>
    <col min="3847" max="3847" width="15.85546875" bestFit="1" customWidth="1"/>
    <col min="3848" max="3848" width="14" bestFit="1" customWidth="1"/>
    <col min="4100" max="4100" width="13" customWidth="1"/>
    <col min="4101" max="4101" width="14.42578125" customWidth="1"/>
    <col min="4102" max="4102" width="10.42578125" bestFit="1" customWidth="1"/>
    <col min="4103" max="4103" width="15.85546875" bestFit="1" customWidth="1"/>
    <col min="4104" max="4104" width="14" bestFit="1" customWidth="1"/>
    <col min="4356" max="4356" width="13" customWidth="1"/>
    <col min="4357" max="4357" width="14.42578125" customWidth="1"/>
    <col min="4358" max="4358" width="10.42578125" bestFit="1" customWidth="1"/>
    <col min="4359" max="4359" width="15.85546875" bestFit="1" customWidth="1"/>
    <col min="4360" max="4360" width="14" bestFit="1" customWidth="1"/>
    <col min="4612" max="4612" width="13" customWidth="1"/>
    <col min="4613" max="4613" width="14.42578125" customWidth="1"/>
    <col min="4614" max="4614" width="10.42578125" bestFit="1" customWidth="1"/>
    <col min="4615" max="4615" width="15.85546875" bestFit="1" customWidth="1"/>
    <col min="4616" max="4616" width="14" bestFit="1" customWidth="1"/>
    <col min="4868" max="4868" width="13" customWidth="1"/>
    <col min="4869" max="4869" width="14.42578125" customWidth="1"/>
    <col min="4870" max="4870" width="10.42578125" bestFit="1" customWidth="1"/>
    <col min="4871" max="4871" width="15.85546875" bestFit="1" customWidth="1"/>
    <col min="4872" max="4872" width="14" bestFit="1" customWidth="1"/>
    <col min="5124" max="5124" width="13" customWidth="1"/>
    <col min="5125" max="5125" width="14.42578125" customWidth="1"/>
    <col min="5126" max="5126" width="10.42578125" bestFit="1" customWidth="1"/>
    <col min="5127" max="5127" width="15.85546875" bestFit="1" customWidth="1"/>
    <col min="5128" max="5128" width="14" bestFit="1" customWidth="1"/>
    <col min="5380" max="5380" width="13" customWidth="1"/>
    <col min="5381" max="5381" width="14.42578125" customWidth="1"/>
    <col min="5382" max="5382" width="10.42578125" bestFit="1" customWidth="1"/>
    <col min="5383" max="5383" width="15.85546875" bestFit="1" customWidth="1"/>
    <col min="5384" max="5384" width="14" bestFit="1" customWidth="1"/>
    <col min="5636" max="5636" width="13" customWidth="1"/>
    <col min="5637" max="5637" width="14.42578125" customWidth="1"/>
    <col min="5638" max="5638" width="10.42578125" bestFit="1" customWidth="1"/>
    <col min="5639" max="5639" width="15.85546875" bestFit="1" customWidth="1"/>
    <col min="5640" max="5640" width="14" bestFit="1" customWidth="1"/>
    <col min="5892" max="5892" width="13" customWidth="1"/>
    <col min="5893" max="5893" width="14.42578125" customWidth="1"/>
    <col min="5894" max="5894" width="10.42578125" bestFit="1" customWidth="1"/>
    <col min="5895" max="5895" width="15.85546875" bestFit="1" customWidth="1"/>
    <col min="5896" max="5896" width="14" bestFit="1" customWidth="1"/>
    <col min="6148" max="6148" width="13" customWidth="1"/>
    <col min="6149" max="6149" width="14.42578125" customWidth="1"/>
    <col min="6150" max="6150" width="10.42578125" bestFit="1" customWidth="1"/>
    <col min="6151" max="6151" width="15.85546875" bestFit="1" customWidth="1"/>
    <col min="6152" max="6152" width="14" bestFit="1" customWidth="1"/>
    <col min="6404" max="6404" width="13" customWidth="1"/>
    <col min="6405" max="6405" width="14.42578125" customWidth="1"/>
    <col min="6406" max="6406" width="10.42578125" bestFit="1" customWidth="1"/>
    <col min="6407" max="6407" width="15.85546875" bestFit="1" customWidth="1"/>
    <col min="6408" max="6408" width="14" bestFit="1" customWidth="1"/>
    <col min="6660" max="6660" width="13" customWidth="1"/>
    <col min="6661" max="6661" width="14.42578125" customWidth="1"/>
    <col min="6662" max="6662" width="10.42578125" bestFit="1" customWidth="1"/>
    <col min="6663" max="6663" width="15.85546875" bestFit="1" customWidth="1"/>
    <col min="6664" max="6664" width="14" bestFit="1" customWidth="1"/>
    <col min="6916" max="6916" width="13" customWidth="1"/>
    <col min="6917" max="6917" width="14.42578125" customWidth="1"/>
    <col min="6918" max="6918" width="10.42578125" bestFit="1" customWidth="1"/>
    <col min="6919" max="6919" width="15.85546875" bestFit="1" customWidth="1"/>
    <col min="6920" max="6920" width="14" bestFit="1" customWidth="1"/>
    <col min="7172" max="7172" width="13" customWidth="1"/>
    <col min="7173" max="7173" width="14.42578125" customWidth="1"/>
    <col min="7174" max="7174" width="10.42578125" bestFit="1" customWidth="1"/>
    <col min="7175" max="7175" width="15.85546875" bestFit="1" customWidth="1"/>
    <col min="7176" max="7176" width="14" bestFit="1" customWidth="1"/>
    <col min="7428" max="7428" width="13" customWidth="1"/>
    <col min="7429" max="7429" width="14.42578125" customWidth="1"/>
    <col min="7430" max="7430" width="10.42578125" bestFit="1" customWidth="1"/>
    <col min="7431" max="7431" width="15.85546875" bestFit="1" customWidth="1"/>
    <col min="7432" max="7432" width="14" bestFit="1" customWidth="1"/>
    <col min="7684" max="7684" width="13" customWidth="1"/>
    <col min="7685" max="7685" width="14.42578125" customWidth="1"/>
    <col min="7686" max="7686" width="10.42578125" bestFit="1" customWidth="1"/>
    <col min="7687" max="7687" width="15.85546875" bestFit="1" customWidth="1"/>
    <col min="7688" max="7688" width="14" bestFit="1" customWidth="1"/>
    <col min="7940" max="7940" width="13" customWidth="1"/>
    <col min="7941" max="7941" width="14.42578125" customWidth="1"/>
    <col min="7942" max="7942" width="10.42578125" bestFit="1" customWidth="1"/>
    <col min="7943" max="7943" width="15.85546875" bestFit="1" customWidth="1"/>
    <col min="7944" max="7944" width="14" bestFit="1" customWidth="1"/>
    <col min="8196" max="8196" width="13" customWidth="1"/>
    <col min="8197" max="8197" width="14.42578125" customWidth="1"/>
    <col min="8198" max="8198" width="10.42578125" bestFit="1" customWidth="1"/>
    <col min="8199" max="8199" width="15.85546875" bestFit="1" customWidth="1"/>
    <col min="8200" max="8200" width="14" bestFit="1" customWidth="1"/>
    <col min="8452" max="8452" width="13" customWidth="1"/>
    <col min="8453" max="8453" width="14.42578125" customWidth="1"/>
    <col min="8454" max="8454" width="10.42578125" bestFit="1" customWidth="1"/>
    <col min="8455" max="8455" width="15.85546875" bestFit="1" customWidth="1"/>
    <col min="8456" max="8456" width="14" bestFit="1" customWidth="1"/>
    <col min="8708" max="8708" width="13" customWidth="1"/>
    <col min="8709" max="8709" width="14.42578125" customWidth="1"/>
    <col min="8710" max="8710" width="10.42578125" bestFit="1" customWidth="1"/>
    <col min="8711" max="8711" width="15.85546875" bestFit="1" customWidth="1"/>
    <col min="8712" max="8712" width="14" bestFit="1" customWidth="1"/>
    <col min="8964" max="8964" width="13" customWidth="1"/>
    <col min="8965" max="8965" width="14.42578125" customWidth="1"/>
    <col min="8966" max="8966" width="10.42578125" bestFit="1" customWidth="1"/>
    <col min="8967" max="8967" width="15.85546875" bestFit="1" customWidth="1"/>
    <col min="8968" max="8968" width="14" bestFit="1" customWidth="1"/>
    <col min="9220" max="9220" width="13" customWidth="1"/>
    <col min="9221" max="9221" width="14.42578125" customWidth="1"/>
    <col min="9222" max="9222" width="10.42578125" bestFit="1" customWidth="1"/>
    <col min="9223" max="9223" width="15.85546875" bestFit="1" customWidth="1"/>
    <col min="9224" max="9224" width="14" bestFit="1" customWidth="1"/>
    <col min="9476" max="9476" width="13" customWidth="1"/>
    <col min="9477" max="9477" width="14.42578125" customWidth="1"/>
    <col min="9478" max="9478" width="10.42578125" bestFit="1" customWidth="1"/>
    <col min="9479" max="9479" width="15.85546875" bestFit="1" customWidth="1"/>
    <col min="9480" max="9480" width="14" bestFit="1" customWidth="1"/>
    <col min="9732" max="9732" width="13" customWidth="1"/>
    <col min="9733" max="9733" width="14.42578125" customWidth="1"/>
    <col min="9734" max="9734" width="10.42578125" bestFit="1" customWidth="1"/>
    <col min="9735" max="9735" width="15.85546875" bestFit="1" customWidth="1"/>
    <col min="9736" max="9736" width="14" bestFit="1" customWidth="1"/>
    <col min="9988" max="9988" width="13" customWidth="1"/>
    <col min="9989" max="9989" width="14.42578125" customWidth="1"/>
    <col min="9990" max="9990" width="10.42578125" bestFit="1" customWidth="1"/>
    <col min="9991" max="9991" width="15.85546875" bestFit="1" customWidth="1"/>
    <col min="9992" max="9992" width="14" bestFit="1" customWidth="1"/>
    <col min="10244" max="10244" width="13" customWidth="1"/>
    <col min="10245" max="10245" width="14.42578125" customWidth="1"/>
    <col min="10246" max="10246" width="10.42578125" bestFit="1" customWidth="1"/>
    <col min="10247" max="10247" width="15.85546875" bestFit="1" customWidth="1"/>
    <col min="10248" max="10248" width="14" bestFit="1" customWidth="1"/>
    <col min="10500" max="10500" width="13" customWidth="1"/>
    <col min="10501" max="10501" width="14.42578125" customWidth="1"/>
    <col min="10502" max="10502" width="10.42578125" bestFit="1" customWidth="1"/>
    <col min="10503" max="10503" width="15.85546875" bestFit="1" customWidth="1"/>
    <col min="10504" max="10504" width="14" bestFit="1" customWidth="1"/>
    <col min="10756" max="10756" width="13" customWidth="1"/>
    <col min="10757" max="10757" width="14.42578125" customWidth="1"/>
    <col min="10758" max="10758" width="10.42578125" bestFit="1" customWidth="1"/>
    <col min="10759" max="10759" width="15.85546875" bestFit="1" customWidth="1"/>
    <col min="10760" max="10760" width="14" bestFit="1" customWidth="1"/>
    <col min="11012" max="11012" width="13" customWidth="1"/>
    <col min="11013" max="11013" width="14.42578125" customWidth="1"/>
    <col min="11014" max="11014" width="10.42578125" bestFit="1" customWidth="1"/>
    <col min="11015" max="11015" width="15.85546875" bestFit="1" customWidth="1"/>
    <col min="11016" max="11016" width="14" bestFit="1" customWidth="1"/>
    <col min="11268" max="11268" width="13" customWidth="1"/>
    <col min="11269" max="11269" width="14.42578125" customWidth="1"/>
    <col min="11270" max="11270" width="10.42578125" bestFit="1" customWidth="1"/>
    <col min="11271" max="11271" width="15.85546875" bestFit="1" customWidth="1"/>
    <col min="11272" max="11272" width="14" bestFit="1" customWidth="1"/>
    <col min="11524" max="11524" width="13" customWidth="1"/>
    <col min="11525" max="11525" width="14.42578125" customWidth="1"/>
    <col min="11526" max="11526" width="10.42578125" bestFit="1" customWidth="1"/>
    <col min="11527" max="11527" width="15.85546875" bestFit="1" customWidth="1"/>
    <col min="11528" max="11528" width="14" bestFit="1" customWidth="1"/>
    <col min="11780" max="11780" width="13" customWidth="1"/>
    <col min="11781" max="11781" width="14.42578125" customWidth="1"/>
    <col min="11782" max="11782" width="10.42578125" bestFit="1" customWidth="1"/>
    <col min="11783" max="11783" width="15.85546875" bestFit="1" customWidth="1"/>
    <col min="11784" max="11784" width="14" bestFit="1" customWidth="1"/>
    <col min="12036" max="12036" width="13" customWidth="1"/>
    <col min="12037" max="12037" width="14.42578125" customWidth="1"/>
    <col min="12038" max="12038" width="10.42578125" bestFit="1" customWidth="1"/>
    <col min="12039" max="12039" width="15.85546875" bestFit="1" customWidth="1"/>
    <col min="12040" max="12040" width="14" bestFit="1" customWidth="1"/>
    <col min="12292" max="12292" width="13" customWidth="1"/>
    <col min="12293" max="12293" width="14.42578125" customWidth="1"/>
    <col min="12294" max="12294" width="10.42578125" bestFit="1" customWidth="1"/>
    <col min="12295" max="12295" width="15.85546875" bestFit="1" customWidth="1"/>
    <col min="12296" max="12296" width="14" bestFit="1" customWidth="1"/>
    <col min="12548" max="12548" width="13" customWidth="1"/>
    <col min="12549" max="12549" width="14.42578125" customWidth="1"/>
    <col min="12550" max="12550" width="10.42578125" bestFit="1" customWidth="1"/>
    <col min="12551" max="12551" width="15.85546875" bestFit="1" customWidth="1"/>
    <col min="12552" max="12552" width="14" bestFit="1" customWidth="1"/>
    <col min="12804" max="12804" width="13" customWidth="1"/>
    <col min="12805" max="12805" width="14.42578125" customWidth="1"/>
    <col min="12806" max="12806" width="10.42578125" bestFit="1" customWidth="1"/>
    <col min="12807" max="12807" width="15.85546875" bestFit="1" customWidth="1"/>
    <col min="12808" max="12808" width="14" bestFit="1" customWidth="1"/>
    <col min="13060" max="13060" width="13" customWidth="1"/>
    <col min="13061" max="13061" width="14.42578125" customWidth="1"/>
    <col min="13062" max="13062" width="10.42578125" bestFit="1" customWidth="1"/>
    <col min="13063" max="13063" width="15.85546875" bestFit="1" customWidth="1"/>
    <col min="13064" max="13064" width="14" bestFit="1" customWidth="1"/>
    <col min="13316" max="13316" width="13" customWidth="1"/>
    <col min="13317" max="13317" width="14.42578125" customWidth="1"/>
    <col min="13318" max="13318" width="10.42578125" bestFit="1" customWidth="1"/>
    <col min="13319" max="13319" width="15.85546875" bestFit="1" customWidth="1"/>
    <col min="13320" max="13320" width="14" bestFit="1" customWidth="1"/>
    <col min="13572" max="13572" width="13" customWidth="1"/>
    <col min="13573" max="13573" width="14.42578125" customWidth="1"/>
    <col min="13574" max="13574" width="10.42578125" bestFit="1" customWidth="1"/>
    <col min="13575" max="13575" width="15.85546875" bestFit="1" customWidth="1"/>
    <col min="13576" max="13576" width="14" bestFit="1" customWidth="1"/>
    <col min="13828" max="13828" width="13" customWidth="1"/>
    <col min="13829" max="13829" width="14.42578125" customWidth="1"/>
    <col min="13830" max="13830" width="10.42578125" bestFit="1" customWidth="1"/>
    <col min="13831" max="13831" width="15.85546875" bestFit="1" customWidth="1"/>
    <col min="13832" max="13832" width="14" bestFit="1" customWidth="1"/>
    <col min="14084" max="14084" width="13" customWidth="1"/>
    <col min="14085" max="14085" width="14.42578125" customWidth="1"/>
    <col min="14086" max="14086" width="10.42578125" bestFit="1" customWidth="1"/>
    <col min="14087" max="14087" width="15.85546875" bestFit="1" customWidth="1"/>
    <col min="14088" max="14088" width="14" bestFit="1" customWidth="1"/>
    <col min="14340" max="14340" width="13" customWidth="1"/>
    <col min="14341" max="14341" width="14.42578125" customWidth="1"/>
    <col min="14342" max="14342" width="10.42578125" bestFit="1" customWidth="1"/>
    <col min="14343" max="14343" width="15.85546875" bestFit="1" customWidth="1"/>
    <col min="14344" max="14344" width="14" bestFit="1" customWidth="1"/>
    <col min="14596" max="14596" width="13" customWidth="1"/>
    <col min="14597" max="14597" width="14.42578125" customWidth="1"/>
    <col min="14598" max="14598" width="10.42578125" bestFit="1" customWidth="1"/>
    <col min="14599" max="14599" width="15.85546875" bestFit="1" customWidth="1"/>
    <col min="14600" max="14600" width="14" bestFit="1" customWidth="1"/>
    <col min="14852" max="14852" width="13" customWidth="1"/>
    <col min="14853" max="14853" width="14.42578125" customWidth="1"/>
    <col min="14854" max="14854" width="10.42578125" bestFit="1" customWidth="1"/>
    <col min="14855" max="14855" width="15.85546875" bestFit="1" customWidth="1"/>
    <col min="14856" max="14856" width="14" bestFit="1" customWidth="1"/>
    <col min="15108" max="15108" width="13" customWidth="1"/>
    <col min="15109" max="15109" width="14.42578125" customWidth="1"/>
    <col min="15110" max="15110" width="10.42578125" bestFit="1" customWidth="1"/>
    <col min="15111" max="15111" width="15.85546875" bestFit="1" customWidth="1"/>
    <col min="15112" max="15112" width="14" bestFit="1" customWidth="1"/>
    <col min="15364" max="15364" width="13" customWidth="1"/>
    <col min="15365" max="15365" width="14.42578125" customWidth="1"/>
    <col min="15366" max="15366" width="10.42578125" bestFit="1" customWidth="1"/>
    <col min="15367" max="15367" width="15.85546875" bestFit="1" customWidth="1"/>
    <col min="15368" max="15368" width="14" bestFit="1" customWidth="1"/>
    <col min="15620" max="15620" width="13" customWidth="1"/>
    <col min="15621" max="15621" width="14.42578125" customWidth="1"/>
    <col min="15622" max="15622" width="10.42578125" bestFit="1" customWidth="1"/>
    <col min="15623" max="15623" width="15.85546875" bestFit="1" customWidth="1"/>
    <col min="15624" max="15624" width="14" bestFit="1" customWidth="1"/>
    <col min="15876" max="15876" width="13" customWidth="1"/>
    <col min="15877" max="15877" width="14.42578125" customWidth="1"/>
    <col min="15878" max="15878" width="10.42578125" bestFit="1" customWidth="1"/>
    <col min="15879" max="15879" width="15.85546875" bestFit="1" customWidth="1"/>
    <col min="15880" max="15880" width="14" bestFit="1" customWidth="1"/>
    <col min="16132" max="16132" width="13" customWidth="1"/>
    <col min="16133" max="16133" width="14.42578125" customWidth="1"/>
    <col min="16134" max="16134" width="10.42578125" bestFit="1" customWidth="1"/>
    <col min="16135" max="16135" width="15.85546875" bestFit="1" customWidth="1"/>
    <col min="16136" max="16136" width="14" bestFit="1" customWidth="1"/>
  </cols>
  <sheetData>
    <row r="2" spans="1:11" ht="18.75" x14ac:dyDescent="0.3">
      <c r="D2" s="907" t="s">
        <v>733</v>
      </c>
      <c r="E2" s="907"/>
      <c r="F2" s="907"/>
      <c r="G2" s="907"/>
      <c r="H2" s="907"/>
      <c r="I2" t="s">
        <v>905</v>
      </c>
    </row>
    <row r="3" spans="1:11" ht="19.5" thickBot="1" x14ac:dyDescent="0.35">
      <c r="D3" s="607"/>
      <c r="E3" s="607"/>
      <c r="F3" s="607"/>
      <c r="G3" s="607"/>
      <c r="H3" s="607"/>
    </row>
    <row r="4" spans="1:11" ht="16.5" thickBot="1" x14ac:dyDescent="0.3">
      <c r="F4" s="908" t="s">
        <v>902</v>
      </c>
      <c r="G4" s="909"/>
      <c r="H4" s="910"/>
      <c r="I4" s="908" t="s">
        <v>903</v>
      </c>
      <c r="J4" s="909"/>
      <c r="K4" s="910"/>
    </row>
    <row r="5" spans="1:11" ht="16.5" customHeight="1" thickBot="1" x14ac:dyDescent="0.3">
      <c r="A5" s="914" t="s">
        <v>7</v>
      </c>
      <c r="B5" s="915"/>
      <c r="C5" s="915"/>
      <c r="D5" s="915"/>
      <c r="E5" s="916"/>
      <c r="F5" s="308" t="s">
        <v>307</v>
      </c>
      <c r="G5" s="308" t="s">
        <v>308</v>
      </c>
      <c r="H5" s="309" t="s">
        <v>182</v>
      </c>
      <c r="I5" s="308" t="s">
        <v>307</v>
      </c>
      <c r="J5" s="308" t="s">
        <v>308</v>
      </c>
      <c r="K5" s="309" t="s">
        <v>182</v>
      </c>
    </row>
    <row r="6" spans="1:11" ht="15.75" thickBot="1" x14ac:dyDescent="0.3">
      <c r="A6" s="917" t="s">
        <v>309</v>
      </c>
      <c r="B6" s="918"/>
      <c r="C6" s="918"/>
      <c r="D6" s="918"/>
      <c r="E6" s="919"/>
      <c r="F6" s="310">
        <v>21374288</v>
      </c>
      <c r="G6" s="310">
        <v>0</v>
      </c>
      <c r="H6" s="310">
        <f t="shared" ref="H6:H11" si="0">G6+F6</f>
        <v>21374288</v>
      </c>
      <c r="I6" s="310">
        <v>23109653</v>
      </c>
      <c r="J6" s="310">
        <v>0</v>
      </c>
      <c r="K6" s="310">
        <f t="shared" ref="K6:K11" si="1">J6+I6</f>
        <v>23109653</v>
      </c>
    </row>
    <row r="7" spans="1:11" ht="15.75" thickBot="1" x14ac:dyDescent="0.3">
      <c r="A7" s="917" t="s">
        <v>310</v>
      </c>
      <c r="B7" s="918"/>
      <c r="C7" s="918"/>
      <c r="D7" s="918"/>
      <c r="E7" s="919"/>
      <c r="F7" s="310">
        <v>600000</v>
      </c>
      <c r="G7" s="310">
        <v>0</v>
      </c>
      <c r="H7" s="310">
        <f t="shared" si="0"/>
        <v>600000</v>
      </c>
      <c r="I7" s="310">
        <v>0</v>
      </c>
      <c r="J7" s="310">
        <v>0</v>
      </c>
      <c r="K7" s="310">
        <f t="shared" si="1"/>
        <v>0</v>
      </c>
    </row>
    <row r="8" spans="1:11" ht="15.75" thickBot="1" x14ac:dyDescent="0.3">
      <c r="A8" s="917" t="s">
        <v>734</v>
      </c>
      <c r="B8" s="918"/>
      <c r="C8" s="918"/>
      <c r="D8" s="918"/>
      <c r="E8" s="919"/>
      <c r="F8" s="310">
        <v>657720</v>
      </c>
      <c r="G8" s="310">
        <v>0</v>
      </c>
      <c r="H8" s="310">
        <f t="shared" si="0"/>
        <v>657720</v>
      </c>
      <c r="I8" s="310">
        <v>723492</v>
      </c>
      <c r="J8" s="310">
        <v>0</v>
      </c>
      <c r="K8" s="310">
        <f t="shared" si="1"/>
        <v>723492</v>
      </c>
    </row>
    <row r="9" spans="1:11" ht="15.75" thickBot="1" x14ac:dyDescent="0.3">
      <c r="A9" s="917" t="s">
        <v>311</v>
      </c>
      <c r="B9" s="918"/>
      <c r="C9" s="918"/>
      <c r="D9" s="918"/>
      <c r="E9" s="919"/>
      <c r="F9" s="310">
        <f>384000+192000</f>
        <v>576000</v>
      </c>
      <c r="G9" s="310">
        <v>0</v>
      </c>
      <c r="H9" s="310">
        <f t="shared" si="0"/>
        <v>576000</v>
      </c>
      <c r="I9" s="310">
        <f>384000+192000</f>
        <v>576000</v>
      </c>
      <c r="J9" s="310">
        <v>0</v>
      </c>
      <c r="K9" s="310">
        <f t="shared" si="1"/>
        <v>576000</v>
      </c>
    </row>
    <row r="10" spans="1:11" ht="15.75" thickBot="1" x14ac:dyDescent="0.3">
      <c r="A10" s="917" t="s">
        <v>312</v>
      </c>
      <c r="B10" s="918"/>
      <c r="C10" s="918"/>
      <c r="D10" s="918"/>
      <c r="E10" s="919"/>
      <c r="F10" s="310">
        <f>187020+16800</f>
        <v>203820</v>
      </c>
      <c r="G10" s="310">
        <v>0</v>
      </c>
      <c r="H10" s="310">
        <f t="shared" si="0"/>
        <v>203820</v>
      </c>
      <c r="I10" s="310">
        <f>187020+16800</f>
        <v>203820</v>
      </c>
      <c r="J10" s="310">
        <v>0</v>
      </c>
      <c r="K10" s="310">
        <f t="shared" si="1"/>
        <v>203820</v>
      </c>
    </row>
    <row r="11" spans="1:11" ht="15.75" thickBot="1" x14ac:dyDescent="0.3">
      <c r="A11" s="944" t="s">
        <v>614</v>
      </c>
      <c r="B11" s="945"/>
      <c r="C11" s="945"/>
      <c r="D11" s="945"/>
      <c r="E11" s="946"/>
      <c r="F11" s="310">
        <v>100000</v>
      </c>
      <c r="G11" s="310">
        <v>0</v>
      </c>
      <c r="H11" s="310">
        <f t="shared" si="0"/>
        <v>100000</v>
      </c>
      <c r="I11" s="310">
        <v>100000</v>
      </c>
      <c r="J11" s="310">
        <v>0</v>
      </c>
      <c r="K11" s="310">
        <f t="shared" si="1"/>
        <v>100000</v>
      </c>
    </row>
    <row r="12" spans="1:11" ht="19.5" thickBot="1" x14ac:dyDescent="0.35">
      <c r="A12" s="956" t="s">
        <v>317</v>
      </c>
      <c r="B12" s="957"/>
      <c r="C12" s="957"/>
      <c r="D12" s="957"/>
      <c r="E12" s="958"/>
      <c r="F12" s="311">
        <f>SUM(F6:F11)</f>
        <v>23511828</v>
      </c>
      <c r="G12" s="311">
        <v>0</v>
      </c>
      <c r="H12" s="311">
        <f>F12+G12</f>
        <v>23511828</v>
      </c>
      <c r="I12" s="311">
        <f>SUM(I6:I11)</f>
        <v>24712965</v>
      </c>
      <c r="J12" s="311">
        <v>0</v>
      </c>
      <c r="K12" s="311">
        <f>I12+J12</f>
        <v>24712965</v>
      </c>
    </row>
    <row r="13" spans="1:11" s="307" customFormat="1" ht="39" customHeight="1" thickBot="1" x14ac:dyDescent="0.3">
      <c r="A13" s="938" t="s">
        <v>318</v>
      </c>
      <c r="B13" s="939"/>
      <c r="C13" s="939"/>
      <c r="D13" s="939"/>
      <c r="E13" s="940"/>
      <c r="F13" s="311">
        <f>3305739+1130941</f>
        <v>4436680</v>
      </c>
      <c r="G13" s="311">
        <v>0</v>
      </c>
      <c r="H13" s="311">
        <f>F13+G13</f>
        <v>4436680</v>
      </c>
      <c r="I13" s="311">
        <v>4143659</v>
      </c>
      <c r="J13" s="311">
        <v>0</v>
      </c>
      <c r="K13" s="311">
        <f>I13+J13</f>
        <v>4143659</v>
      </c>
    </row>
    <row r="14" spans="1:11" s="312" customFormat="1" ht="37.5" customHeight="1" thickBot="1" x14ac:dyDescent="0.3">
      <c r="A14" s="938" t="s">
        <v>616</v>
      </c>
      <c r="B14" s="939"/>
      <c r="C14" s="939"/>
      <c r="D14" s="939"/>
      <c r="E14" s="940"/>
      <c r="F14" s="311">
        <f>F12+F13</f>
        <v>27948508</v>
      </c>
      <c r="G14" s="311">
        <v>0</v>
      </c>
      <c r="H14" s="311">
        <f t="shared" ref="H14" si="2">H12+H13</f>
        <v>27948508</v>
      </c>
      <c r="I14" s="311">
        <f>I12+I13</f>
        <v>28856624</v>
      </c>
      <c r="J14" s="311">
        <v>0</v>
      </c>
      <c r="K14" s="311">
        <f t="shared" ref="K14" si="3">K12+K13</f>
        <v>28856624</v>
      </c>
    </row>
    <row r="15" spans="1:11" ht="15.75" thickBot="1" x14ac:dyDescent="0.3">
      <c r="A15" s="917" t="s">
        <v>319</v>
      </c>
      <c r="B15" s="918"/>
      <c r="C15" s="918"/>
      <c r="D15" s="918"/>
      <c r="E15" s="919"/>
      <c r="F15" s="310">
        <v>150000</v>
      </c>
      <c r="G15" s="310">
        <f>F15*5%</f>
        <v>7500</v>
      </c>
      <c r="H15" s="310">
        <f>F15+G15</f>
        <v>157500</v>
      </c>
      <c r="I15" s="310">
        <v>85420</v>
      </c>
      <c r="J15" s="310">
        <f>I15*5%</f>
        <v>4271</v>
      </c>
      <c r="K15" s="310">
        <f>I15+J15</f>
        <v>89691</v>
      </c>
    </row>
    <row r="16" spans="1:11" ht="15.75" thickBot="1" x14ac:dyDescent="0.3">
      <c r="A16" s="911" t="s">
        <v>320</v>
      </c>
      <c r="B16" s="912"/>
      <c r="C16" s="912"/>
      <c r="D16" s="912"/>
      <c r="E16" s="913"/>
      <c r="F16" s="310">
        <v>236220</v>
      </c>
      <c r="G16" s="310">
        <f>F16*27%</f>
        <v>63779.4</v>
      </c>
      <c r="H16" s="310">
        <f>F16+G16</f>
        <v>299999.40000000002</v>
      </c>
      <c r="I16" s="310">
        <v>130000</v>
      </c>
      <c r="J16" s="310">
        <f>I16*27%</f>
        <v>35100</v>
      </c>
      <c r="K16" s="310">
        <f>I16+J16</f>
        <v>165100</v>
      </c>
    </row>
    <row r="17" spans="1:11" ht="15.75" thickBot="1" x14ac:dyDescent="0.3">
      <c r="A17" s="923" t="s">
        <v>321</v>
      </c>
      <c r="B17" s="924"/>
      <c r="C17" s="924"/>
      <c r="D17" s="924"/>
      <c r="E17" s="925"/>
      <c r="F17" s="309">
        <f>F15+F16</f>
        <v>386220</v>
      </c>
      <c r="G17" s="309">
        <f t="shared" ref="G17:H17" si="4">G15+G16</f>
        <v>71279.399999999994</v>
      </c>
      <c r="H17" s="309">
        <f t="shared" si="4"/>
        <v>457499.4</v>
      </c>
      <c r="I17" s="309">
        <f>I15+I16</f>
        <v>215420</v>
      </c>
      <c r="J17" s="309">
        <f t="shared" ref="J17:K17" si="5">J15+J16</f>
        <v>39371</v>
      </c>
      <c r="K17" s="309">
        <f t="shared" si="5"/>
        <v>254791</v>
      </c>
    </row>
    <row r="18" spans="1:11" ht="15.75" thickBot="1" x14ac:dyDescent="0.3">
      <c r="A18" s="917" t="s">
        <v>322</v>
      </c>
      <c r="B18" s="918"/>
      <c r="C18" s="918"/>
      <c r="D18" s="918"/>
      <c r="E18" s="919"/>
      <c r="F18" s="310">
        <v>50000</v>
      </c>
      <c r="G18" s="310">
        <f t="shared" ref="G18:G19" si="6">F18*27%</f>
        <v>13500</v>
      </c>
      <c r="H18" s="310">
        <f t="shared" ref="H18:H33" si="7">F18+G18</f>
        <v>63500</v>
      </c>
      <c r="I18" s="310">
        <v>50000</v>
      </c>
      <c r="J18" s="310">
        <f t="shared" ref="J18:J19" si="8">I18*27%</f>
        <v>13500</v>
      </c>
      <c r="K18" s="310">
        <f t="shared" ref="K18:K33" si="9">I18+J18</f>
        <v>63500</v>
      </c>
    </row>
    <row r="19" spans="1:11" ht="15.75" thickBot="1" x14ac:dyDescent="0.3">
      <c r="A19" s="917" t="s">
        <v>323</v>
      </c>
      <c r="B19" s="918"/>
      <c r="C19" s="918"/>
      <c r="D19" s="918"/>
      <c r="E19" s="919"/>
      <c r="F19" s="310">
        <v>30000</v>
      </c>
      <c r="G19" s="310">
        <f t="shared" si="6"/>
        <v>8100.0000000000009</v>
      </c>
      <c r="H19" s="310">
        <f t="shared" si="7"/>
        <v>38100</v>
      </c>
      <c r="I19" s="310">
        <v>30000</v>
      </c>
      <c r="J19" s="310">
        <f t="shared" si="8"/>
        <v>8100.0000000000009</v>
      </c>
      <c r="K19" s="310">
        <f t="shared" si="9"/>
        <v>38100</v>
      </c>
    </row>
    <row r="20" spans="1:11" ht="15.75" thickBot="1" x14ac:dyDescent="0.3">
      <c r="A20" s="917" t="s">
        <v>641</v>
      </c>
      <c r="B20" s="918"/>
      <c r="C20" s="918"/>
      <c r="D20" s="918"/>
      <c r="E20" s="919"/>
      <c r="F20" s="310">
        <v>250000</v>
      </c>
      <c r="G20" s="310">
        <f>F20*27%</f>
        <v>67500</v>
      </c>
      <c r="H20" s="310">
        <f t="shared" si="7"/>
        <v>317500</v>
      </c>
      <c r="I20" s="310">
        <v>100000</v>
      </c>
      <c r="J20" s="310">
        <f>I20*27%</f>
        <v>27000</v>
      </c>
      <c r="K20" s="310">
        <f t="shared" si="9"/>
        <v>127000</v>
      </c>
    </row>
    <row r="21" spans="1:11" ht="15.75" thickBot="1" x14ac:dyDescent="0.3">
      <c r="A21" s="911" t="s">
        <v>324</v>
      </c>
      <c r="B21" s="912"/>
      <c r="C21" s="912"/>
      <c r="D21" s="912"/>
      <c r="E21" s="913"/>
      <c r="F21" s="310">
        <v>200000</v>
      </c>
      <c r="G21" s="310">
        <v>0</v>
      </c>
      <c r="H21" s="310">
        <f t="shared" si="7"/>
        <v>200000</v>
      </c>
      <c r="I21" s="310">
        <v>150000</v>
      </c>
      <c r="J21" s="310">
        <v>0</v>
      </c>
      <c r="K21" s="310">
        <f t="shared" si="9"/>
        <v>150000</v>
      </c>
    </row>
    <row r="22" spans="1:11" ht="17.25" customHeight="1" thickBot="1" x14ac:dyDescent="0.3">
      <c r="A22" s="953" t="s">
        <v>626</v>
      </c>
      <c r="B22" s="954"/>
      <c r="C22" s="954"/>
      <c r="D22" s="954"/>
      <c r="E22" s="955"/>
      <c r="F22" s="310">
        <v>236220</v>
      </c>
      <c r="G22" s="310">
        <f>F22*27%</f>
        <v>63779.4</v>
      </c>
      <c r="H22" s="310">
        <f t="shared" si="7"/>
        <v>299999.40000000002</v>
      </c>
      <c r="I22" s="310">
        <v>236220</v>
      </c>
      <c r="J22" s="310">
        <f>I22*27%</f>
        <v>63779.4</v>
      </c>
      <c r="K22" s="310">
        <f t="shared" si="9"/>
        <v>299999.40000000002</v>
      </c>
    </row>
    <row r="23" spans="1:11" ht="15.75" thickBot="1" x14ac:dyDescent="0.3">
      <c r="A23" s="911" t="s">
        <v>735</v>
      </c>
      <c r="B23" s="912"/>
      <c r="C23" s="912"/>
      <c r="D23" s="912"/>
      <c r="E23" s="913"/>
      <c r="F23" s="310">
        <v>100000</v>
      </c>
      <c r="G23" s="310">
        <f>F23*27%</f>
        <v>27000</v>
      </c>
      <c r="H23" s="310">
        <f t="shared" si="7"/>
        <v>127000</v>
      </c>
      <c r="I23" s="310">
        <v>50000</v>
      </c>
      <c r="J23" s="310">
        <f>I23*27%</f>
        <v>13500</v>
      </c>
      <c r="K23" s="310">
        <f t="shared" si="9"/>
        <v>63500</v>
      </c>
    </row>
    <row r="24" spans="1:11" ht="15.75" thickBot="1" x14ac:dyDescent="0.3">
      <c r="A24" s="911" t="s">
        <v>736</v>
      </c>
      <c r="B24" s="912"/>
      <c r="C24" s="912"/>
      <c r="D24" s="912"/>
      <c r="E24" s="913"/>
      <c r="F24" s="310">
        <v>100000</v>
      </c>
      <c r="G24" s="310">
        <f t="shared" ref="G24:G26" si="10">F24*27%</f>
        <v>27000</v>
      </c>
      <c r="H24" s="310">
        <f t="shared" si="7"/>
        <v>127000</v>
      </c>
      <c r="I24" s="310">
        <v>100000</v>
      </c>
      <c r="J24" s="310">
        <f t="shared" ref="J24:J26" si="11">I24*27%</f>
        <v>27000</v>
      </c>
      <c r="K24" s="310">
        <f t="shared" si="9"/>
        <v>127000</v>
      </c>
    </row>
    <row r="25" spans="1:11" ht="15.75" thickBot="1" x14ac:dyDescent="0.3">
      <c r="A25" s="911" t="s">
        <v>737</v>
      </c>
      <c r="B25" s="912"/>
      <c r="C25" s="912"/>
      <c r="D25" s="912"/>
      <c r="E25" s="913"/>
      <c r="F25" s="310">
        <v>165000</v>
      </c>
      <c r="G25" s="310">
        <f t="shared" si="10"/>
        <v>44550</v>
      </c>
      <c r="H25" s="310">
        <f t="shared" si="7"/>
        <v>209550</v>
      </c>
      <c r="I25" s="310">
        <v>165000</v>
      </c>
      <c r="J25" s="310">
        <f t="shared" si="11"/>
        <v>44550</v>
      </c>
      <c r="K25" s="310">
        <f t="shared" si="9"/>
        <v>209550</v>
      </c>
    </row>
    <row r="26" spans="1:11" ht="15.75" thickBot="1" x14ac:dyDescent="0.3">
      <c r="A26" s="911" t="s">
        <v>738</v>
      </c>
      <c r="B26" s="912"/>
      <c r="C26" s="912"/>
      <c r="D26" s="912"/>
      <c r="E26" s="913"/>
      <c r="F26" s="310">
        <v>0</v>
      </c>
      <c r="G26" s="310">
        <f t="shared" si="10"/>
        <v>0</v>
      </c>
      <c r="H26" s="310">
        <f t="shared" si="7"/>
        <v>0</v>
      </c>
      <c r="I26" s="310">
        <v>0</v>
      </c>
      <c r="J26" s="310">
        <f t="shared" si="11"/>
        <v>0</v>
      </c>
      <c r="K26" s="310">
        <f t="shared" si="9"/>
        <v>0</v>
      </c>
    </row>
    <row r="27" spans="1:11" ht="15.75" thickBot="1" x14ac:dyDescent="0.3">
      <c r="A27" s="911" t="s">
        <v>739</v>
      </c>
      <c r="B27" s="912"/>
      <c r="C27" s="912"/>
      <c r="D27" s="912"/>
      <c r="E27" s="913"/>
      <c r="F27" s="310">
        <v>120000</v>
      </c>
      <c r="G27" s="310">
        <v>0</v>
      </c>
      <c r="H27" s="310">
        <f t="shared" si="7"/>
        <v>120000</v>
      </c>
      <c r="I27" s="310">
        <v>70000</v>
      </c>
      <c r="J27" s="310">
        <v>0</v>
      </c>
      <c r="K27" s="310">
        <f t="shared" si="9"/>
        <v>70000</v>
      </c>
    </row>
    <row r="28" spans="1:11" s="470" customFormat="1" ht="15.75" thickBot="1" x14ac:dyDescent="0.3">
      <c r="A28" s="935" t="s">
        <v>740</v>
      </c>
      <c r="B28" s="936"/>
      <c r="C28" s="936"/>
      <c r="D28" s="936"/>
      <c r="E28" s="937"/>
      <c r="F28" s="474">
        <v>10000</v>
      </c>
      <c r="G28" s="474">
        <f>F28*27%</f>
        <v>2700</v>
      </c>
      <c r="H28" s="474">
        <f t="shared" si="7"/>
        <v>12700</v>
      </c>
      <c r="I28" s="474">
        <v>10000</v>
      </c>
      <c r="J28" s="474">
        <f>I28*27%</f>
        <v>2700</v>
      </c>
      <c r="K28" s="474">
        <f t="shared" si="9"/>
        <v>12700</v>
      </c>
    </row>
    <row r="29" spans="1:11" s="307" customFormat="1" ht="15.75" thickBot="1" x14ac:dyDescent="0.3">
      <c r="A29" s="923" t="s">
        <v>326</v>
      </c>
      <c r="B29" s="924"/>
      <c r="C29" s="924"/>
      <c r="D29" s="924"/>
      <c r="E29" s="925"/>
      <c r="F29" s="309">
        <f>F18+F19+F21+F22+F23+F20+F24+F25+F26+F27+F28</f>
        <v>1261220</v>
      </c>
      <c r="G29" s="309">
        <f t="shared" ref="G29:H29" si="12">G18+G19+G21+G22+G23+G20+G24+G25+G26+G27+G28</f>
        <v>254129.4</v>
      </c>
      <c r="H29" s="309">
        <f t="shared" si="12"/>
        <v>1515349.4</v>
      </c>
      <c r="I29" s="309">
        <f>I18+I19+I21+I22+I23+I20+I24+I25+I26+I27+I28</f>
        <v>961220</v>
      </c>
      <c r="J29" s="309">
        <f t="shared" ref="J29:K29" si="13">J18+J19+J21+J22+J23+J20+J24+J25+J26+J27+J28</f>
        <v>200129.4</v>
      </c>
      <c r="K29" s="309">
        <f t="shared" si="13"/>
        <v>1161349.3999999999</v>
      </c>
    </row>
    <row r="30" spans="1:11" s="307" customFormat="1" ht="16.5" thickBot="1" x14ac:dyDescent="0.3">
      <c r="A30" s="923" t="s">
        <v>327</v>
      </c>
      <c r="B30" s="924"/>
      <c r="C30" s="924"/>
      <c r="D30" s="924"/>
      <c r="E30" s="925"/>
      <c r="F30" s="311">
        <f>F29+F17</f>
        <v>1647440</v>
      </c>
      <c r="G30" s="311">
        <f t="shared" ref="G30:H30" si="14">G29+G17</f>
        <v>325408.8</v>
      </c>
      <c r="H30" s="311">
        <f t="shared" si="14"/>
        <v>1972848.7999999998</v>
      </c>
      <c r="I30" s="311">
        <f>I29+I17</f>
        <v>1176640</v>
      </c>
      <c r="J30" s="311">
        <f t="shared" ref="J30:K30" si="15">J29+J17</f>
        <v>239500.4</v>
      </c>
      <c r="K30" s="311">
        <f t="shared" si="15"/>
        <v>1416140.4</v>
      </c>
    </row>
    <row r="31" spans="1:11" s="307" customFormat="1" ht="15.75" thickBot="1" x14ac:dyDescent="0.3">
      <c r="A31" s="917" t="s">
        <v>328</v>
      </c>
      <c r="B31" s="918"/>
      <c r="C31" s="918"/>
      <c r="D31" s="918"/>
      <c r="E31" s="919"/>
      <c r="F31" s="310">
        <v>103900</v>
      </c>
      <c r="G31" s="310">
        <f>F31*27%</f>
        <v>28053.000000000004</v>
      </c>
      <c r="H31" s="310">
        <f t="shared" si="7"/>
        <v>131953</v>
      </c>
      <c r="I31" s="310">
        <v>103900</v>
      </c>
      <c r="J31" s="310">
        <f>I31*27%</f>
        <v>28053.000000000004</v>
      </c>
      <c r="K31" s="310">
        <f t="shared" si="9"/>
        <v>131953</v>
      </c>
    </row>
    <row r="32" spans="1:11" s="307" customFormat="1" ht="15.75" thickBot="1" x14ac:dyDescent="0.3">
      <c r="A32" s="923" t="s">
        <v>329</v>
      </c>
      <c r="B32" s="924"/>
      <c r="C32" s="924"/>
      <c r="D32" s="924"/>
      <c r="E32" s="925"/>
      <c r="F32" s="309">
        <f t="shared" ref="F32:K32" si="16">F31</f>
        <v>103900</v>
      </c>
      <c r="G32" s="309">
        <f t="shared" si="16"/>
        <v>28053.000000000004</v>
      </c>
      <c r="H32" s="309">
        <f t="shared" si="16"/>
        <v>131953</v>
      </c>
      <c r="I32" s="309">
        <f t="shared" si="16"/>
        <v>103900</v>
      </c>
      <c r="J32" s="309">
        <f t="shared" si="16"/>
        <v>28053.000000000004</v>
      </c>
      <c r="K32" s="309">
        <f t="shared" si="16"/>
        <v>131953</v>
      </c>
    </row>
    <row r="33" spans="1:11" ht="16.5" thickBot="1" x14ac:dyDescent="0.3">
      <c r="A33" s="917" t="s">
        <v>330</v>
      </c>
      <c r="B33" s="918"/>
      <c r="C33" s="918"/>
      <c r="D33" s="918"/>
      <c r="E33" s="919"/>
      <c r="F33" s="469">
        <v>100000</v>
      </c>
      <c r="G33" s="469">
        <f>F33*27%</f>
        <v>27000</v>
      </c>
      <c r="H33" s="469">
        <f t="shared" si="7"/>
        <v>127000</v>
      </c>
      <c r="I33" s="469">
        <v>171923</v>
      </c>
      <c r="J33" s="469">
        <f>I33*27%</f>
        <v>46419.210000000006</v>
      </c>
      <c r="K33" s="469">
        <f t="shared" si="9"/>
        <v>218342.21000000002</v>
      </c>
    </row>
    <row r="34" spans="1:11" s="307" customFormat="1" ht="15.75" thickBot="1" x14ac:dyDescent="0.3">
      <c r="A34" s="923" t="s">
        <v>331</v>
      </c>
      <c r="B34" s="924"/>
      <c r="C34" s="924"/>
      <c r="D34" s="924"/>
      <c r="E34" s="925"/>
      <c r="F34" s="309">
        <f>F33</f>
        <v>100000</v>
      </c>
      <c r="G34" s="309">
        <f t="shared" ref="G34:H34" si="17">G33</f>
        <v>27000</v>
      </c>
      <c r="H34" s="309">
        <f t="shared" si="17"/>
        <v>127000</v>
      </c>
      <c r="I34" s="309">
        <f>I33</f>
        <v>171923</v>
      </c>
      <c r="J34" s="309">
        <f t="shared" ref="J34:K34" si="18">J33</f>
        <v>46419.210000000006</v>
      </c>
      <c r="K34" s="309">
        <f t="shared" si="18"/>
        <v>218342.21000000002</v>
      </c>
    </row>
    <row r="35" spans="1:11" s="307" customFormat="1" ht="15.75" thickBot="1" x14ac:dyDescent="0.3">
      <c r="A35" s="923" t="s">
        <v>332</v>
      </c>
      <c r="B35" s="924"/>
      <c r="C35" s="924"/>
      <c r="D35" s="924"/>
      <c r="E35" s="925"/>
      <c r="F35" s="309">
        <f t="shared" ref="F35:K35" si="19">F32+F34</f>
        <v>203900</v>
      </c>
      <c r="G35" s="309">
        <f t="shared" si="19"/>
        <v>55053</v>
      </c>
      <c r="H35" s="309">
        <f t="shared" si="19"/>
        <v>258953</v>
      </c>
      <c r="I35" s="309">
        <f t="shared" si="19"/>
        <v>275823</v>
      </c>
      <c r="J35" s="309">
        <f t="shared" si="19"/>
        <v>74472.210000000006</v>
      </c>
      <c r="K35" s="309">
        <f t="shared" si="19"/>
        <v>350295.21</v>
      </c>
    </row>
    <row r="36" spans="1:11" s="307" customFormat="1" ht="15.75" thickBot="1" x14ac:dyDescent="0.3">
      <c r="A36" s="950" t="s">
        <v>333</v>
      </c>
      <c r="B36" s="951"/>
      <c r="C36" s="951"/>
      <c r="D36" s="951"/>
      <c r="E36" s="952"/>
      <c r="F36" s="310">
        <v>1550000</v>
      </c>
      <c r="G36" s="310">
        <f>F36*27%</f>
        <v>418500</v>
      </c>
      <c r="H36" s="310">
        <f>F36+G36</f>
        <v>1968500</v>
      </c>
      <c r="I36" s="310">
        <v>2050000</v>
      </c>
      <c r="J36" s="310">
        <f>I36*27%</f>
        <v>553500</v>
      </c>
      <c r="K36" s="310">
        <f>I36+J36</f>
        <v>2603500</v>
      </c>
    </row>
    <row r="37" spans="1:11" ht="15.75" thickBot="1" x14ac:dyDescent="0.3">
      <c r="A37" s="911" t="s">
        <v>334</v>
      </c>
      <c r="B37" s="912"/>
      <c r="C37" s="912"/>
      <c r="D37" s="912"/>
      <c r="E37" s="913"/>
      <c r="F37" s="423">
        <v>60000</v>
      </c>
      <c r="G37" s="423">
        <f>F37*27%</f>
        <v>16200.000000000002</v>
      </c>
      <c r="H37" s="310">
        <f>F37+G37</f>
        <v>76200</v>
      </c>
      <c r="I37" s="423">
        <v>60000</v>
      </c>
      <c r="J37" s="423">
        <f>I37*27%</f>
        <v>16200.000000000002</v>
      </c>
      <c r="K37" s="310">
        <f>I37+J37</f>
        <v>76200</v>
      </c>
    </row>
    <row r="38" spans="1:11" ht="15.75" thickBot="1" x14ac:dyDescent="0.3">
      <c r="A38" s="911" t="s">
        <v>335</v>
      </c>
      <c r="B38" s="912"/>
      <c r="C38" s="912"/>
      <c r="D38" s="912"/>
      <c r="E38" s="913"/>
      <c r="F38" s="309">
        <v>85000</v>
      </c>
      <c r="G38" s="423">
        <f>F38*27%</f>
        <v>22950</v>
      </c>
      <c r="H38" s="310">
        <f>F38+G38</f>
        <v>107950</v>
      </c>
      <c r="I38" s="309">
        <v>85000</v>
      </c>
      <c r="J38" s="423">
        <f>I38*27%</f>
        <v>22950</v>
      </c>
      <c r="K38" s="310">
        <f>I38+J38</f>
        <v>107950</v>
      </c>
    </row>
    <row r="39" spans="1:11" ht="15.75" thickBot="1" x14ac:dyDescent="0.3">
      <c r="A39" s="911" t="s">
        <v>642</v>
      </c>
      <c r="B39" s="912"/>
      <c r="C39" s="912"/>
      <c r="D39" s="912"/>
      <c r="E39" s="913"/>
      <c r="F39" s="310">
        <v>103100</v>
      </c>
      <c r="G39" s="310">
        <f>F39*27%</f>
        <v>27837.000000000004</v>
      </c>
      <c r="H39" s="310">
        <f>F39+G39</f>
        <v>130937</v>
      </c>
      <c r="I39" s="310">
        <v>103100</v>
      </c>
      <c r="J39" s="310">
        <f>I39*27%</f>
        <v>27837.000000000004</v>
      </c>
      <c r="K39" s="310">
        <f>I39+J39</f>
        <v>130937</v>
      </c>
    </row>
    <row r="40" spans="1:11" s="307" customFormat="1" ht="15.75" thickBot="1" x14ac:dyDescent="0.3">
      <c r="A40" s="914" t="s">
        <v>336</v>
      </c>
      <c r="B40" s="915"/>
      <c r="C40" s="915"/>
      <c r="D40" s="915"/>
      <c r="E40" s="916"/>
      <c r="F40" s="309">
        <f>F39+F38</f>
        <v>188100</v>
      </c>
      <c r="G40" s="309">
        <f t="shared" ref="G40:H40" si="20">G39+G38</f>
        <v>50787</v>
      </c>
      <c r="H40" s="309">
        <f t="shared" si="20"/>
        <v>238887</v>
      </c>
      <c r="I40" s="309">
        <f>I39+I38</f>
        <v>188100</v>
      </c>
      <c r="J40" s="309">
        <f t="shared" ref="J40:K40" si="21">J39+J38</f>
        <v>50787</v>
      </c>
      <c r="K40" s="309">
        <f t="shared" si="21"/>
        <v>238887</v>
      </c>
    </row>
    <row r="41" spans="1:11" ht="15.75" thickBot="1" x14ac:dyDescent="0.3">
      <c r="A41" s="911" t="s">
        <v>337</v>
      </c>
      <c r="B41" s="912"/>
      <c r="C41" s="912"/>
      <c r="D41" s="912"/>
      <c r="E41" s="913"/>
      <c r="F41" s="309">
        <v>20000</v>
      </c>
      <c r="G41" s="310">
        <f>F41*27%</f>
        <v>5400</v>
      </c>
      <c r="H41" s="310">
        <f>F41+G41</f>
        <v>25400</v>
      </c>
      <c r="I41" s="309">
        <v>20000</v>
      </c>
      <c r="J41" s="310">
        <f>I41*27%</f>
        <v>5400</v>
      </c>
      <c r="K41" s="310">
        <f>I41+J41</f>
        <v>25400</v>
      </c>
    </row>
    <row r="42" spans="1:11" ht="15.75" thickBot="1" x14ac:dyDescent="0.3">
      <c r="A42" s="911" t="s">
        <v>633</v>
      </c>
      <c r="B42" s="912"/>
      <c r="C42" s="912"/>
      <c r="D42" s="912"/>
      <c r="E42" s="913"/>
      <c r="F42" s="309">
        <v>30000</v>
      </c>
      <c r="G42" s="310">
        <f>F42*27%</f>
        <v>8100.0000000000009</v>
      </c>
      <c r="H42" s="310">
        <f>F42+G42</f>
        <v>38100</v>
      </c>
      <c r="I42" s="309">
        <v>30000</v>
      </c>
      <c r="J42" s="310">
        <f>I42*27%</f>
        <v>8100.0000000000009</v>
      </c>
      <c r="K42" s="310">
        <f>I42+J42</f>
        <v>38100</v>
      </c>
    </row>
    <row r="43" spans="1:11" ht="15.75" thickBot="1" x14ac:dyDescent="0.3">
      <c r="A43" s="911" t="s">
        <v>643</v>
      </c>
      <c r="B43" s="912"/>
      <c r="C43" s="912"/>
      <c r="D43" s="912"/>
      <c r="E43" s="913"/>
      <c r="F43" s="309">
        <v>60000</v>
      </c>
      <c r="G43" s="310">
        <f>F43*27%</f>
        <v>16200.000000000002</v>
      </c>
      <c r="H43" s="310">
        <f>F43+G43</f>
        <v>76200</v>
      </c>
      <c r="I43" s="309">
        <v>60000</v>
      </c>
      <c r="J43" s="310">
        <f>I43*27%</f>
        <v>16200.000000000002</v>
      </c>
      <c r="K43" s="310">
        <f>I43+J43</f>
        <v>76200</v>
      </c>
    </row>
    <row r="44" spans="1:11" ht="15.75" thickBot="1" x14ac:dyDescent="0.3">
      <c r="A44" s="911" t="s">
        <v>741</v>
      </c>
      <c r="B44" s="912"/>
      <c r="C44" s="912"/>
      <c r="D44" s="912"/>
      <c r="E44" s="913"/>
      <c r="F44" s="423">
        <v>100000</v>
      </c>
      <c r="G44" s="310">
        <f>F44*27%</f>
        <v>27000</v>
      </c>
      <c r="H44" s="310">
        <f>F44+G44</f>
        <v>127000</v>
      </c>
      <c r="I44" s="423">
        <v>100000</v>
      </c>
      <c r="J44" s="310">
        <f>I44*27%</f>
        <v>27000</v>
      </c>
      <c r="K44" s="310">
        <f>I44+J44</f>
        <v>127000</v>
      </c>
    </row>
    <row r="45" spans="1:11" ht="15.75" thickBot="1" x14ac:dyDescent="0.3">
      <c r="A45" s="911" t="s">
        <v>742</v>
      </c>
      <c r="B45" s="912"/>
      <c r="C45" s="912"/>
      <c r="D45" s="912"/>
      <c r="E45" s="913"/>
      <c r="F45" s="423">
        <v>220000</v>
      </c>
      <c r="G45" s="310">
        <v>20000</v>
      </c>
      <c r="H45" s="310">
        <f>F45+G45</f>
        <v>240000</v>
      </c>
      <c r="I45" s="423">
        <v>49900</v>
      </c>
      <c r="J45" s="310">
        <v>13500</v>
      </c>
      <c r="K45" s="310">
        <f>I45+J45</f>
        <v>63400</v>
      </c>
    </row>
    <row r="46" spans="1:11" s="307" customFormat="1" ht="15.75" thickBot="1" x14ac:dyDescent="0.3">
      <c r="A46" s="914" t="s">
        <v>342</v>
      </c>
      <c r="B46" s="915"/>
      <c r="C46" s="915"/>
      <c r="D46" s="915"/>
      <c r="E46" s="916"/>
      <c r="F46" s="309">
        <f>F41+F42+F43+F45+F44</f>
        <v>430000</v>
      </c>
      <c r="G46" s="309">
        <f t="shared" ref="G46:H46" si="22">G41+G42+G43+G45+G44</f>
        <v>76700</v>
      </c>
      <c r="H46" s="309">
        <f t="shared" si="22"/>
        <v>506700</v>
      </c>
      <c r="I46" s="309">
        <f>I41+I42+I43+I45+I44</f>
        <v>259900</v>
      </c>
      <c r="J46" s="309">
        <v>0</v>
      </c>
      <c r="K46" s="309">
        <f t="shared" ref="K46" si="23">K41+K42+K43+K45+K44</f>
        <v>330100</v>
      </c>
    </row>
    <row r="47" spans="1:11" s="307" customFormat="1" ht="15.75" thickBot="1" x14ac:dyDescent="0.3">
      <c r="A47" s="914" t="s">
        <v>343</v>
      </c>
      <c r="B47" s="915"/>
      <c r="C47" s="915"/>
      <c r="D47" s="915"/>
      <c r="E47" s="916"/>
      <c r="F47" s="309">
        <f t="shared" ref="F47:K47" si="24">F46+F40+F37+F36</f>
        <v>2228100</v>
      </c>
      <c r="G47" s="309">
        <f>G46+G40+G37+G36</f>
        <v>562187</v>
      </c>
      <c r="H47" s="309">
        <f t="shared" si="24"/>
        <v>2790287</v>
      </c>
      <c r="I47" s="309">
        <f t="shared" si="24"/>
        <v>2558000</v>
      </c>
      <c r="J47" s="309">
        <f>J46+J40+J37+J36</f>
        <v>620487</v>
      </c>
      <c r="K47" s="309">
        <f t="shared" si="24"/>
        <v>3248687</v>
      </c>
    </row>
    <row r="48" spans="1:11" ht="15.75" thickBot="1" x14ac:dyDescent="0.3">
      <c r="A48" s="911" t="s">
        <v>344</v>
      </c>
      <c r="B48" s="912"/>
      <c r="C48" s="912"/>
      <c r="D48" s="912"/>
      <c r="E48" s="913"/>
      <c r="F48" s="423">
        <v>70000</v>
      </c>
      <c r="G48" s="310">
        <v>0</v>
      </c>
      <c r="H48" s="423">
        <f>F48+G48</f>
        <v>70000</v>
      </c>
      <c r="I48" s="423">
        <v>40000</v>
      </c>
      <c r="J48" s="310">
        <v>0</v>
      </c>
      <c r="K48" s="423">
        <f>I48+J48</f>
        <v>40000</v>
      </c>
    </row>
    <row r="49" spans="1:11" s="307" customFormat="1" ht="15.75" thickBot="1" x14ac:dyDescent="0.3">
      <c r="A49" s="914" t="s">
        <v>346</v>
      </c>
      <c r="B49" s="915"/>
      <c r="C49" s="915"/>
      <c r="D49" s="915"/>
      <c r="E49" s="916"/>
      <c r="F49" s="309">
        <f t="shared" ref="F49:K49" si="25">F48</f>
        <v>70000</v>
      </c>
      <c r="G49" s="309">
        <f t="shared" si="25"/>
        <v>0</v>
      </c>
      <c r="H49" s="309">
        <f t="shared" si="25"/>
        <v>70000</v>
      </c>
      <c r="I49" s="309">
        <f t="shared" si="25"/>
        <v>40000</v>
      </c>
      <c r="J49" s="309">
        <f t="shared" si="25"/>
        <v>0</v>
      </c>
      <c r="K49" s="309">
        <f t="shared" si="25"/>
        <v>40000</v>
      </c>
    </row>
    <row r="50" spans="1:11" ht="15.75" thickBot="1" x14ac:dyDescent="0.3">
      <c r="A50" s="911" t="s">
        <v>347</v>
      </c>
      <c r="B50" s="912"/>
      <c r="C50" s="912"/>
      <c r="D50" s="912"/>
      <c r="E50" s="913"/>
      <c r="F50" s="309">
        <v>0</v>
      </c>
      <c r="G50" s="309">
        <f>G49+G47+G35+G30</f>
        <v>942648.8</v>
      </c>
      <c r="H50" s="309">
        <f>F50+G50</f>
        <v>942648.8</v>
      </c>
      <c r="I50" s="309">
        <v>0</v>
      </c>
      <c r="J50" s="309">
        <f>J49+J47+J35+J30</f>
        <v>934459.61</v>
      </c>
      <c r="K50" s="309">
        <f>I50+J50</f>
        <v>934459.61</v>
      </c>
    </row>
    <row r="51" spans="1:11" ht="15.75" thickBot="1" x14ac:dyDescent="0.3">
      <c r="A51" s="911" t="s">
        <v>350</v>
      </c>
      <c r="B51" s="912"/>
      <c r="C51" s="912"/>
      <c r="D51" s="912"/>
      <c r="E51" s="913"/>
      <c r="F51" s="309">
        <v>20000</v>
      </c>
      <c r="G51" s="309">
        <v>0</v>
      </c>
      <c r="H51" s="309">
        <f>F51+G51</f>
        <v>20000</v>
      </c>
      <c r="I51" s="309">
        <v>35237</v>
      </c>
      <c r="J51" s="309">
        <v>0</v>
      </c>
      <c r="K51" s="309">
        <f>I51+J51</f>
        <v>35237</v>
      </c>
    </row>
    <row r="52" spans="1:11" s="307" customFormat="1" ht="15.75" thickBot="1" x14ac:dyDescent="0.3">
      <c r="A52" s="914" t="s">
        <v>348</v>
      </c>
      <c r="B52" s="915"/>
      <c r="C52" s="915"/>
      <c r="D52" s="915"/>
      <c r="E52" s="916"/>
      <c r="F52" s="309">
        <f t="shared" ref="F52:K52" si="26">F50+F51</f>
        <v>20000</v>
      </c>
      <c r="G52" s="309">
        <f t="shared" si="26"/>
        <v>942648.8</v>
      </c>
      <c r="H52" s="309">
        <f t="shared" si="26"/>
        <v>962648.8</v>
      </c>
      <c r="I52" s="309">
        <f t="shared" si="26"/>
        <v>35237</v>
      </c>
      <c r="J52" s="309">
        <f t="shared" si="26"/>
        <v>934459.61</v>
      </c>
      <c r="K52" s="309">
        <f t="shared" si="26"/>
        <v>969696.61</v>
      </c>
    </row>
    <row r="53" spans="1:11" s="307" customFormat="1" ht="15.75" thickBot="1" x14ac:dyDescent="0.3">
      <c r="A53" s="914" t="s">
        <v>349</v>
      </c>
      <c r="B53" s="915"/>
      <c r="C53" s="915"/>
      <c r="D53" s="915"/>
      <c r="E53" s="916"/>
      <c r="F53" s="309">
        <f>F52+F49+F47+F35+F30</f>
        <v>4169440</v>
      </c>
      <c r="G53" s="309">
        <f t="shared" ref="G53" si="27">G52</f>
        <v>942648.8</v>
      </c>
      <c r="H53" s="309">
        <f>F53+G53</f>
        <v>5112088.8</v>
      </c>
      <c r="I53" s="309">
        <f>I52+I49+I47+I35+I30</f>
        <v>4085700</v>
      </c>
      <c r="J53" s="309">
        <f t="shared" ref="J53" si="28">J52</f>
        <v>934459.61</v>
      </c>
      <c r="K53" s="309">
        <f>I53+J53</f>
        <v>5020159.6100000003</v>
      </c>
    </row>
    <row r="54" spans="1:11" s="307" customFormat="1" ht="16.5" customHeight="1" thickBot="1" x14ac:dyDescent="0.3">
      <c r="A54" s="914" t="s">
        <v>727</v>
      </c>
      <c r="B54" s="915"/>
      <c r="C54" s="915"/>
      <c r="D54" s="915"/>
      <c r="E54" s="916"/>
      <c r="F54" s="309">
        <v>0</v>
      </c>
      <c r="G54" s="309">
        <v>0</v>
      </c>
      <c r="H54" s="309">
        <f>F54+G54</f>
        <v>0</v>
      </c>
      <c r="I54" s="309">
        <v>0</v>
      </c>
      <c r="J54" s="309">
        <v>0</v>
      </c>
      <c r="K54" s="309">
        <f>I54+J54</f>
        <v>0</v>
      </c>
    </row>
    <row r="55" spans="1:11" s="307" customFormat="1" ht="15.75" thickBot="1" x14ac:dyDescent="0.3">
      <c r="A55" s="914" t="s">
        <v>728</v>
      </c>
      <c r="B55" s="915"/>
      <c r="C55" s="915"/>
      <c r="D55" s="915"/>
      <c r="E55" s="916"/>
      <c r="F55" s="309"/>
      <c r="G55" s="309">
        <v>0</v>
      </c>
      <c r="H55" s="309">
        <f>F55+G55</f>
        <v>0</v>
      </c>
      <c r="I55" s="309"/>
      <c r="J55" s="309">
        <v>0</v>
      </c>
      <c r="K55" s="309">
        <f>I55+J55</f>
        <v>0</v>
      </c>
    </row>
    <row r="56" spans="1:11" s="307" customFormat="1" ht="15.75" thickBot="1" x14ac:dyDescent="0.3">
      <c r="A56" s="914" t="s">
        <v>729</v>
      </c>
      <c r="B56" s="915"/>
      <c r="C56" s="915"/>
      <c r="D56" s="915"/>
      <c r="E56" s="916"/>
      <c r="F56" s="309">
        <f t="shared" ref="F56:K56" si="29">F54+F55</f>
        <v>0</v>
      </c>
      <c r="G56" s="309">
        <f t="shared" si="29"/>
        <v>0</v>
      </c>
      <c r="H56" s="309">
        <f t="shared" si="29"/>
        <v>0</v>
      </c>
      <c r="I56" s="309">
        <f t="shared" si="29"/>
        <v>0</v>
      </c>
      <c r="J56" s="309">
        <f t="shared" si="29"/>
        <v>0</v>
      </c>
      <c r="K56" s="309">
        <f t="shared" si="29"/>
        <v>0</v>
      </c>
    </row>
    <row r="57" spans="1:11" ht="15.75" thickBot="1" x14ac:dyDescent="0.3">
      <c r="A57" s="911" t="s">
        <v>156</v>
      </c>
      <c r="B57" s="912"/>
      <c r="C57" s="912"/>
      <c r="D57" s="912"/>
      <c r="E57" s="913"/>
      <c r="F57" s="309">
        <v>0</v>
      </c>
      <c r="G57" s="310">
        <v>0</v>
      </c>
      <c r="H57" s="310">
        <f>G57</f>
        <v>0</v>
      </c>
      <c r="I57" s="309">
        <v>0</v>
      </c>
      <c r="J57" s="310">
        <v>0</v>
      </c>
      <c r="K57" s="310">
        <f>J57</f>
        <v>0</v>
      </c>
    </row>
    <row r="58" spans="1:11" ht="15.75" thickBot="1" x14ac:dyDescent="0.3">
      <c r="A58" s="911" t="s">
        <v>639</v>
      </c>
      <c r="B58" s="912"/>
      <c r="C58" s="912"/>
      <c r="D58" s="912"/>
      <c r="E58" s="913"/>
      <c r="F58" s="309">
        <v>0</v>
      </c>
      <c r="G58" s="310">
        <v>0</v>
      </c>
      <c r="H58" s="310">
        <f>F58+G58</f>
        <v>0</v>
      </c>
      <c r="I58" s="309">
        <v>0</v>
      </c>
      <c r="J58" s="310">
        <v>0</v>
      </c>
      <c r="K58" s="310">
        <f>I58+J58</f>
        <v>0</v>
      </c>
    </row>
    <row r="59" spans="1:11" ht="15.75" thickBot="1" x14ac:dyDescent="0.3">
      <c r="A59" s="911" t="s">
        <v>157</v>
      </c>
      <c r="B59" s="912"/>
      <c r="C59" s="912"/>
      <c r="D59" s="912"/>
      <c r="E59" s="913"/>
      <c r="F59" s="309">
        <v>0</v>
      </c>
      <c r="G59" s="309">
        <v>0</v>
      </c>
      <c r="H59" s="309">
        <f t="shared" ref="H59:H60" si="30">H57+H58</f>
        <v>0</v>
      </c>
      <c r="I59" s="309">
        <v>0</v>
      </c>
      <c r="J59" s="309">
        <v>0</v>
      </c>
      <c r="K59" s="309">
        <f t="shared" ref="K59:K60" si="31">K57+K58</f>
        <v>0</v>
      </c>
    </row>
    <row r="60" spans="1:11" ht="15.75" thickBot="1" x14ac:dyDescent="0.3">
      <c r="A60" s="911" t="s">
        <v>158</v>
      </c>
      <c r="B60" s="912"/>
      <c r="C60" s="912"/>
      <c r="D60" s="912"/>
      <c r="E60" s="913"/>
      <c r="F60" s="309">
        <v>0</v>
      </c>
      <c r="G60" s="309">
        <v>0</v>
      </c>
      <c r="H60" s="309">
        <f t="shared" si="30"/>
        <v>0</v>
      </c>
      <c r="I60" s="309">
        <v>0</v>
      </c>
      <c r="J60" s="309">
        <v>0</v>
      </c>
      <c r="K60" s="309">
        <f t="shared" si="31"/>
        <v>0</v>
      </c>
    </row>
    <row r="61" spans="1:11" s="470" customFormat="1" ht="15.75" thickBot="1" x14ac:dyDescent="0.3">
      <c r="A61" s="935" t="s">
        <v>159</v>
      </c>
      <c r="B61" s="936"/>
      <c r="C61" s="936"/>
      <c r="D61" s="936"/>
      <c r="E61" s="937"/>
      <c r="F61" s="473">
        <v>0</v>
      </c>
      <c r="G61" s="473">
        <f>F61*27%</f>
        <v>0</v>
      </c>
      <c r="H61" s="474">
        <f>F61+G61</f>
        <v>0</v>
      </c>
      <c r="I61" s="473">
        <v>0</v>
      </c>
      <c r="J61" s="473">
        <f>I61*27%</f>
        <v>0</v>
      </c>
      <c r="K61" s="474">
        <f>I61+J61</f>
        <v>0</v>
      </c>
    </row>
    <row r="62" spans="1:11" s="470" customFormat="1" ht="15.75" thickBot="1" x14ac:dyDescent="0.3">
      <c r="A62" s="935" t="s">
        <v>743</v>
      </c>
      <c r="B62" s="936"/>
      <c r="C62" s="936"/>
      <c r="D62" s="936"/>
      <c r="E62" s="937"/>
      <c r="F62" s="474">
        <v>100000</v>
      </c>
      <c r="G62" s="474">
        <f t="shared" ref="G62:G71" si="32">F62*27%</f>
        <v>27000</v>
      </c>
      <c r="H62" s="474">
        <f>F62+G62</f>
        <v>127000</v>
      </c>
      <c r="I62" s="474">
        <v>100000</v>
      </c>
      <c r="J62" s="474">
        <f t="shared" ref="J62:J71" si="33">I62*27%</f>
        <v>27000</v>
      </c>
      <c r="K62" s="474">
        <f>I62+J62</f>
        <v>127000</v>
      </c>
    </row>
    <row r="63" spans="1:11" s="470" customFormat="1" ht="15.75" thickBot="1" x14ac:dyDescent="0.3">
      <c r="A63" s="935" t="s">
        <v>160</v>
      </c>
      <c r="B63" s="936"/>
      <c r="C63" s="936"/>
      <c r="D63" s="936"/>
      <c r="E63" s="937"/>
      <c r="F63" s="474">
        <v>0</v>
      </c>
      <c r="G63" s="474">
        <f t="shared" si="32"/>
        <v>0</v>
      </c>
      <c r="H63" s="474">
        <f t="shared" ref="H63:H71" si="34">F63+G63</f>
        <v>0</v>
      </c>
      <c r="I63" s="474">
        <v>0</v>
      </c>
      <c r="J63" s="474">
        <f t="shared" si="33"/>
        <v>0</v>
      </c>
      <c r="K63" s="474">
        <f t="shared" ref="K63:K71" si="35">I63+J63</f>
        <v>0</v>
      </c>
    </row>
    <row r="64" spans="1:11" s="470" customFormat="1" ht="15.75" thickBot="1" x14ac:dyDescent="0.3">
      <c r="A64" s="935" t="s">
        <v>161</v>
      </c>
      <c r="B64" s="936"/>
      <c r="C64" s="936"/>
      <c r="D64" s="936"/>
      <c r="E64" s="937"/>
      <c r="F64" s="474">
        <v>0</v>
      </c>
      <c r="G64" s="474">
        <f t="shared" si="32"/>
        <v>0</v>
      </c>
      <c r="H64" s="474">
        <f t="shared" si="34"/>
        <v>0</v>
      </c>
      <c r="I64" s="474">
        <v>0</v>
      </c>
      <c r="J64" s="474">
        <f t="shared" si="33"/>
        <v>0</v>
      </c>
      <c r="K64" s="474">
        <f t="shared" si="35"/>
        <v>0</v>
      </c>
    </row>
    <row r="65" spans="1:13" s="470" customFormat="1" ht="15.75" thickBot="1" x14ac:dyDescent="0.3">
      <c r="A65" s="935" t="s">
        <v>162</v>
      </c>
      <c r="B65" s="936"/>
      <c r="C65" s="936"/>
      <c r="D65" s="936"/>
      <c r="E65" s="937"/>
      <c r="F65" s="474">
        <v>0</v>
      </c>
      <c r="G65" s="474">
        <f t="shared" si="32"/>
        <v>0</v>
      </c>
      <c r="H65" s="474">
        <f t="shared" si="34"/>
        <v>0</v>
      </c>
      <c r="I65" s="474">
        <v>0</v>
      </c>
      <c r="J65" s="474">
        <f t="shared" si="33"/>
        <v>0</v>
      </c>
      <c r="K65" s="474">
        <f t="shared" si="35"/>
        <v>0</v>
      </c>
    </row>
    <row r="66" spans="1:13" s="470" customFormat="1" ht="15.75" thickBot="1" x14ac:dyDescent="0.3">
      <c r="A66" s="935" t="s">
        <v>163</v>
      </c>
      <c r="B66" s="936"/>
      <c r="C66" s="936"/>
      <c r="D66" s="936"/>
      <c r="E66" s="937"/>
      <c r="F66" s="474">
        <v>0</v>
      </c>
      <c r="G66" s="474">
        <f t="shared" si="32"/>
        <v>0</v>
      </c>
      <c r="H66" s="474">
        <f t="shared" si="34"/>
        <v>0</v>
      </c>
      <c r="I66" s="474">
        <v>0</v>
      </c>
      <c r="J66" s="474">
        <f t="shared" si="33"/>
        <v>0</v>
      </c>
      <c r="K66" s="474">
        <f t="shared" si="35"/>
        <v>0</v>
      </c>
    </row>
    <row r="67" spans="1:13" s="470" customFormat="1" ht="15.75" thickBot="1" x14ac:dyDescent="0.3">
      <c r="A67" s="935" t="s">
        <v>744</v>
      </c>
      <c r="B67" s="936"/>
      <c r="C67" s="936"/>
      <c r="D67" s="936"/>
      <c r="E67" s="937"/>
      <c r="F67" s="474">
        <v>0</v>
      </c>
      <c r="G67" s="474">
        <f t="shared" si="32"/>
        <v>0</v>
      </c>
      <c r="H67" s="474">
        <f t="shared" si="34"/>
        <v>0</v>
      </c>
      <c r="I67" s="474">
        <v>0</v>
      </c>
      <c r="J67" s="474">
        <f t="shared" si="33"/>
        <v>0</v>
      </c>
      <c r="K67" s="474">
        <f t="shared" si="35"/>
        <v>0</v>
      </c>
    </row>
    <row r="68" spans="1:13" s="470" customFormat="1" ht="15.75" thickBot="1" x14ac:dyDescent="0.3">
      <c r="A68" s="935" t="s">
        <v>745</v>
      </c>
      <c r="B68" s="936"/>
      <c r="C68" s="936"/>
      <c r="D68" s="936"/>
      <c r="E68" s="937"/>
      <c r="F68" s="474">
        <v>40000</v>
      </c>
      <c r="G68" s="474">
        <f t="shared" si="32"/>
        <v>10800</v>
      </c>
      <c r="H68" s="474">
        <f t="shared" si="34"/>
        <v>50800</v>
      </c>
      <c r="I68" s="474">
        <v>0</v>
      </c>
      <c r="J68" s="474">
        <f t="shared" si="33"/>
        <v>0</v>
      </c>
      <c r="K68" s="474">
        <f t="shared" si="35"/>
        <v>0</v>
      </c>
    </row>
    <row r="69" spans="1:13" s="470" customFormat="1" ht="15.75" thickBot="1" x14ac:dyDescent="0.3">
      <c r="A69" s="935" t="s">
        <v>746</v>
      </c>
      <c r="B69" s="936"/>
      <c r="C69" s="936"/>
      <c r="D69" s="936"/>
      <c r="E69" s="937"/>
      <c r="F69" s="474">
        <v>0</v>
      </c>
      <c r="G69" s="474">
        <f t="shared" si="32"/>
        <v>0</v>
      </c>
      <c r="H69" s="474">
        <f t="shared" si="34"/>
        <v>0</v>
      </c>
      <c r="I69" s="474">
        <v>0</v>
      </c>
      <c r="J69" s="474">
        <f t="shared" si="33"/>
        <v>0</v>
      </c>
      <c r="K69" s="474">
        <f t="shared" si="35"/>
        <v>0</v>
      </c>
    </row>
    <row r="70" spans="1:13" s="470" customFormat="1" ht="15.75" thickBot="1" x14ac:dyDescent="0.3">
      <c r="A70" s="935" t="s">
        <v>747</v>
      </c>
      <c r="B70" s="936"/>
      <c r="C70" s="936"/>
      <c r="D70" s="936"/>
      <c r="E70" s="937"/>
      <c r="F70" s="474">
        <v>20000</v>
      </c>
      <c r="G70" s="474">
        <f t="shared" si="32"/>
        <v>5400</v>
      </c>
      <c r="H70" s="474">
        <f t="shared" si="34"/>
        <v>25400</v>
      </c>
      <c r="I70" s="474">
        <v>20000</v>
      </c>
      <c r="J70" s="474">
        <f t="shared" si="33"/>
        <v>5400</v>
      </c>
      <c r="K70" s="474">
        <f t="shared" si="35"/>
        <v>25400</v>
      </c>
    </row>
    <row r="71" spans="1:13" s="470" customFormat="1" ht="15.75" thickBot="1" x14ac:dyDescent="0.3">
      <c r="A71" s="935" t="s">
        <v>748</v>
      </c>
      <c r="B71" s="936"/>
      <c r="C71" s="936"/>
      <c r="D71" s="936"/>
      <c r="E71" s="937"/>
      <c r="F71" s="474">
        <v>30000</v>
      </c>
      <c r="G71" s="474">
        <f t="shared" si="32"/>
        <v>8100.0000000000009</v>
      </c>
      <c r="H71" s="474">
        <f t="shared" si="34"/>
        <v>38100</v>
      </c>
      <c r="I71" s="474">
        <v>30000</v>
      </c>
      <c r="J71" s="474">
        <f t="shared" si="33"/>
        <v>8100.0000000000009</v>
      </c>
      <c r="K71" s="474">
        <f t="shared" si="35"/>
        <v>38100</v>
      </c>
    </row>
    <row r="72" spans="1:13" s="475" customFormat="1" ht="16.5" thickBot="1" x14ac:dyDescent="0.3">
      <c r="A72" s="959" t="s">
        <v>351</v>
      </c>
      <c r="B72" s="960"/>
      <c r="C72" s="960"/>
      <c r="D72" s="960"/>
      <c r="E72" s="961"/>
      <c r="F72" s="311">
        <f t="shared" ref="F72:K72" si="36">SUM(F57:F71)</f>
        <v>190000</v>
      </c>
      <c r="G72" s="311">
        <f t="shared" si="36"/>
        <v>51300</v>
      </c>
      <c r="H72" s="311">
        <f t="shared" si="36"/>
        <v>241300</v>
      </c>
      <c r="I72" s="471">
        <f t="shared" si="36"/>
        <v>150000</v>
      </c>
      <c r="J72" s="471">
        <f t="shared" si="36"/>
        <v>40500</v>
      </c>
      <c r="K72" s="471">
        <f t="shared" si="36"/>
        <v>190500</v>
      </c>
    </row>
    <row r="73" spans="1:13" s="475" customFormat="1" ht="16.5" thickBot="1" x14ac:dyDescent="0.3">
      <c r="A73" s="959" t="s">
        <v>352</v>
      </c>
      <c r="B73" s="960"/>
      <c r="C73" s="960"/>
      <c r="D73" s="960"/>
      <c r="E73" s="961"/>
      <c r="F73" s="471"/>
      <c r="G73" s="471">
        <f>G72+G55</f>
        <v>51300</v>
      </c>
      <c r="H73" s="471">
        <f>F73+G73</f>
        <v>51300</v>
      </c>
      <c r="I73" s="471"/>
      <c r="J73" s="471">
        <f>J72+J55</f>
        <v>40500</v>
      </c>
      <c r="K73" s="471">
        <f>I73+J73</f>
        <v>40500</v>
      </c>
    </row>
    <row r="74" spans="1:13" s="475" customFormat="1" ht="15.75" thickBot="1" x14ac:dyDescent="0.3">
      <c r="A74" s="959" t="s">
        <v>749</v>
      </c>
      <c r="B74" s="960"/>
      <c r="C74" s="960"/>
      <c r="D74" s="960"/>
      <c r="E74" s="961"/>
      <c r="F74" s="309">
        <f t="shared" ref="F74:K74" si="37">F72+F56</f>
        <v>190000</v>
      </c>
      <c r="G74" s="309">
        <f t="shared" si="37"/>
        <v>51300</v>
      </c>
      <c r="H74" s="309">
        <f t="shared" si="37"/>
        <v>241300</v>
      </c>
      <c r="I74" s="473">
        <f t="shared" si="37"/>
        <v>150000</v>
      </c>
      <c r="J74" s="473">
        <f t="shared" si="37"/>
        <v>40500</v>
      </c>
      <c r="K74" s="473">
        <f t="shared" si="37"/>
        <v>190500</v>
      </c>
    </row>
    <row r="75" spans="1:13" s="314" customFormat="1" ht="19.5" thickBot="1" x14ac:dyDescent="0.35">
      <c r="A75" s="947" t="s">
        <v>353</v>
      </c>
      <c r="B75" s="948"/>
      <c r="C75" s="948"/>
      <c r="D75" s="948"/>
      <c r="E75" s="949"/>
      <c r="F75" s="309">
        <f>F74+F53+F14</f>
        <v>32307948</v>
      </c>
      <c r="G75" s="309">
        <f>G72+G50</f>
        <v>993948.8</v>
      </c>
      <c r="H75" s="309">
        <f>F75+G75</f>
        <v>33301896.800000001</v>
      </c>
      <c r="I75" s="309">
        <f>I74+I53+I14</f>
        <v>33092324</v>
      </c>
      <c r="J75" s="309">
        <f>J72+J50</f>
        <v>974959.61</v>
      </c>
      <c r="K75" s="309">
        <f>I75+J75</f>
        <v>34067283.609999999</v>
      </c>
      <c r="M75" s="614"/>
    </row>
  </sheetData>
  <mergeCells count="74">
    <mergeCell ref="A75:E75"/>
    <mergeCell ref="A70:E70"/>
    <mergeCell ref="A71:E71"/>
    <mergeCell ref="A72:E72"/>
    <mergeCell ref="A73:E73"/>
    <mergeCell ref="A74:E74"/>
    <mergeCell ref="A65:E65"/>
    <mergeCell ref="A66:E66"/>
    <mergeCell ref="A67:E67"/>
    <mergeCell ref="A68:E68"/>
    <mergeCell ref="A69:E69"/>
    <mergeCell ref="F4:H4"/>
    <mergeCell ref="A61:E61"/>
    <mergeCell ref="A62:E62"/>
    <mergeCell ref="A63:E63"/>
    <mergeCell ref="A64:E64"/>
    <mergeCell ref="A14:E14"/>
    <mergeCell ref="A5:E5"/>
    <mergeCell ref="A6:E6"/>
    <mergeCell ref="A7:E7"/>
    <mergeCell ref="A8:E8"/>
    <mergeCell ref="A9:E9"/>
    <mergeCell ref="A10:E10"/>
    <mergeCell ref="A11:E11"/>
    <mergeCell ref="A12:E12"/>
    <mergeCell ref="A13:E13"/>
    <mergeCell ref="A26:E26"/>
    <mergeCell ref="A15:E15"/>
    <mergeCell ref="A16:E16"/>
    <mergeCell ref="A17:E17"/>
    <mergeCell ref="A18:E18"/>
    <mergeCell ref="A19:E19"/>
    <mergeCell ref="A20:E20"/>
    <mergeCell ref="A21:E21"/>
    <mergeCell ref="A22:E22"/>
    <mergeCell ref="A23:E23"/>
    <mergeCell ref="A24:E24"/>
    <mergeCell ref="A47:E47"/>
    <mergeCell ref="A48:E48"/>
    <mergeCell ref="A49:E49"/>
    <mergeCell ref="A25:E25"/>
    <mergeCell ref="A38:E38"/>
    <mergeCell ref="A27:E27"/>
    <mergeCell ref="A28:E28"/>
    <mergeCell ref="A29:E29"/>
    <mergeCell ref="A30:E30"/>
    <mergeCell ref="A31:E31"/>
    <mergeCell ref="A32:E32"/>
    <mergeCell ref="A33:E33"/>
    <mergeCell ref="A34:E34"/>
    <mergeCell ref="A35:E35"/>
    <mergeCell ref="A36:E36"/>
    <mergeCell ref="A37:E37"/>
    <mergeCell ref="A42:E42"/>
    <mergeCell ref="A43:E43"/>
    <mergeCell ref="A44:E44"/>
    <mergeCell ref="A45:E45"/>
    <mergeCell ref="A46:E46"/>
    <mergeCell ref="D2:H2"/>
    <mergeCell ref="I4:K4"/>
    <mergeCell ref="A60:E60"/>
    <mergeCell ref="A57:E57"/>
    <mergeCell ref="A58:E58"/>
    <mergeCell ref="A59:E59"/>
    <mergeCell ref="A51:E51"/>
    <mergeCell ref="A52:E52"/>
    <mergeCell ref="A53:E53"/>
    <mergeCell ref="A54:E54"/>
    <mergeCell ref="A55:E55"/>
    <mergeCell ref="A56:E56"/>
    <mergeCell ref="A50:E50"/>
    <mergeCell ref="A39:E39"/>
    <mergeCell ref="A40:E40"/>
    <mergeCell ref="A41:E41"/>
  </mergeCells>
  <pageMargins left="0.25" right="0.25" top="0.75" bottom="0.75" header="0.3" footer="0.3"/>
  <pageSetup paperSize="9" scale="7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7030A0"/>
  </sheetPr>
  <dimension ref="A1:N97"/>
  <sheetViews>
    <sheetView topLeftCell="A76" workbookViewId="0">
      <selection activeCell="L79" sqref="L79"/>
    </sheetView>
  </sheetViews>
  <sheetFormatPr defaultRowHeight="15.75" x14ac:dyDescent="0.25"/>
  <cols>
    <col min="5" max="5" width="19.85546875" customWidth="1"/>
    <col min="6" max="6" width="12.28515625" style="306" customWidth="1"/>
    <col min="7" max="7" width="11.28515625" style="306" customWidth="1"/>
    <col min="8" max="8" width="13" customWidth="1"/>
    <col min="9" max="9" width="13.85546875" style="615" customWidth="1"/>
    <col min="10" max="10" width="11.85546875" style="615" customWidth="1"/>
    <col min="11" max="11" width="13.140625" style="615" customWidth="1"/>
    <col min="13" max="13" width="13.42578125" bestFit="1" customWidth="1"/>
    <col min="259" max="259" width="16.5703125" customWidth="1"/>
    <col min="260" max="260" width="14.42578125" customWidth="1"/>
    <col min="261" max="261" width="10.42578125" bestFit="1" customWidth="1"/>
    <col min="262" max="262" width="15.85546875" bestFit="1" customWidth="1"/>
    <col min="263" max="263" width="14" bestFit="1" customWidth="1"/>
    <col min="515" max="515" width="16.5703125" customWidth="1"/>
    <col min="516" max="516" width="14.42578125" customWidth="1"/>
    <col min="517" max="517" width="10.42578125" bestFit="1" customWidth="1"/>
    <col min="518" max="518" width="15.85546875" bestFit="1" customWidth="1"/>
    <col min="519" max="519" width="14" bestFit="1" customWidth="1"/>
    <col min="771" max="771" width="16.5703125" customWidth="1"/>
    <col min="772" max="772" width="14.42578125" customWidth="1"/>
    <col min="773" max="773" width="10.42578125" bestFit="1" customWidth="1"/>
    <col min="774" max="774" width="15.85546875" bestFit="1" customWidth="1"/>
    <col min="775" max="775" width="14" bestFit="1" customWidth="1"/>
    <col min="1027" max="1027" width="16.5703125" customWidth="1"/>
    <col min="1028" max="1028" width="14.42578125" customWidth="1"/>
    <col min="1029" max="1029" width="10.42578125" bestFit="1" customWidth="1"/>
    <col min="1030" max="1030" width="15.85546875" bestFit="1" customWidth="1"/>
    <col min="1031" max="1031" width="14" bestFit="1" customWidth="1"/>
    <col min="1283" max="1283" width="16.5703125" customWidth="1"/>
    <col min="1284" max="1284" width="14.42578125" customWidth="1"/>
    <col min="1285" max="1285" width="10.42578125" bestFit="1" customWidth="1"/>
    <col min="1286" max="1286" width="15.85546875" bestFit="1" customWidth="1"/>
    <col min="1287" max="1287" width="14" bestFit="1" customWidth="1"/>
    <col min="1539" max="1539" width="16.5703125" customWidth="1"/>
    <col min="1540" max="1540" width="14.42578125" customWidth="1"/>
    <col min="1541" max="1541" width="10.42578125" bestFit="1" customWidth="1"/>
    <col min="1542" max="1542" width="15.85546875" bestFit="1" customWidth="1"/>
    <col min="1543" max="1543" width="14" bestFit="1" customWidth="1"/>
    <col min="1795" max="1795" width="16.5703125" customWidth="1"/>
    <col min="1796" max="1796" width="14.42578125" customWidth="1"/>
    <col min="1797" max="1797" width="10.42578125" bestFit="1" customWidth="1"/>
    <col min="1798" max="1798" width="15.85546875" bestFit="1" customWidth="1"/>
    <col min="1799" max="1799" width="14" bestFit="1" customWidth="1"/>
    <col min="2051" max="2051" width="16.5703125" customWidth="1"/>
    <col min="2052" max="2052" width="14.42578125" customWidth="1"/>
    <col min="2053" max="2053" width="10.42578125" bestFit="1" customWidth="1"/>
    <col min="2054" max="2054" width="15.85546875" bestFit="1" customWidth="1"/>
    <col min="2055" max="2055" width="14" bestFit="1" customWidth="1"/>
    <col min="2307" max="2307" width="16.5703125" customWidth="1"/>
    <col min="2308" max="2308" width="14.42578125" customWidth="1"/>
    <col min="2309" max="2309" width="10.42578125" bestFit="1" customWidth="1"/>
    <col min="2310" max="2310" width="15.85546875" bestFit="1" customWidth="1"/>
    <col min="2311" max="2311" width="14" bestFit="1" customWidth="1"/>
    <col min="2563" max="2563" width="16.5703125" customWidth="1"/>
    <col min="2564" max="2564" width="14.42578125" customWidth="1"/>
    <col min="2565" max="2565" width="10.42578125" bestFit="1" customWidth="1"/>
    <col min="2566" max="2566" width="15.85546875" bestFit="1" customWidth="1"/>
    <col min="2567" max="2567" width="14" bestFit="1" customWidth="1"/>
    <col min="2819" max="2819" width="16.5703125" customWidth="1"/>
    <col min="2820" max="2820" width="14.42578125" customWidth="1"/>
    <col min="2821" max="2821" width="10.42578125" bestFit="1" customWidth="1"/>
    <col min="2822" max="2822" width="15.85546875" bestFit="1" customWidth="1"/>
    <col min="2823" max="2823" width="14" bestFit="1" customWidth="1"/>
    <col min="3075" max="3075" width="16.5703125" customWidth="1"/>
    <col min="3076" max="3076" width="14.42578125" customWidth="1"/>
    <col min="3077" max="3077" width="10.42578125" bestFit="1" customWidth="1"/>
    <col min="3078" max="3078" width="15.85546875" bestFit="1" customWidth="1"/>
    <col min="3079" max="3079" width="14" bestFit="1" customWidth="1"/>
    <col min="3331" max="3331" width="16.5703125" customWidth="1"/>
    <col min="3332" max="3332" width="14.42578125" customWidth="1"/>
    <col min="3333" max="3333" width="10.42578125" bestFit="1" customWidth="1"/>
    <col min="3334" max="3334" width="15.85546875" bestFit="1" customWidth="1"/>
    <col min="3335" max="3335" width="14" bestFit="1" customWidth="1"/>
    <col min="3587" max="3587" width="16.5703125" customWidth="1"/>
    <col min="3588" max="3588" width="14.42578125" customWidth="1"/>
    <col min="3589" max="3589" width="10.42578125" bestFit="1" customWidth="1"/>
    <col min="3590" max="3590" width="15.85546875" bestFit="1" customWidth="1"/>
    <col min="3591" max="3591" width="14" bestFit="1" customWidth="1"/>
    <col min="3843" max="3843" width="16.5703125" customWidth="1"/>
    <col min="3844" max="3844" width="14.42578125" customWidth="1"/>
    <col min="3845" max="3845" width="10.42578125" bestFit="1" customWidth="1"/>
    <col min="3846" max="3846" width="15.85546875" bestFit="1" customWidth="1"/>
    <col min="3847" max="3847" width="14" bestFit="1" customWidth="1"/>
    <col min="4099" max="4099" width="16.5703125" customWidth="1"/>
    <col min="4100" max="4100" width="14.42578125" customWidth="1"/>
    <col min="4101" max="4101" width="10.42578125" bestFit="1" customWidth="1"/>
    <col min="4102" max="4102" width="15.85546875" bestFit="1" customWidth="1"/>
    <col min="4103" max="4103" width="14" bestFit="1" customWidth="1"/>
    <col min="4355" max="4355" width="16.5703125" customWidth="1"/>
    <col min="4356" max="4356" width="14.42578125" customWidth="1"/>
    <col min="4357" max="4357" width="10.42578125" bestFit="1" customWidth="1"/>
    <col min="4358" max="4358" width="15.85546875" bestFit="1" customWidth="1"/>
    <col min="4359" max="4359" width="14" bestFit="1" customWidth="1"/>
    <col min="4611" max="4611" width="16.5703125" customWidth="1"/>
    <col min="4612" max="4612" width="14.42578125" customWidth="1"/>
    <col min="4613" max="4613" width="10.42578125" bestFit="1" customWidth="1"/>
    <col min="4614" max="4614" width="15.85546875" bestFit="1" customWidth="1"/>
    <col min="4615" max="4615" width="14" bestFit="1" customWidth="1"/>
    <col min="4867" max="4867" width="16.5703125" customWidth="1"/>
    <col min="4868" max="4868" width="14.42578125" customWidth="1"/>
    <col min="4869" max="4869" width="10.42578125" bestFit="1" customWidth="1"/>
    <col min="4870" max="4870" width="15.85546875" bestFit="1" customWidth="1"/>
    <col min="4871" max="4871" width="14" bestFit="1" customWidth="1"/>
    <col min="5123" max="5123" width="16.5703125" customWidth="1"/>
    <col min="5124" max="5124" width="14.42578125" customWidth="1"/>
    <col min="5125" max="5125" width="10.42578125" bestFit="1" customWidth="1"/>
    <col min="5126" max="5126" width="15.85546875" bestFit="1" customWidth="1"/>
    <col min="5127" max="5127" width="14" bestFit="1" customWidth="1"/>
    <col min="5379" max="5379" width="16.5703125" customWidth="1"/>
    <col min="5380" max="5380" width="14.42578125" customWidth="1"/>
    <col min="5381" max="5381" width="10.42578125" bestFit="1" customWidth="1"/>
    <col min="5382" max="5382" width="15.85546875" bestFit="1" customWidth="1"/>
    <col min="5383" max="5383" width="14" bestFit="1" customWidth="1"/>
    <col min="5635" max="5635" width="16.5703125" customWidth="1"/>
    <col min="5636" max="5636" width="14.42578125" customWidth="1"/>
    <col min="5637" max="5637" width="10.42578125" bestFit="1" customWidth="1"/>
    <col min="5638" max="5638" width="15.85546875" bestFit="1" customWidth="1"/>
    <col min="5639" max="5639" width="14" bestFit="1" customWidth="1"/>
    <col min="5891" max="5891" width="16.5703125" customWidth="1"/>
    <col min="5892" max="5892" width="14.42578125" customWidth="1"/>
    <col min="5893" max="5893" width="10.42578125" bestFit="1" customWidth="1"/>
    <col min="5894" max="5894" width="15.85546875" bestFit="1" customWidth="1"/>
    <col min="5895" max="5895" width="14" bestFit="1" customWidth="1"/>
    <col min="6147" max="6147" width="16.5703125" customWidth="1"/>
    <col min="6148" max="6148" width="14.42578125" customWidth="1"/>
    <col min="6149" max="6149" width="10.42578125" bestFit="1" customWidth="1"/>
    <col min="6150" max="6150" width="15.85546875" bestFit="1" customWidth="1"/>
    <col min="6151" max="6151" width="14" bestFit="1" customWidth="1"/>
    <col min="6403" max="6403" width="16.5703125" customWidth="1"/>
    <col min="6404" max="6404" width="14.42578125" customWidth="1"/>
    <col min="6405" max="6405" width="10.42578125" bestFit="1" customWidth="1"/>
    <col min="6406" max="6406" width="15.85546875" bestFit="1" customWidth="1"/>
    <col min="6407" max="6407" width="14" bestFit="1" customWidth="1"/>
    <col min="6659" max="6659" width="16.5703125" customWidth="1"/>
    <col min="6660" max="6660" width="14.42578125" customWidth="1"/>
    <col min="6661" max="6661" width="10.42578125" bestFit="1" customWidth="1"/>
    <col min="6662" max="6662" width="15.85546875" bestFit="1" customWidth="1"/>
    <col min="6663" max="6663" width="14" bestFit="1" customWidth="1"/>
    <col min="6915" max="6915" width="16.5703125" customWidth="1"/>
    <col min="6916" max="6916" width="14.42578125" customWidth="1"/>
    <col min="6917" max="6917" width="10.42578125" bestFit="1" customWidth="1"/>
    <col min="6918" max="6918" width="15.85546875" bestFit="1" customWidth="1"/>
    <col min="6919" max="6919" width="14" bestFit="1" customWidth="1"/>
    <col min="7171" max="7171" width="16.5703125" customWidth="1"/>
    <col min="7172" max="7172" width="14.42578125" customWidth="1"/>
    <col min="7173" max="7173" width="10.42578125" bestFit="1" customWidth="1"/>
    <col min="7174" max="7174" width="15.85546875" bestFit="1" customWidth="1"/>
    <col min="7175" max="7175" width="14" bestFit="1" customWidth="1"/>
    <col min="7427" max="7427" width="16.5703125" customWidth="1"/>
    <col min="7428" max="7428" width="14.42578125" customWidth="1"/>
    <col min="7429" max="7429" width="10.42578125" bestFit="1" customWidth="1"/>
    <col min="7430" max="7430" width="15.85546875" bestFit="1" customWidth="1"/>
    <col min="7431" max="7431" width="14" bestFit="1" customWidth="1"/>
    <col min="7683" max="7683" width="16.5703125" customWidth="1"/>
    <col min="7684" max="7684" width="14.42578125" customWidth="1"/>
    <col min="7685" max="7685" width="10.42578125" bestFit="1" customWidth="1"/>
    <col min="7686" max="7686" width="15.85546875" bestFit="1" customWidth="1"/>
    <col min="7687" max="7687" width="14" bestFit="1" customWidth="1"/>
    <col min="7939" max="7939" width="16.5703125" customWidth="1"/>
    <col min="7940" max="7940" width="14.42578125" customWidth="1"/>
    <col min="7941" max="7941" width="10.42578125" bestFit="1" customWidth="1"/>
    <col min="7942" max="7942" width="15.85546875" bestFit="1" customWidth="1"/>
    <col min="7943" max="7943" width="14" bestFit="1" customWidth="1"/>
    <col min="8195" max="8195" width="16.5703125" customWidth="1"/>
    <col min="8196" max="8196" width="14.42578125" customWidth="1"/>
    <col min="8197" max="8197" width="10.42578125" bestFit="1" customWidth="1"/>
    <col min="8198" max="8198" width="15.85546875" bestFit="1" customWidth="1"/>
    <col min="8199" max="8199" width="14" bestFit="1" customWidth="1"/>
    <col min="8451" max="8451" width="16.5703125" customWidth="1"/>
    <col min="8452" max="8452" width="14.42578125" customWidth="1"/>
    <col min="8453" max="8453" width="10.42578125" bestFit="1" customWidth="1"/>
    <col min="8454" max="8454" width="15.85546875" bestFit="1" customWidth="1"/>
    <col min="8455" max="8455" width="14" bestFit="1" customWidth="1"/>
    <col min="8707" max="8707" width="16.5703125" customWidth="1"/>
    <col min="8708" max="8708" width="14.42578125" customWidth="1"/>
    <col min="8709" max="8709" width="10.42578125" bestFit="1" customWidth="1"/>
    <col min="8710" max="8710" width="15.85546875" bestFit="1" customWidth="1"/>
    <col min="8711" max="8711" width="14" bestFit="1" customWidth="1"/>
    <col min="8963" max="8963" width="16.5703125" customWidth="1"/>
    <col min="8964" max="8964" width="14.42578125" customWidth="1"/>
    <col min="8965" max="8965" width="10.42578125" bestFit="1" customWidth="1"/>
    <col min="8966" max="8966" width="15.85546875" bestFit="1" customWidth="1"/>
    <col min="8967" max="8967" width="14" bestFit="1" customWidth="1"/>
    <col min="9219" max="9219" width="16.5703125" customWidth="1"/>
    <col min="9220" max="9220" width="14.42578125" customWidth="1"/>
    <col min="9221" max="9221" width="10.42578125" bestFit="1" customWidth="1"/>
    <col min="9222" max="9222" width="15.85546875" bestFit="1" customWidth="1"/>
    <col min="9223" max="9223" width="14" bestFit="1" customWidth="1"/>
    <col min="9475" max="9475" width="16.5703125" customWidth="1"/>
    <col min="9476" max="9476" width="14.42578125" customWidth="1"/>
    <col min="9477" max="9477" width="10.42578125" bestFit="1" customWidth="1"/>
    <col min="9478" max="9478" width="15.85546875" bestFit="1" customWidth="1"/>
    <col min="9479" max="9479" width="14" bestFit="1" customWidth="1"/>
    <col min="9731" max="9731" width="16.5703125" customWidth="1"/>
    <col min="9732" max="9732" width="14.42578125" customWidth="1"/>
    <col min="9733" max="9733" width="10.42578125" bestFit="1" customWidth="1"/>
    <col min="9734" max="9734" width="15.85546875" bestFit="1" customWidth="1"/>
    <col min="9735" max="9735" width="14" bestFit="1" customWidth="1"/>
    <col min="9987" max="9987" width="16.5703125" customWidth="1"/>
    <col min="9988" max="9988" width="14.42578125" customWidth="1"/>
    <col min="9989" max="9989" width="10.42578125" bestFit="1" customWidth="1"/>
    <col min="9990" max="9990" width="15.85546875" bestFit="1" customWidth="1"/>
    <col min="9991" max="9991" width="14" bestFit="1" customWidth="1"/>
    <col min="10243" max="10243" width="16.5703125" customWidth="1"/>
    <col min="10244" max="10244" width="14.42578125" customWidth="1"/>
    <col min="10245" max="10245" width="10.42578125" bestFit="1" customWidth="1"/>
    <col min="10246" max="10246" width="15.85546875" bestFit="1" customWidth="1"/>
    <col min="10247" max="10247" width="14" bestFit="1" customWidth="1"/>
    <col min="10499" max="10499" width="16.5703125" customWidth="1"/>
    <col min="10500" max="10500" width="14.42578125" customWidth="1"/>
    <col min="10501" max="10501" width="10.42578125" bestFit="1" customWidth="1"/>
    <col min="10502" max="10502" width="15.85546875" bestFit="1" customWidth="1"/>
    <col min="10503" max="10503" width="14" bestFit="1" customWidth="1"/>
    <col min="10755" max="10755" width="16.5703125" customWidth="1"/>
    <col min="10756" max="10756" width="14.42578125" customWidth="1"/>
    <col min="10757" max="10757" width="10.42578125" bestFit="1" customWidth="1"/>
    <col min="10758" max="10758" width="15.85546875" bestFit="1" customWidth="1"/>
    <col min="10759" max="10759" width="14" bestFit="1" customWidth="1"/>
    <col min="11011" max="11011" width="16.5703125" customWidth="1"/>
    <col min="11012" max="11012" width="14.42578125" customWidth="1"/>
    <col min="11013" max="11013" width="10.42578125" bestFit="1" customWidth="1"/>
    <col min="11014" max="11014" width="15.85546875" bestFit="1" customWidth="1"/>
    <col min="11015" max="11015" width="14" bestFit="1" customWidth="1"/>
    <col min="11267" max="11267" width="16.5703125" customWidth="1"/>
    <col min="11268" max="11268" width="14.42578125" customWidth="1"/>
    <col min="11269" max="11269" width="10.42578125" bestFit="1" customWidth="1"/>
    <col min="11270" max="11270" width="15.85546875" bestFit="1" customWidth="1"/>
    <col min="11271" max="11271" width="14" bestFit="1" customWidth="1"/>
    <col min="11523" max="11523" width="16.5703125" customWidth="1"/>
    <col min="11524" max="11524" width="14.42578125" customWidth="1"/>
    <col min="11525" max="11525" width="10.42578125" bestFit="1" customWidth="1"/>
    <col min="11526" max="11526" width="15.85546875" bestFit="1" customWidth="1"/>
    <col min="11527" max="11527" width="14" bestFit="1" customWidth="1"/>
    <col min="11779" max="11779" width="16.5703125" customWidth="1"/>
    <col min="11780" max="11780" width="14.42578125" customWidth="1"/>
    <col min="11781" max="11781" width="10.42578125" bestFit="1" customWidth="1"/>
    <col min="11782" max="11782" width="15.85546875" bestFit="1" customWidth="1"/>
    <col min="11783" max="11783" width="14" bestFit="1" customWidth="1"/>
    <col min="12035" max="12035" width="16.5703125" customWidth="1"/>
    <col min="12036" max="12036" width="14.42578125" customWidth="1"/>
    <col min="12037" max="12037" width="10.42578125" bestFit="1" customWidth="1"/>
    <col min="12038" max="12038" width="15.85546875" bestFit="1" customWidth="1"/>
    <col min="12039" max="12039" width="14" bestFit="1" customWidth="1"/>
    <col min="12291" max="12291" width="16.5703125" customWidth="1"/>
    <col min="12292" max="12292" width="14.42578125" customWidth="1"/>
    <col min="12293" max="12293" width="10.42578125" bestFit="1" customWidth="1"/>
    <col min="12294" max="12294" width="15.85546875" bestFit="1" customWidth="1"/>
    <col min="12295" max="12295" width="14" bestFit="1" customWidth="1"/>
    <col min="12547" max="12547" width="16.5703125" customWidth="1"/>
    <col min="12548" max="12548" width="14.42578125" customWidth="1"/>
    <col min="12549" max="12549" width="10.42578125" bestFit="1" customWidth="1"/>
    <col min="12550" max="12550" width="15.85546875" bestFit="1" customWidth="1"/>
    <col min="12551" max="12551" width="14" bestFit="1" customWidth="1"/>
    <col min="12803" max="12803" width="16.5703125" customWidth="1"/>
    <col min="12804" max="12804" width="14.42578125" customWidth="1"/>
    <col min="12805" max="12805" width="10.42578125" bestFit="1" customWidth="1"/>
    <col min="12806" max="12806" width="15.85546875" bestFit="1" customWidth="1"/>
    <col min="12807" max="12807" width="14" bestFit="1" customWidth="1"/>
    <col min="13059" max="13059" width="16.5703125" customWidth="1"/>
    <col min="13060" max="13060" width="14.42578125" customWidth="1"/>
    <col min="13061" max="13061" width="10.42578125" bestFit="1" customWidth="1"/>
    <col min="13062" max="13062" width="15.85546875" bestFit="1" customWidth="1"/>
    <col min="13063" max="13063" width="14" bestFit="1" customWidth="1"/>
    <col min="13315" max="13315" width="16.5703125" customWidth="1"/>
    <col min="13316" max="13316" width="14.42578125" customWidth="1"/>
    <col min="13317" max="13317" width="10.42578125" bestFit="1" customWidth="1"/>
    <col min="13318" max="13318" width="15.85546875" bestFit="1" customWidth="1"/>
    <col min="13319" max="13319" width="14" bestFit="1" customWidth="1"/>
    <col min="13571" max="13571" width="16.5703125" customWidth="1"/>
    <col min="13572" max="13572" width="14.42578125" customWidth="1"/>
    <col min="13573" max="13573" width="10.42578125" bestFit="1" customWidth="1"/>
    <col min="13574" max="13574" width="15.85546875" bestFit="1" customWidth="1"/>
    <col min="13575" max="13575" width="14" bestFit="1" customWidth="1"/>
    <col min="13827" max="13827" width="16.5703125" customWidth="1"/>
    <col min="13828" max="13828" width="14.42578125" customWidth="1"/>
    <col min="13829" max="13829" width="10.42578125" bestFit="1" customWidth="1"/>
    <col min="13830" max="13830" width="15.85546875" bestFit="1" customWidth="1"/>
    <col min="13831" max="13831" width="14" bestFit="1" customWidth="1"/>
    <col min="14083" max="14083" width="16.5703125" customWidth="1"/>
    <col min="14084" max="14084" width="14.42578125" customWidth="1"/>
    <col min="14085" max="14085" width="10.42578125" bestFit="1" customWidth="1"/>
    <col min="14086" max="14086" width="15.85546875" bestFit="1" customWidth="1"/>
    <col min="14087" max="14087" width="14" bestFit="1" customWidth="1"/>
    <col min="14339" max="14339" width="16.5703125" customWidth="1"/>
    <col min="14340" max="14340" width="14.42578125" customWidth="1"/>
    <col min="14341" max="14341" width="10.42578125" bestFit="1" customWidth="1"/>
    <col min="14342" max="14342" width="15.85546875" bestFit="1" customWidth="1"/>
    <col min="14343" max="14343" width="14" bestFit="1" customWidth="1"/>
    <col min="14595" max="14595" width="16.5703125" customWidth="1"/>
    <col min="14596" max="14596" width="14.42578125" customWidth="1"/>
    <col min="14597" max="14597" width="10.42578125" bestFit="1" customWidth="1"/>
    <col min="14598" max="14598" width="15.85546875" bestFit="1" customWidth="1"/>
    <col min="14599" max="14599" width="14" bestFit="1" customWidth="1"/>
    <col min="14851" max="14851" width="16.5703125" customWidth="1"/>
    <col min="14852" max="14852" width="14.42578125" customWidth="1"/>
    <col min="14853" max="14853" width="10.42578125" bestFit="1" customWidth="1"/>
    <col min="14854" max="14854" width="15.85546875" bestFit="1" customWidth="1"/>
    <col min="14855" max="14855" width="14" bestFit="1" customWidth="1"/>
    <col min="15107" max="15107" width="16.5703125" customWidth="1"/>
    <col min="15108" max="15108" width="14.42578125" customWidth="1"/>
    <col min="15109" max="15109" width="10.42578125" bestFit="1" customWidth="1"/>
    <col min="15110" max="15110" width="15.85546875" bestFit="1" customWidth="1"/>
    <col min="15111" max="15111" width="14" bestFit="1" customWidth="1"/>
    <col min="15363" max="15363" width="16.5703125" customWidth="1"/>
    <col min="15364" max="15364" width="14.42578125" customWidth="1"/>
    <col min="15365" max="15365" width="10.42578125" bestFit="1" customWidth="1"/>
    <col min="15366" max="15366" width="15.85546875" bestFit="1" customWidth="1"/>
    <col min="15367" max="15367" width="14" bestFit="1" customWidth="1"/>
    <col min="15619" max="15619" width="16.5703125" customWidth="1"/>
    <col min="15620" max="15620" width="14.42578125" customWidth="1"/>
    <col min="15621" max="15621" width="10.42578125" bestFit="1" customWidth="1"/>
    <col min="15622" max="15622" width="15.85546875" bestFit="1" customWidth="1"/>
    <col min="15623" max="15623" width="14" bestFit="1" customWidth="1"/>
    <col min="15875" max="15875" width="16.5703125" customWidth="1"/>
    <col min="15876" max="15876" width="14.42578125" customWidth="1"/>
    <col min="15877" max="15877" width="10.42578125" bestFit="1" customWidth="1"/>
    <col min="15878" max="15878" width="15.85546875" bestFit="1" customWidth="1"/>
    <col min="15879" max="15879" width="14" bestFit="1" customWidth="1"/>
    <col min="16131" max="16131" width="16.5703125" customWidth="1"/>
    <col min="16132" max="16132" width="14.42578125" customWidth="1"/>
    <col min="16133" max="16133" width="10.42578125" bestFit="1" customWidth="1"/>
    <col min="16134" max="16134" width="15.85546875" bestFit="1" customWidth="1"/>
    <col min="16135" max="16135" width="14" bestFit="1" customWidth="1"/>
  </cols>
  <sheetData>
    <row r="1" spans="1:11" x14ac:dyDescent="0.25">
      <c r="K1" s="478" t="s">
        <v>904</v>
      </c>
    </row>
    <row r="2" spans="1:11" ht="18.75" x14ac:dyDescent="0.3">
      <c r="B2" s="907" t="s">
        <v>750</v>
      </c>
      <c r="C2" s="907"/>
      <c r="D2" s="907"/>
      <c r="E2" s="907"/>
      <c r="F2" s="907"/>
      <c r="G2" s="907"/>
      <c r="H2" s="907"/>
    </row>
    <row r="3" spans="1:11" ht="19.5" thickBot="1" x14ac:dyDescent="0.35">
      <c r="D3" s="607"/>
      <c r="E3" s="607"/>
      <c r="F3" s="607"/>
      <c r="G3" s="607"/>
      <c r="H3" s="607"/>
    </row>
    <row r="4" spans="1:11" ht="16.5" thickBot="1" x14ac:dyDescent="0.3">
      <c r="A4" s="616"/>
      <c r="B4" s="616"/>
      <c r="C4" s="616"/>
      <c r="D4" s="616"/>
      <c r="E4" s="616"/>
      <c r="F4" s="962" t="s">
        <v>902</v>
      </c>
      <c r="G4" s="963"/>
      <c r="H4" s="964"/>
      <c r="I4" s="962" t="s">
        <v>903</v>
      </c>
      <c r="J4" s="963"/>
      <c r="K4" s="964"/>
    </row>
    <row r="5" spans="1:11" thickBot="1" x14ac:dyDescent="0.3">
      <c r="A5" s="971" t="s">
        <v>7</v>
      </c>
      <c r="B5" s="972"/>
      <c r="C5" s="972"/>
      <c r="D5" s="972"/>
      <c r="E5" s="973"/>
      <c r="F5" s="617" t="s">
        <v>307</v>
      </c>
      <c r="G5" s="617" t="s">
        <v>308</v>
      </c>
      <c r="H5" s="618" t="s">
        <v>182</v>
      </c>
      <c r="I5" s="617" t="s">
        <v>307</v>
      </c>
      <c r="J5" s="617" t="s">
        <v>308</v>
      </c>
      <c r="K5" s="618" t="s">
        <v>182</v>
      </c>
    </row>
    <row r="6" spans="1:11" thickBot="1" x14ac:dyDescent="0.3">
      <c r="A6" s="983" t="s">
        <v>309</v>
      </c>
      <c r="B6" s="984"/>
      <c r="C6" s="984"/>
      <c r="D6" s="984"/>
      <c r="E6" s="985"/>
      <c r="F6" s="619">
        <v>2677600</v>
      </c>
      <c r="G6" s="619">
        <v>0</v>
      </c>
      <c r="H6" s="619">
        <f>G6+F6</f>
        <v>2677600</v>
      </c>
      <c r="I6" s="619">
        <v>2677600</v>
      </c>
      <c r="J6" s="619">
        <v>0</v>
      </c>
      <c r="K6" s="619">
        <f>J6+I6</f>
        <v>2677600</v>
      </c>
    </row>
    <row r="7" spans="1:11" thickBot="1" x14ac:dyDescent="0.3">
      <c r="A7" s="983" t="s">
        <v>310</v>
      </c>
      <c r="B7" s="984"/>
      <c r="C7" s="984"/>
      <c r="D7" s="984"/>
      <c r="E7" s="985"/>
      <c r="F7" s="619">
        <v>100000</v>
      </c>
      <c r="G7" s="619">
        <v>0</v>
      </c>
      <c r="H7" s="619">
        <f>G7+F7</f>
        <v>100000</v>
      </c>
      <c r="I7" s="619">
        <v>0</v>
      </c>
      <c r="J7" s="619">
        <v>0</v>
      </c>
      <c r="K7" s="619">
        <f>J7+I7</f>
        <v>0</v>
      </c>
    </row>
    <row r="8" spans="1:11" thickBot="1" x14ac:dyDescent="0.3">
      <c r="A8" s="983" t="s">
        <v>311</v>
      </c>
      <c r="B8" s="984"/>
      <c r="C8" s="984"/>
      <c r="D8" s="984"/>
      <c r="E8" s="985"/>
      <c r="F8" s="619">
        <v>96000</v>
      </c>
      <c r="G8" s="619">
        <v>0</v>
      </c>
      <c r="H8" s="619">
        <f>G8+F8</f>
        <v>96000</v>
      </c>
      <c r="I8" s="619">
        <v>96000</v>
      </c>
      <c r="J8" s="619">
        <v>0</v>
      </c>
      <c r="K8" s="619">
        <f>J8+I8</f>
        <v>96000</v>
      </c>
    </row>
    <row r="9" spans="1:11" s="610" customFormat="1" thickBot="1" x14ac:dyDescent="0.3">
      <c r="A9" s="983" t="s">
        <v>614</v>
      </c>
      <c r="B9" s="984"/>
      <c r="C9" s="984"/>
      <c r="D9" s="984"/>
      <c r="E9" s="985"/>
      <c r="F9" s="619">
        <v>50000</v>
      </c>
      <c r="G9" s="619">
        <v>0</v>
      </c>
      <c r="H9" s="619">
        <f t="shared" ref="H9:H14" si="0">F9+G9</f>
        <v>50000</v>
      </c>
      <c r="I9" s="619">
        <v>50000</v>
      </c>
      <c r="J9" s="619">
        <v>0</v>
      </c>
      <c r="K9" s="619">
        <f t="shared" ref="K9:K14" si="1">I9+J9</f>
        <v>50000</v>
      </c>
    </row>
    <row r="10" spans="1:11" s="610" customFormat="1" thickBot="1" x14ac:dyDescent="0.3">
      <c r="A10" s="968" t="s">
        <v>615</v>
      </c>
      <c r="B10" s="969"/>
      <c r="C10" s="969"/>
      <c r="D10" s="969"/>
      <c r="E10" s="970"/>
      <c r="F10" s="619">
        <v>0</v>
      </c>
      <c r="G10" s="619"/>
      <c r="H10" s="619">
        <f t="shared" si="0"/>
        <v>0</v>
      </c>
      <c r="I10" s="619">
        <v>0</v>
      </c>
      <c r="J10" s="619"/>
      <c r="K10" s="619">
        <f t="shared" si="1"/>
        <v>0</v>
      </c>
    </row>
    <row r="11" spans="1:11" thickBot="1" x14ac:dyDescent="0.3">
      <c r="A11" s="968" t="s">
        <v>314</v>
      </c>
      <c r="B11" s="969"/>
      <c r="C11" s="969"/>
      <c r="D11" s="969"/>
      <c r="E11" s="970"/>
      <c r="F11" s="619">
        <v>80000</v>
      </c>
      <c r="G11" s="619">
        <v>0</v>
      </c>
      <c r="H11" s="619">
        <f t="shared" si="0"/>
        <v>80000</v>
      </c>
      <c r="I11" s="619">
        <v>0</v>
      </c>
      <c r="J11" s="619">
        <v>0</v>
      </c>
      <c r="K11" s="619">
        <f t="shared" si="1"/>
        <v>0</v>
      </c>
    </row>
    <row r="12" spans="1:11" thickBot="1" x14ac:dyDescent="0.3">
      <c r="A12" s="968" t="s">
        <v>315</v>
      </c>
      <c r="B12" s="969"/>
      <c r="C12" s="969"/>
      <c r="D12" s="969"/>
      <c r="E12" s="970"/>
      <c r="F12" s="619">
        <v>60000</v>
      </c>
      <c r="G12" s="619">
        <v>0</v>
      </c>
      <c r="H12" s="619">
        <f t="shared" si="0"/>
        <v>60000</v>
      </c>
      <c r="I12" s="619">
        <v>0</v>
      </c>
      <c r="J12" s="619">
        <v>0</v>
      </c>
      <c r="K12" s="619">
        <f t="shared" si="1"/>
        <v>0</v>
      </c>
    </row>
    <row r="13" spans="1:11" thickBot="1" x14ac:dyDescent="0.3">
      <c r="A13" s="968" t="s">
        <v>751</v>
      </c>
      <c r="B13" s="969"/>
      <c r="C13" s="969"/>
      <c r="D13" s="969"/>
      <c r="E13" s="970"/>
      <c r="F13" s="619">
        <v>60000</v>
      </c>
      <c r="G13" s="619">
        <v>0</v>
      </c>
      <c r="H13" s="619">
        <f t="shared" si="0"/>
        <v>60000</v>
      </c>
      <c r="I13" s="619">
        <v>0</v>
      </c>
      <c r="J13" s="619">
        <v>0</v>
      </c>
      <c r="K13" s="619">
        <f t="shared" si="1"/>
        <v>0</v>
      </c>
    </row>
    <row r="14" spans="1:11" thickBot="1" x14ac:dyDescent="0.3">
      <c r="A14" s="968" t="s">
        <v>495</v>
      </c>
      <c r="B14" s="969"/>
      <c r="C14" s="969"/>
      <c r="D14" s="969"/>
      <c r="E14" s="970"/>
      <c r="F14" s="619">
        <v>755000</v>
      </c>
      <c r="G14" s="619">
        <v>0</v>
      </c>
      <c r="H14" s="619">
        <f t="shared" si="0"/>
        <v>755000</v>
      </c>
      <c r="I14" s="619">
        <v>755000</v>
      </c>
      <c r="J14" s="619">
        <v>0</v>
      </c>
      <c r="K14" s="619">
        <f t="shared" si="1"/>
        <v>755000</v>
      </c>
    </row>
    <row r="15" spans="1:11" s="307" customFormat="1" thickBot="1" x14ac:dyDescent="0.3">
      <c r="A15" s="971" t="s">
        <v>316</v>
      </c>
      <c r="B15" s="972"/>
      <c r="C15" s="972"/>
      <c r="D15" s="972"/>
      <c r="E15" s="973"/>
      <c r="F15" s="620">
        <f t="shared" ref="F15:K15" si="2">F10+F11+F12+F13+F14</f>
        <v>955000</v>
      </c>
      <c r="G15" s="620">
        <f t="shared" si="2"/>
        <v>0</v>
      </c>
      <c r="H15" s="620">
        <f t="shared" si="2"/>
        <v>955000</v>
      </c>
      <c r="I15" s="620">
        <f t="shared" si="2"/>
        <v>755000</v>
      </c>
      <c r="J15" s="620">
        <f t="shared" si="2"/>
        <v>0</v>
      </c>
      <c r="K15" s="620">
        <f t="shared" si="2"/>
        <v>755000</v>
      </c>
    </row>
    <row r="16" spans="1:11" s="312" customFormat="1" ht="16.5" thickBot="1" x14ac:dyDescent="0.3">
      <c r="A16" s="980" t="s">
        <v>317</v>
      </c>
      <c r="B16" s="981"/>
      <c r="C16" s="981"/>
      <c r="D16" s="981"/>
      <c r="E16" s="982"/>
      <c r="F16" s="620">
        <f t="shared" ref="F16:K16" si="3">F15+F6+F7+F8+F9</f>
        <v>3878600</v>
      </c>
      <c r="G16" s="620">
        <f t="shared" si="3"/>
        <v>0</v>
      </c>
      <c r="H16" s="620">
        <f t="shared" si="3"/>
        <v>3878600</v>
      </c>
      <c r="I16" s="620">
        <f t="shared" si="3"/>
        <v>3578600</v>
      </c>
      <c r="J16" s="620">
        <f t="shared" si="3"/>
        <v>0</v>
      </c>
      <c r="K16" s="620">
        <f t="shared" si="3"/>
        <v>3578600</v>
      </c>
    </row>
    <row r="17" spans="1:11" s="312" customFormat="1" ht="30" customHeight="1" thickBot="1" x14ac:dyDescent="0.3">
      <c r="A17" s="986" t="s">
        <v>318</v>
      </c>
      <c r="B17" s="987"/>
      <c r="C17" s="987"/>
      <c r="D17" s="987"/>
      <c r="E17" s="988"/>
      <c r="F17" s="620">
        <f>811766+202650</f>
        <v>1014416</v>
      </c>
      <c r="G17" s="620">
        <v>0</v>
      </c>
      <c r="H17" s="620">
        <f t="shared" ref="H17" si="4">811766+202650</f>
        <v>1014416</v>
      </c>
      <c r="I17" s="620">
        <v>750840</v>
      </c>
      <c r="J17" s="620">
        <v>0</v>
      </c>
      <c r="K17" s="620">
        <v>750840</v>
      </c>
    </row>
    <row r="18" spans="1:11" s="312" customFormat="1" ht="42.75" customHeight="1" thickBot="1" x14ac:dyDescent="0.3">
      <c r="A18" s="986" t="s">
        <v>616</v>
      </c>
      <c r="B18" s="987"/>
      <c r="C18" s="987"/>
      <c r="D18" s="987"/>
      <c r="E18" s="988"/>
      <c r="F18" s="620">
        <f>F16+F17</f>
        <v>4893016</v>
      </c>
      <c r="G18" s="620">
        <f t="shared" ref="G18:H18" si="5">G16+G17</f>
        <v>0</v>
      </c>
      <c r="H18" s="620">
        <f t="shared" si="5"/>
        <v>4893016</v>
      </c>
      <c r="I18" s="620">
        <f>I16+I17</f>
        <v>4329440</v>
      </c>
      <c r="J18" s="620">
        <f t="shared" ref="J18:K18" si="6">J16+J17</f>
        <v>0</v>
      </c>
      <c r="K18" s="620">
        <f t="shared" si="6"/>
        <v>4329440</v>
      </c>
    </row>
    <row r="19" spans="1:11" thickBot="1" x14ac:dyDescent="0.3">
      <c r="A19" s="983" t="s">
        <v>354</v>
      </c>
      <c r="B19" s="984"/>
      <c r="C19" s="984"/>
      <c r="D19" s="984"/>
      <c r="E19" s="985"/>
      <c r="F19" s="619">
        <v>500000</v>
      </c>
      <c r="G19" s="619">
        <f>F19*5%</f>
        <v>25000</v>
      </c>
      <c r="H19" s="619">
        <f>F19+G19</f>
        <v>525000</v>
      </c>
      <c r="I19" s="619">
        <v>500000</v>
      </c>
      <c r="J19" s="619">
        <f>I19*5%</f>
        <v>25000</v>
      </c>
      <c r="K19" s="619">
        <f>I19+J19</f>
        <v>525000</v>
      </c>
    </row>
    <row r="20" spans="1:11" thickBot="1" x14ac:dyDescent="0.3">
      <c r="A20" s="983" t="s">
        <v>752</v>
      </c>
      <c r="B20" s="984"/>
      <c r="C20" s="984"/>
      <c r="D20" s="984"/>
      <c r="E20" s="985"/>
      <c r="F20" s="619">
        <v>20000</v>
      </c>
      <c r="G20" s="619">
        <f>F20*27%</f>
        <v>5400</v>
      </c>
      <c r="H20" s="619">
        <f>F20+G20</f>
        <v>25400</v>
      </c>
      <c r="I20" s="619">
        <v>20000</v>
      </c>
      <c r="J20" s="619">
        <f>I20*27%</f>
        <v>5400</v>
      </c>
      <c r="K20" s="619">
        <f>I20+J20</f>
        <v>25400</v>
      </c>
    </row>
    <row r="21" spans="1:11" thickBot="1" x14ac:dyDescent="0.3">
      <c r="A21" s="980" t="s">
        <v>321</v>
      </c>
      <c r="B21" s="981"/>
      <c r="C21" s="981"/>
      <c r="D21" s="981"/>
      <c r="E21" s="982"/>
      <c r="F21" s="620">
        <f t="shared" ref="F21:K21" si="7">F19+F20</f>
        <v>520000</v>
      </c>
      <c r="G21" s="620">
        <f t="shared" si="7"/>
        <v>30400</v>
      </c>
      <c r="H21" s="620">
        <f t="shared" si="7"/>
        <v>550400</v>
      </c>
      <c r="I21" s="620">
        <f t="shared" si="7"/>
        <v>520000</v>
      </c>
      <c r="J21" s="620">
        <f t="shared" si="7"/>
        <v>30400</v>
      </c>
      <c r="K21" s="620">
        <f t="shared" si="7"/>
        <v>550400</v>
      </c>
    </row>
    <row r="22" spans="1:11" thickBot="1" x14ac:dyDescent="0.3">
      <c r="A22" s="983" t="s">
        <v>753</v>
      </c>
      <c r="B22" s="984"/>
      <c r="C22" s="984"/>
      <c r="D22" s="984"/>
      <c r="E22" s="985"/>
      <c r="F22" s="620">
        <v>130000</v>
      </c>
      <c r="G22" s="619">
        <f>F22*27%</f>
        <v>35100</v>
      </c>
      <c r="H22" s="620">
        <f>F22+G22</f>
        <v>165100</v>
      </c>
      <c r="I22" s="620">
        <v>130000</v>
      </c>
      <c r="J22" s="619">
        <f>I22*27%</f>
        <v>35100</v>
      </c>
      <c r="K22" s="620">
        <f>I22+J22</f>
        <v>165100</v>
      </c>
    </row>
    <row r="23" spans="1:11" thickBot="1" x14ac:dyDescent="0.3">
      <c r="A23" s="983" t="s">
        <v>618</v>
      </c>
      <c r="B23" s="984"/>
      <c r="C23" s="984"/>
      <c r="D23" s="984"/>
      <c r="E23" s="985"/>
      <c r="F23" s="619">
        <v>150000</v>
      </c>
      <c r="G23" s="619">
        <f t="shared" ref="G23:G34" si="8">F23*27%</f>
        <v>40500</v>
      </c>
      <c r="H23" s="619">
        <f t="shared" ref="H23:H33" si="9">F23+G23</f>
        <v>190500</v>
      </c>
      <c r="I23" s="619">
        <v>150000</v>
      </c>
      <c r="J23" s="619">
        <f t="shared" ref="J23:J34" si="10">I23*27%</f>
        <v>40500</v>
      </c>
      <c r="K23" s="619">
        <f t="shared" ref="K23:K33" si="11">I23+J23</f>
        <v>190500</v>
      </c>
    </row>
    <row r="24" spans="1:11" thickBot="1" x14ac:dyDescent="0.3">
      <c r="A24" s="983" t="s">
        <v>619</v>
      </c>
      <c r="B24" s="984"/>
      <c r="C24" s="984"/>
      <c r="D24" s="984"/>
      <c r="E24" s="985"/>
      <c r="F24" s="619">
        <v>80000</v>
      </c>
      <c r="G24" s="619">
        <f t="shared" si="8"/>
        <v>21600</v>
      </c>
      <c r="H24" s="619">
        <f t="shared" si="9"/>
        <v>101600</v>
      </c>
      <c r="I24" s="619">
        <v>80000</v>
      </c>
      <c r="J24" s="619">
        <f t="shared" si="10"/>
        <v>21600</v>
      </c>
      <c r="K24" s="619">
        <f t="shared" si="11"/>
        <v>101600</v>
      </c>
    </row>
    <row r="25" spans="1:11" thickBot="1" x14ac:dyDescent="0.3">
      <c r="A25" s="968" t="s">
        <v>620</v>
      </c>
      <c r="B25" s="969"/>
      <c r="C25" s="969"/>
      <c r="D25" s="969"/>
      <c r="E25" s="970"/>
      <c r="F25" s="619">
        <v>250000</v>
      </c>
      <c r="G25" s="619">
        <f t="shared" si="8"/>
        <v>67500</v>
      </c>
      <c r="H25" s="619">
        <f t="shared" si="9"/>
        <v>317500</v>
      </c>
      <c r="I25" s="619">
        <v>250000</v>
      </c>
      <c r="J25" s="619">
        <f t="shared" si="10"/>
        <v>67500</v>
      </c>
      <c r="K25" s="619">
        <f t="shared" si="11"/>
        <v>317500</v>
      </c>
    </row>
    <row r="26" spans="1:11" s="470" customFormat="1" thickBot="1" x14ac:dyDescent="0.3">
      <c r="A26" s="842" t="s">
        <v>325</v>
      </c>
      <c r="B26" s="843"/>
      <c r="C26" s="843"/>
      <c r="D26" s="843"/>
      <c r="E26" s="844"/>
      <c r="F26" s="476">
        <v>0</v>
      </c>
      <c r="G26" s="476">
        <f t="shared" si="8"/>
        <v>0</v>
      </c>
      <c r="H26" s="476">
        <f t="shared" si="9"/>
        <v>0</v>
      </c>
      <c r="I26" s="476">
        <v>0</v>
      </c>
      <c r="J26" s="476">
        <f t="shared" si="10"/>
        <v>0</v>
      </c>
      <c r="K26" s="476">
        <f t="shared" si="11"/>
        <v>0</v>
      </c>
    </row>
    <row r="27" spans="1:11" s="470" customFormat="1" thickBot="1" x14ac:dyDescent="0.3">
      <c r="A27" s="842" t="s">
        <v>644</v>
      </c>
      <c r="B27" s="843"/>
      <c r="C27" s="843"/>
      <c r="D27" s="843"/>
      <c r="E27" s="844"/>
      <c r="F27" s="476">
        <v>0</v>
      </c>
      <c r="G27" s="476">
        <f t="shared" si="8"/>
        <v>0</v>
      </c>
      <c r="H27" s="476">
        <f t="shared" si="9"/>
        <v>0</v>
      </c>
      <c r="I27" s="476">
        <v>0</v>
      </c>
      <c r="J27" s="476">
        <f t="shared" si="10"/>
        <v>0</v>
      </c>
      <c r="K27" s="476">
        <f t="shared" si="11"/>
        <v>0</v>
      </c>
    </row>
    <row r="28" spans="1:11" s="470" customFormat="1" thickBot="1" x14ac:dyDescent="0.3">
      <c r="A28" s="842" t="s">
        <v>622</v>
      </c>
      <c r="B28" s="843"/>
      <c r="C28" s="843"/>
      <c r="D28" s="843"/>
      <c r="E28" s="844"/>
      <c r="F28" s="476">
        <v>25000</v>
      </c>
      <c r="G28" s="476">
        <f t="shared" si="8"/>
        <v>6750</v>
      </c>
      <c r="H28" s="476">
        <f t="shared" si="9"/>
        <v>31750</v>
      </c>
      <c r="I28" s="476">
        <v>25000</v>
      </c>
      <c r="J28" s="476">
        <f t="shared" si="10"/>
        <v>6750</v>
      </c>
      <c r="K28" s="476">
        <f t="shared" si="11"/>
        <v>31750</v>
      </c>
    </row>
    <row r="29" spans="1:11" thickBot="1" x14ac:dyDescent="0.3">
      <c r="A29" s="968" t="s">
        <v>623</v>
      </c>
      <c r="B29" s="969"/>
      <c r="C29" s="969"/>
      <c r="D29" s="969"/>
      <c r="E29" s="970"/>
      <c r="F29" s="619">
        <v>10000</v>
      </c>
      <c r="G29" s="619">
        <f t="shared" si="8"/>
        <v>2700</v>
      </c>
      <c r="H29" s="619">
        <f t="shared" si="9"/>
        <v>12700</v>
      </c>
      <c r="I29" s="619">
        <v>10000</v>
      </c>
      <c r="J29" s="619">
        <f t="shared" si="10"/>
        <v>2700</v>
      </c>
      <c r="K29" s="619">
        <f t="shared" si="11"/>
        <v>12700</v>
      </c>
    </row>
    <row r="30" spans="1:11" s="470" customFormat="1" thickBot="1" x14ac:dyDescent="0.3">
      <c r="A30" s="842" t="s">
        <v>624</v>
      </c>
      <c r="B30" s="843"/>
      <c r="C30" s="843"/>
      <c r="D30" s="843"/>
      <c r="E30" s="844"/>
      <c r="F30" s="476">
        <v>30000</v>
      </c>
      <c r="G30" s="476">
        <f t="shared" si="8"/>
        <v>8100.0000000000009</v>
      </c>
      <c r="H30" s="476">
        <f t="shared" si="9"/>
        <v>38100</v>
      </c>
      <c r="I30" s="476">
        <v>30000</v>
      </c>
      <c r="J30" s="476">
        <f t="shared" si="10"/>
        <v>8100.0000000000009</v>
      </c>
      <c r="K30" s="476">
        <f t="shared" si="11"/>
        <v>38100</v>
      </c>
    </row>
    <row r="31" spans="1:11" thickBot="1" x14ac:dyDescent="0.3">
      <c r="A31" s="968" t="s">
        <v>754</v>
      </c>
      <c r="B31" s="969"/>
      <c r="C31" s="969"/>
      <c r="D31" s="969"/>
      <c r="E31" s="970"/>
      <c r="F31" s="619">
        <v>50000</v>
      </c>
      <c r="G31" s="619">
        <f t="shared" si="8"/>
        <v>13500</v>
      </c>
      <c r="H31" s="619">
        <f t="shared" si="9"/>
        <v>63500</v>
      </c>
      <c r="I31" s="619">
        <v>50000</v>
      </c>
      <c r="J31" s="619">
        <f t="shared" si="10"/>
        <v>13500</v>
      </c>
      <c r="K31" s="619">
        <f t="shared" si="11"/>
        <v>63500</v>
      </c>
    </row>
    <row r="32" spans="1:11" thickBot="1" x14ac:dyDescent="0.3">
      <c r="A32" s="968" t="s">
        <v>755</v>
      </c>
      <c r="B32" s="969"/>
      <c r="C32" s="969"/>
      <c r="D32" s="969"/>
      <c r="E32" s="970"/>
      <c r="F32" s="619">
        <v>120000</v>
      </c>
      <c r="G32" s="619">
        <f t="shared" si="8"/>
        <v>32400.000000000004</v>
      </c>
      <c r="H32" s="619">
        <f t="shared" si="9"/>
        <v>152400</v>
      </c>
      <c r="I32" s="619">
        <v>120000</v>
      </c>
      <c r="J32" s="619">
        <f t="shared" si="10"/>
        <v>32400.000000000004</v>
      </c>
      <c r="K32" s="619">
        <f t="shared" si="11"/>
        <v>152400</v>
      </c>
    </row>
    <row r="33" spans="1:11" thickBot="1" x14ac:dyDescent="0.3">
      <c r="A33" s="968" t="s">
        <v>756</v>
      </c>
      <c r="B33" s="969"/>
      <c r="C33" s="969"/>
      <c r="D33" s="969"/>
      <c r="E33" s="970"/>
      <c r="F33" s="619">
        <v>40000</v>
      </c>
      <c r="G33" s="619">
        <f t="shared" si="8"/>
        <v>10800</v>
      </c>
      <c r="H33" s="619">
        <f t="shared" si="9"/>
        <v>50800</v>
      </c>
      <c r="I33" s="619">
        <v>40000</v>
      </c>
      <c r="J33" s="619">
        <f t="shared" si="10"/>
        <v>10800</v>
      </c>
      <c r="K33" s="619">
        <f t="shared" si="11"/>
        <v>50800</v>
      </c>
    </row>
    <row r="34" spans="1:11" ht="62.25" customHeight="1" thickBot="1" x14ac:dyDescent="0.3">
      <c r="A34" s="974" t="s">
        <v>625</v>
      </c>
      <c r="B34" s="975"/>
      <c r="C34" s="975"/>
      <c r="D34" s="975"/>
      <c r="E34" s="976"/>
      <c r="F34" s="619">
        <f>15000+10000+20000+40000+50000+15000+15000+15000+10000+15000+20000+20000+15000+30000</f>
        <v>290000</v>
      </c>
      <c r="G34" s="619">
        <f t="shared" si="8"/>
        <v>78300</v>
      </c>
      <c r="H34" s="619">
        <f>F34+G34</f>
        <v>368300</v>
      </c>
      <c r="I34" s="619">
        <f>15000+10000+20000+40000+50000+15000+15000+15000+10000+15000+20000+20000+15000+30000</f>
        <v>290000</v>
      </c>
      <c r="J34" s="619">
        <f t="shared" si="10"/>
        <v>78300</v>
      </c>
      <c r="K34" s="619">
        <f>I34+J34</f>
        <v>368300</v>
      </c>
    </row>
    <row r="35" spans="1:11" s="477" customFormat="1" ht="31.5" customHeight="1" thickBot="1" x14ac:dyDescent="0.3">
      <c r="A35" s="965" t="s">
        <v>757</v>
      </c>
      <c r="B35" s="966"/>
      <c r="C35" s="966"/>
      <c r="D35" s="966"/>
      <c r="E35" s="967"/>
      <c r="F35" s="476">
        <v>0</v>
      </c>
      <c r="G35" s="476">
        <v>0</v>
      </c>
      <c r="H35" s="476">
        <f>F35+G35</f>
        <v>0</v>
      </c>
      <c r="I35" s="476">
        <v>0</v>
      </c>
      <c r="J35" s="476">
        <v>0</v>
      </c>
      <c r="K35" s="476">
        <f>I35+J35</f>
        <v>0</v>
      </c>
    </row>
    <row r="36" spans="1:11" s="477" customFormat="1" ht="31.5" customHeight="1" thickBot="1" x14ac:dyDescent="0.3">
      <c r="A36" s="965" t="s">
        <v>758</v>
      </c>
      <c r="B36" s="966"/>
      <c r="C36" s="966"/>
      <c r="D36" s="966"/>
      <c r="E36" s="967"/>
      <c r="F36" s="476">
        <v>0</v>
      </c>
      <c r="G36" s="476">
        <v>0</v>
      </c>
      <c r="H36" s="476">
        <f>F36+G36</f>
        <v>0</v>
      </c>
      <c r="I36" s="476">
        <v>0</v>
      </c>
      <c r="J36" s="476">
        <v>0</v>
      </c>
      <c r="K36" s="476">
        <f>I36+J36</f>
        <v>0</v>
      </c>
    </row>
    <row r="37" spans="1:11" s="477" customFormat="1" ht="41.25" customHeight="1" thickBot="1" x14ac:dyDescent="0.3">
      <c r="A37" s="965" t="s">
        <v>759</v>
      </c>
      <c r="B37" s="966"/>
      <c r="C37" s="966"/>
      <c r="D37" s="966"/>
      <c r="E37" s="967"/>
      <c r="F37" s="476">
        <v>0</v>
      </c>
      <c r="G37" s="476">
        <v>0</v>
      </c>
      <c r="H37" s="476">
        <f>F37+G37</f>
        <v>0</v>
      </c>
      <c r="I37" s="476">
        <v>0</v>
      </c>
      <c r="J37" s="476">
        <v>0</v>
      </c>
      <c r="K37" s="476">
        <f>I37+J37</f>
        <v>0</v>
      </c>
    </row>
    <row r="38" spans="1:11" thickBot="1" x14ac:dyDescent="0.3">
      <c r="A38" s="980" t="s">
        <v>326</v>
      </c>
      <c r="B38" s="981"/>
      <c r="C38" s="981"/>
      <c r="D38" s="981"/>
      <c r="E38" s="982"/>
      <c r="F38" s="620">
        <f t="shared" ref="F38:H38" si="12">SUM(F22:F37)</f>
        <v>1175000</v>
      </c>
      <c r="G38" s="620">
        <f t="shared" si="12"/>
        <v>317250</v>
      </c>
      <c r="H38" s="620">
        <f t="shared" si="12"/>
        <v>1492250</v>
      </c>
      <c r="I38" s="620">
        <f t="shared" ref="I38:K38" si="13">SUM(I22:I37)</f>
        <v>1175000</v>
      </c>
      <c r="J38" s="620">
        <f t="shared" si="13"/>
        <v>317250</v>
      </c>
      <c r="K38" s="620">
        <f t="shared" si="13"/>
        <v>1492250</v>
      </c>
    </row>
    <row r="39" spans="1:11" thickBot="1" x14ac:dyDescent="0.3">
      <c r="A39" s="980" t="s">
        <v>327</v>
      </c>
      <c r="B39" s="981"/>
      <c r="C39" s="981"/>
      <c r="D39" s="981"/>
      <c r="E39" s="982"/>
      <c r="F39" s="620">
        <f t="shared" ref="F39:K39" si="14">F21+F38</f>
        <v>1695000</v>
      </c>
      <c r="G39" s="620">
        <f t="shared" si="14"/>
        <v>347650</v>
      </c>
      <c r="H39" s="620">
        <f t="shared" si="14"/>
        <v>2042650</v>
      </c>
      <c r="I39" s="620">
        <f t="shared" si="14"/>
        <v>1695000</v>
      </c>
      <c r="J39" s="620">
        <f t="shared" si="14"/>
        <v>347650</v>
      </c>
      <c r="K39" s="620">
        <f t="shared" si="14"/>
        <v>2042650</v>
      </c>
    </row>
    <row r="40" spans="1:11" thickBot="1" x14ac:dyDescent="0.3">
      <c r="A40" s="983" t="s">
        <v>328</v>
      </c>
      <c r="B40" s="984"/>
      <c r="C40" s="984"/>
      <c r="D40" s="984"/>
      <c r="E40" s="985"/>
      <c r="F40" s="619">
        <v>70000</v>
      </c>
      <c r="G40" s="619">
        <f>F40*5%</f>
        <v>3500</v>
      </c>
      <c r="H40" s="619">
        <f>F40+G40</f>
        <v>73500</v>
      </c>
      <c r="I40" s="619">
        <v>70000</v>
      </c>
      <c r="J40" s="619">
        <f>I40*5%</f>
        <v>3500</v>
      </c>
      <c r="K40" s="619">
        <f>I40+J40</f>
        <v>73500</v>
      </c>
    </row>
    <row r="41" spans="1:11" s="307" customFormat="1" thickBot="1" x14ac:dyDescent="0.3">
      <c r="A41" s="980" t="s">
        <v>329</v>
      </c>
      <c r="B41" s="981"/>
      <c r="C41" s="981"/>
      <c r="D41" s="981"/>
      <c r="E41" s="982"/>
      <c r="F41" s="620">
        <f t="shared" ref="F41:K41" si="15">F40</f>
        <v>70000</v>
      </c>
      <c r="G41" s="620">
        <f t="shared" si="15"/>
        <v>3500</v>
      </c>
      <c r="H41" s="620">
        <f t="shared" si="15"/>
        <v>73500</v>
      </c>
      <c r="I41" s="620">
        <f t="shared" si="15"/>
        <v>70000</v>
      </c>
      <c r="J41" s="620">
        <f t="shared" si="15"/>
        <v>3500</v>
      </c>
      <c r="K41" s="620">
        <f t="shared" si="15"/>
        <v>73500</v>
      </c>
    </row>
    <row r="42" spans="1:11" thickBot="1" x14ac:dyDescent="0.3">
      <c r="A42" s="983" t="s">
        <v>330</v>
      </c>
      <c r="B42" s="984"/>
      <c r="C42" s="984"/>
      <c r="D42" s="984"/>
      <c r="E42" s="985"/>
      <c r="F42" s="619">
        <v>150000</v>
      </c>
      <c r="G42" s="619">
        <f>F42*27%</f>
        <v>40500</v>
      </c>
      <c r="H42" s="619">
        <f>F42+G42</f>
        <v>190500</v>
      </c>
      <c r="I42" s="619">
        <v>150000</v>
      </c>
      <c r="J42" s="619">
        <f>I42*27%</f>
        <v>40500</v>
      </c>
      <c r="K42" s="619">
        <f>I42+J42</f>
        <v>190500</v>
      </c>
    </row>
    <row r="43" spans="1:11" thickBot="1" x14ac:dyDescent="0.3">
      <c r="A43" s="968" t="s">
        <v>760</v>
      </c>
      <c r="B43" s="969"/>
      <c r="C43" s="969"/>
      <c r="D43" s="969"/>
      <c r="E43" s="970"/>
      <c r="F43" s="619">
        <v>250000</v>
      </c>
      <c r="G43" s="619">
        <v>0</v>
      </c>
      <c r="H43" s="619">
        <f>F43+G43</f>
        <v>250000</v>
      </c>
      <c r="I43" s="619">
        <v>250000</v>
      </c>
      <c r="J43" s="619">
        <v>0</v>
      </c>
      <c r="K43" s="619">
        <f>I43+J43</f>
        <v>250000</v>
      </c>
    </row>
    <row r="44" spans="1:11" s="307" customFormat="1" thickBot="1" x14ac:dyDescent="0.3">
      <c r="A44" s="980" t="s">
        <v>331</v>
      </c>
      <c r="B44" s="981"/>
      <c r="C44" s="981"/>
      <c r="D44" s="981"/>
      <c r="E44" s="982"/>
      <c r="F44" s="620">
        <f>F42+F43</f>
        <v>400000</v>
      </c>
      <c r="G44" s="620">
        <f t="shared" ref="G44:H44" si="16">G42+G43</f>
        <v>40500</v>
      </c>
      <c r="H44" s="620">
        <f t="shared" si="16"/>
        <v>440500</v>
      </c>
      <c r="I44" s="620">
        <f>I42+I43</f>
        <v>400000</v>
      </c>
      <c r="J44" s="620">
        <f t="shared" ref="J44:K44" si="17">J42+J43</f>
        <v>40500</v>
      </c>
      <c r="K44" s="620">
        <f t="shared" si="17"/>
        <v>440500</v>
      </c>
    </row>
    <row r="45" spans="1:11" s="307" customFormat="1" thickBot="1" x14ac:dyDescent="0.3">
      <c r="A45" s="980" t="s">
        <v>332</v>
      </c>
      <c r="B45" s="981"/>
      <c r="C45" s="981"/>
      <c r="D45" s="981"/>
      <c r="E45" s="982"/>
      <c r="F45" s="620">
        <f t="shared" ref="F45:K45" si="18">F41+F42+F43</f>
        <v>470000</v>
      </c>
      <c r="G45" s="620">
        <f t="shared" si="18"/>
        <v>44000</v>
      </c>
      <c r="H45" s="620">
        <f t="shared" si="18"/>
        <v>514000</v>
      </c>
      <c r="I45" s="620">
        <f t="shared" si="18"/>
        <v>470000</v>
      </c>
      <c r="J45" s="620">
        <f t="shared" si="18"/>
        <v>44000</v>
      </c>
      <c r="K45" s="620">
        <f t="shared" si="18"/>
        <v>514000</v>
      </c>
    </row>
    <row r="46" spans="1:11" thickBot="1" x14ac:dyDescent="0.3">
      <c r="A46" s="968" t="s">
        <v>627</v>
      </c>
      <c r="B46" s="969"/>
      <c r="C46" s="969"/>
      <c r="D46" s="969"/>
      <c r="E46" s="970"/>
      <c r="F46" s="619">
        <v>580000</v>
      </c>
      <c r="G46" s="619">
        <f>F46*27%</f>
        <v>156600</v>
      </c>
      <c r="H46" s="619">
        <f>F46+G46</f>
        <v>736600</v>
      </c>
      <c r="I46" s="619">
        <v>940510</v>
      </c>
      <c r="J46" s="619">
        <f>I46*27%</f>
        <v>253937.7</v>
      </c>
      <c r="K46" s="619">
        <f>I46+J46</f>
        <v>1194447.7</v>
      </c>
    </row>
    <row r="47" spans="1:11" s="307" customFormat="1" thickBot="1" x14ac:dyDescent="0.3">
      <c r="A47" s="971" t="s">
        <v>333</v>
      </c>
      <c r="B47" s="972"/>
      <c r="C47" s="972"/>
      <c r="D47" s="972"/>
      <c r="E47" s="973"/>
      <c r="F47" s="620">
        <f>F46</f>
        <v>580000</v>
      </c>
      <c r="G47" s="620">
        <f t="shared" ref="G47:H47" si="19">G46</f>
        <v>156600</v>
      </c>
      <c r="H47" s="620">
        <f t="shared" si="19"/>
        <v>736600</v>
      </c>
      <c r="I47" s="620">
        <f>I46</f>
        <v>940510</v>
      </c>
      <c r="J47" s="620">
        <f t="shared" ref="J47:K47" si="20">J46</f>
        <v>253937.7</v>
      </c>
      <c r="K47" s="620">
        <f t="shared" si="20"/>
        <v>1194447.7</v>
      </c>
    </row>
    <row r="48" spans="1:11" s="307" customFormat="1" thickBot="1" x14ac:dyDescent="0.3">
      <c r="A48" s="968" t="s">
        <v>761</v>
      </c>
      <c r="B48" s="969"/>
      <c r="C48" s="969"/>
      <c r="D48" s="969"/>
      <c r="E48" s="970"/>
      <c r="F48" s="620">
        <v>200000</v>
      </c>
      <c r="G48" s="620">
        <f>F48*27%</f>
        <v>54000</v>
      </c>
      <c r="H48" s="620">
        <f>F48+G48</f>
        <v>254000</v>
      </c>
      <c r="I48" s="620">
        <v>200000</v>
      </c>
      <c r="J48" s="620">
        <f>I48*27%</f>
        <v>54000</v>
      </c>
      <c r="K48" s="620">
        <f>I48+J48</f>
        <v>254000</v>
      </c>
    </row>
    <row r="49" spans="1:11" thickBot="1" x14ac:dyDescent="0.3">
      <c r="A49" s="968" t="s">
        <v>334</v>
      </c>
      <c r="B49" s="969"/>
      <c r="C49" s="969"/>
      <c r="D49" s="969"/>
      <c r="E49" s="970"/>
      <c r="F49" s="619">
        <v>50000</v>
      </c>
      <c r="G49" s="619">
        <f>F49*27%</f>
        <v>13500</v>
      </c>
      <c r="H49" s="619">
        <f>F49+G49</f>
        <v>63500</v>
      </c>
      <c r="I49" s="619">
        <v>50000</v>
      </c>
      <c r="J49" s="619">
        <f>I49*27%</f>
        <v>13500</v>
      </c>
      <c r="K49" s="619">
        <f>I49+J49</f>
        <v>63500</v>
      </c>
    </row>
    <row r="50" spans="1:11" thickBot="1" x14ac:dyDescent="0.3">
      <c r="A50" s="968" t="s">
        <v>628</v>
      </c>
      <c r="B50" s="969"/>
      <c r="C50" s="969"/>
      <c r="D50" s="969"/>
      <c r="E50" s="970"/>
      <c r="F50" s="619">
        <v>19200</v>
      </c>
      <c r="G50" s="619">
        <v>0</v>
      </c>
      <c r="H50" s="619">
        <f>F50+G50</f>
        <v>19200</v>
      </c>
      <c r="I50" s="619">
        <v>19200</v>
      </c>
      <c r="J50" s="619">
        <v>0</v>
      </c>
      <c r="K50" s="619">
        <f>I50+J50</f>
        <v>19200</v>
      </c>
    </row>
    <row r="51" spans="1:11" s="307" customFormat="1" thickBot="1" x14ac:dyDescent="0.3">
      <c r="A51" s="971" t="s">
        <v>336</v>
      </c>
      <c r="B51" s="972"/>
      <c r="C51" s="972"/>
      <c r="D51" s="972"/>
      <c r="E51" s="973"/>
      <c r="F51" s="620">
        <f>F50</f>
        <v>19200</v>
      </c>
      <c r="G51" s="620">
        <f t="shared" ref="G51:H51" si="21">G50</f>
        <v>0</v>
      </c>
      <c r="H51" s="620">
        <f t="shared" si="21"/>
        <v>19200</v>
      </c>
      <c r="I51" s="620">
        <f>I50</f>
        <v>19200</v>
      </c>
      <c r="J51" s="620">
        <f t="shared" ref="J51:K51" si="22">J50</f>
        <v>0</v>
      </c>
      <c r="K51" s="620">
        <f t="shared" si="22"/>
        <v>19200</v>
      </c>
    </row>
    <row r="52" spans="1:11" thickBot="1" x14ac:dyDescent="0.3">
      <c r="A52" s="968" t="s">
        <v>338</v>
      </c>
      <c r="B52" s="969"/>
      <c r="C52" s="969"/>
      <c r="D52" s="969"/>
      <c r="E52" s="970"/>
      <c r="F52" s="619">
        <v>0</v>
      </c>
      <c r="G52" s="619">
        <f>F52*27%</f>
        <v>0</v>
      </c>
      <c r="H52" s="619">
        <f t="shared" ref="H52:H60" si="23">F52+G52</f>
        <v>0</v>
      </c>
      <c r="I52" s="619">
        <v>0</v>
      </c>
      <c r="J52" s="619">
        <f>I52*27%</f>
        <v>0</v>
      </c>
      <c r="K52" s="619">
        <f t="shared" ref="K52:K60" si="24">I52+J52</f>
        <v>0</v>
      </c>
    </row>
    <row r="53" spans="1:11" thickBot="1" x14ac:dyDescent="0.3">
      <c r="A53" s="968" t="s">
        <v>339</v>
      </c>
      <c r="B53" s="969"/>
      <c r="C53" s="969"/>
      <c r="D53" s="969"/>
      <c r="E53" s="970"/>
      <c r="F53" s="619">
        <v>0</v>
      </c>
      <c r="G53" s="619">
        <f>F53*27%</f>
        <v>0</v>
      </c>
      <c r="H53" s="619">
        <f t="shared" si="23"/>
        <v>0</v>
      </c>
      <c r="I53" s="619">
        <v>0</v>
      </c>
      <c r="J53" s="619">
        <f>I53*27%</f>
        <v>0</v>
      </c>
      <c r="K53" s="619">
        <f t="shared" si="24"/>
        <v>0</v>
      </c>
    </row>
    <row r="54" spans="1:11" thickBot="1" x14ac:dyDescent="0.3">
      <c r="A54" s="968" t="s">
        <v>340</v>
      </c>
      <c r="B54" s="969"/>
      <c r="C54" s="969"/>
      <c r="D54" s="969"/>
      <c r="E54" s="970"/>
      <c r="F54" s="619">
        <v>0</v>
      </c>
      <c r="G54" s="619">
        <f>F54*27%</f>
        <v>0</v>
      </c>
      <c r="H54" s="619">
        <f t="shared" si="23"/>
        <v>0</v>
      </c>
      <c r="I54" s="619">
        <v>0</v>
      </c>
      <c r="J54" s="619">
        <f>I54*27%</f>
        <v>0</v>
      </c>
      <c r="K54" s="619">
        <f t="shared" si="24"/>
        <v>0</v>
      </c>
    </row>
    <row r="55" spans="1:11" thickBot="1" x14ac:dyDescent="0.3">
      <c r="A55" s="968" t="s">
        <v>341</v>
      </c>
      <c r="B55" s="969"/>
      <c r="C55" s="969"/>
      <c r="D55" s="969"/>
      <c r="E55" s="970"/>
      <c r="F55" s="619">
        <f>37*1500</f>
        <v>55500</v>
      </c>
      <c r="G55" s="619">
        <v>0</v>
      </c>
      <c r="H55" s="619">
        <f t="shared" si="23"/>
        <v>55500</v>
      </c>
      <c r="I55" s="619">
        <v>0</v>
      </c>
      <c r="J55" s="619">
        <v>0</v>
      </c>
      <c r="K55" s="619">
        <f t="shared" si="24"/>
        <v>0</v>
      </c>
    </row>
    <row r="56" spans="1:11" thickBot="1" x14ac:dyDescent="0.3">
      <c r="A56" s="968" t="s">
        <v>629</v>
      </c>
      <c r="B56" s="969"/>
      <c r="C56" s="969"/>
      <c r="D56" s="969"/>
      <c r="E56" s="970"/>
      <c r="F56" s="619">
        <v>1180000</v>
      </c>
      <c r="G56" s="619">
        <v>0</v>
      </c>
      <c r="H56" s="619">
        <f t="shared" si="23"/>
        <v>1180000</v>
      </c>
      <c r="I56" s="619">
        <v>729000</v>
      </c>
      <c r="J56" s="619">
        <v>0</v>
      </c>
      <c r="K56" s="619">
        <f t="shared" si="24"/>
        <v>729000</v>
      </c>
    </row>
    <row r="57" spans="1:11" thickBot="1" x14ac:dyDescent="0.3">
      <c r="A57" s="968" t="s">
        <v>762</v>
      </c>
      <c r="B57" s="969"/>
      <c r="C57" s="969"/>
      <c r="D57" s="969"/>
      <c r="E57" s="970"/>
      <c r="F57" s="619">
        <v>100000</v>
      </c>
      <c r="G57" s="619">
        <v>0</v>
      </c>
      <c r="H57" s="619">
        <f t="shared" si="23"/>
        <v>100000</v>
      </c>
      <c r="I57" s="619">
        <v>0</v>
      </c>
      <c r="J57" s="619">
        <v>0</v>
      </c>
      <c r="K57" s="619">
        <f t="shared" si="24"/>
        <v>0</v>
      </c>
    </row>
    <row r="58" spans="1:11" thickBot="1" x14ac:dyDescent="0.3">
      <c r="A58" s="968" t="s">
        <v>630</v>
      </c>
      <c r="B58" s="969"/>
      <c r="C58" s="969"/>
      <c r="D58" s="969"/>
      <c r="E58" s="970"/>
      <c r="F58" s="619">
        <v>0</v>
      </c>
      <c r="G58" s="619">
        <v>0</v>
      </c>
      <c r="H58" s="619">
        <f t="shared" si="23"/>
        <v>0</v>
      </c>
      <c r="I58" s="619">
        <v>0</v>
      </c>
      <c r="J58" s="619">
        <v>0</v>
      </c>
      <c r="K58" s="619">
        <f t="shared" si="24"/>
        <v>0</v>
      </c>
    </row>
    <row r="59" spans="1:11" s="622" customFormat="1" thickBot="1" x14ac:dyDescent="0.3">
      <c r="A59" s="977" t="s">
        <v>763</v>
      </c>
      <c r="B59" s="978"/>
      <c r="C59" s="978"/>
      <c r="D59" s="978"/>
      <c r="E59" s="979"/>
      <c r="F59" s="621">
        <v>20000</v>
      </c>
      <c r="G59" s="621">
        <v>0</v>
      </c>
      <c r="H59" s="621">
        <f t="shared" si="23"/>
        <v>20000</v>
      </c>
      <c r="I59" s="621">
        <v>20000</v>
      </c>
      <c r="J59" s="621">
        <v>0</v>
      </c>
      <c r="K59" s="621">
        <f t="shared" si="24"/>
        <v>20000</v>
      </c>
    </row>
    <row r="60" spans="1:11" thickBot="1" x14ac:dyDescent="0.3">
      <c r="A60" s="968" t="s">
        <v>764</v>
      </c>
      <c r="B60" s="969"/>
      <c r="C60" s="969"/>
      <c r="D60" s="969"/>
      <c r="E60" s="970"/>
      <c r="F60" s="619">
        <v>590000</v>
      </c>
      <c r="G60" s="619">
        <v>0</v>
      </c>
      <c r="H60" s="619">
        <f t="shared" si="23"/>
        <v>590000</v>
      </c>
      <c r="I60" s="619">
        <v>590000</v>
      </c>
      <c r="J60" s="619">
        <v>0</v>
      </c>
      <c r="K60" s="619">
        <f t="shared" si="24"/>
        <v>590000</v>
      </c>
    </row>
    <row r="61" spans="1:11" ht="36" customHeight="1" thickBot="1" x14ac:dyDescent="0.3">
      <c r="A61" s="974" t="s">
        <v>765</v>
      </c>
      <c r="B61" s="975"/>
      <c r="C61" s="975"/>
      <c r="D61" s="975"/>
      <c r="E61" s="976"/>
      <c r="F61" s="619">
        <v>0</v>
      </c>
      <c r="G61" s="619">
        <v>0</v>
      </c>
      <c r="H61" s="619">
        <v>0</v>
      </c>
      <c r="I61" s="619">
        <v>0</v>
      </c>
      <c r="J61" s="619">
        <v>0</v>
      </c>
      <c r="K61" s="619">
        <v>0</v>
      </c>
    </row>
    <row r="62" spans="1:11" ht="49.5" customHeight="1" thickBot="1" x14ac:dyDescent="0.3">
      <c r="A62" s="974" t="s">
        <v>631</v>
      </c>
      <c r="B62" s="975"/>
      <c r="C62" s="975"/>
      <c r="D62" s="975"/>
      <c r="E62" s="976"/>
      <c r="F62" s="619">
        <f>92000+100000+130000+50000+700000+50000+50000+100000+100000+200000+200000+130000</f>
        <v>1902000</v>
      </c>
      <c r="G62" s="619">
        <v>270000</v>
      </c>
      <c r="H62" s="619">
        <f>F62+G62</f>
        <v>2172000</v>
      </c>
      <c r="I62" s="619">
        <f>92000+100000+130000+50000+700000+50000+50000+100000+100000+200000+200000+130000</f>
        <v>1902000</v>
      </c>
      <c r="J62" s="619">
        <v>270000</v>
      </c>
      <c r="K62" s="619">
        <f>I62+J62</f>
        <v>2172000</v>
      </c>
    </row>
    <row r="63" spans="1:11" ht="45.75" customHeight="1" thickBot="1" x14ac:dyDescent="0.3">
      <c r="A63" s="974" t="s">
        <v>766</v>
      </c>
      <c r="B63" s="975"/>
      <c r="C63" s="975"/>
      <c r="D63" s="975"/>
      <c r="E63" s="976"/>
      <c r="F63" s="619">
        <v>150000</v>
      </c>
      <c r="G63" s="619">
        <v>0</v>
      </c>
      <c r="H63" s="619">
        <f t="shared" ref="H63:H65" si="25">F63+G63</f>
        <v>150000</v>
      </c>
      <c r="I63" s="619">
        <v>150000</v>
      </c>
      <c r="J63" s="619">
        <v>0</v>
      </c>
      <c r="K63" s="619">
        <f t="shared" ref="K63:K65" si="26">I63+J63</f>
        <v>150000</v>
      </c>
    </row>
    <row r="64" spans="1:11" ht="45.75" customHeight="1" thickBot="1" x14ac:dyDescent="0.3">
      <c r="A64" s="974" t="s">
        <v>767</v>
      </c>
      <c r="B64" s="975"/>
      <c r="C64" s="975"/>
      <c r="D64" s="975"/>
      <c r="E64" s="976"/>
      <c r="F64" s="619">
        <v>150000</v>
      </c>
      <c r="G64" s="619">
        <v>0</v>
      </c>
      <c r="H64" s="619">
        <f t="shared" si="25"/>
        <v>150000</v>
      </c>
      <c r="I64" s="619">
        <v>150000</v>
      </c>
      <c r="J64" s="619">
        <v>0</v>
      </c>
      <c r="K64" s="619">
        <f t="shared" si="26"/>
        <v>150000</v>
      </c>
    </row>
    <row r="65" spans="1:14" ht="45.75" customHeight="1" thickBot="1" x14ac:dyDescent="0.3">
      <c r="A65" s="974" t="s">
        <v>768</v>
      </c>
      <c r="B65" s="975"/>
      <c r="C65" s="975"/>
      <c r="D65" s="975"/>
      <c r="E65" s="976"/>
      <c r="F65" s="619">
        <v>210000</v>
      </c>
      <c r="G65" s="619">
        <v>0</v>
      </c>
      <c r="H65" s="619">
        <f t="shared" si="25"/>
        <v>210000</v>
      </c>
      <c r="I65" s="619">
        <v>210000</v>
      </c>
      <c r="J65" s="619">
        <v>0</v>
      </c>
      <c r="K65" s="619">
        <f t="shared" si="26"/>
        <v>210000</v>
      </c>
    </row>
    <row r="66" spans="1:14" s="477" customFormat="1" ht="45.75" customHeight="1" thickBot="1" x14ac:dyDescent="0.3">
      <c r="A66" s="965" t="s">
        <v>769</v>
      </c>
      <c r="B66" s="966"/>
      <c r="C66" s="966"/>
      <c r="D66" s="966"/>
      <c r="E66" s="967"/>
      <c r="F66" s="476">
        <v>0</v>
      </c>
      <c r="G66" s="476">
        <v>0</v>
      </c>
      <c r="H66" s="476">
        <f>F66+G66</f>
        <v>0</v>
      </c>
      <c r="I66" s="476">
        <v>0</v>
      </c>
      <c r="J66" s="476">
        <v>0</v>
      </c>
      <c r="K66" s="476">
        <f>I66+J66</f>
        <v>0</v>
      </c>
    </row>
    <row r="67" spans="1:14" s="477" customFormat="1" ht="45.75" customHeight="1" thickBot="1" x14ac:dyDescent="0.3">
      <c r="A67" s="965" t="s">
        <v>770</v>
      </c>
      <c r="B67" s="966"/>
      <c r="C67" s="966"/>
      <c r="D67" s="966"/>
      <c r="E67" s="967"/>
      <c r="F67" s="476">
        <v>0</v>
      </c>
      <c r="G67" s="476">
        <v>0</v>
      </c>
      <c r="H67" s="476">
        <f>F67+G67</f>
        <v>0</v>
      </c>
      <c r="I67" s="476">
        <v>0</v>
      </c>
      <c r="J67" s="476">
        <v>0</v>
      </c>
      <c r="K67" s="476">
        <f>I67+J67</f>
        <v>0</v>
      </c>
    </row>
    <row r="68" spans="1:14" s="477" customFormat="1" ht="45.75" customHeight="1" thickBot="1" x14ac:dyDescent="0.3">
      <c r="A68" s="965" t="s">
        <v>771</v>
      </c>
      <c r="B68" s="966"/>
      <c r="C68" s="966"/>
      <c r="D68" s="966"/>
      <c r="E68" s="967"/>
      <c r="F68" s="476">
        <v>80000</v>
      </c>
      <c r="G68" s="476">
        <f>F68*27%</f>
        <v>21600</v>
      </c>
      <c r="H68" s="476">
        <f>F68+G68</f>
        <v>101600</v>
      </c>
      <c r="I68" s="476">
        <v>0</v>
      </c>
      <c r="J68" s="476">
        <f>I68*27%</f>
        <v>0</v>
      </c>
      <c r="K68" s="476">
        <f>I68+J68</f>
        <v>0</v>
      </c>
    </row>
    <row r="69" spans="1:14" s="307" customFormat="1" thickBot="1" x14ac:dyDescent="0.3">
      <c r="A69" s="971" t="s">
        <v>342</v>
      </c>
      <c r="B69" s="972"/>
      <c r="C69" s="972"/>
      <c r="D69" s="972"/>
      <c r="E69" s="973"/>
      <c r="F69" s="620">
        <f t="shared" ref="F69:H69" si="27">SUM(F52:F68)</f>
        <v>4437500</v>
      </c>
      <c r="G69" s="620">
        <f t="shared" si="27"/>
        <v>291600</v>
      </c>
      <c r="H69" s="620">
        <f t="shared" si="27"/>
        <v>4729100</v>
      </c>
      <c r="I69" s="620">
        <f t="shared" ref="I69:K69" si="28">SUM(I52:I68)</f>
        <v>3751000</v>
      </c>
      <c r="J69" s="620">
        <f t="shared" si="28"/>
        <v>270000</v>
      </c>
      <c r="K69" s="620">
        <f t="shared" si="28"/>
        <v>4021000</v>
      </c>
    </row>
    <row r="70" spans="1:14" s="307" customFormat="1" thickBot="1" x14ac:dyDescent="0.3">
      <c r="A70" s="971" t="s">
        <v>343</v>
      </c>
      <c r="B70" s="972"/>
      <c r="C70" s="972"/>
      <c r="D70" s="972"/>
      <c r="E70" s="973"/>
      <c r="F70" s="620">
        <f t="shared" ref="F70:K70" si="29">F69+F51+F49+F48+F47</f>
        <v>5286700</v>
      </c>
      <c r="G70" s="620">
        <f t="shared" si="29"/>
        <v>515700</v>
      </c>
      <c r="H70" s="620">
        <f t="shared" si="29"/>
        <v>5802400</v>
      </c>
      <c r="I70" s="620">
        <f t="shared" si="29"/>
        <v>4960710</v>
      </c>
      <c r="J70" s="620">
        <f t="shared" si="29"/>
        <v>591437.69999999995</v>
      </c>
      <c r="K70" s="620">
        <f t="shared" si="29"/>
        <v>5552147.7000000002</v>
      </c>
    </row>
    <row r="71" spans="1:14" thickBot="1" x14ac:dyDescent="0.3">
      <c r="A71" s="968" t="s">
        <v>344</v>
      </c>
      <c r="B71" s="969"/>
      <c r="C71" s="969"/>
      <c r="D71" s="969"/>
      <c r="E71" s="970"/>
      <c r="F71" s="619">
        <v>70000</v>
      </c>
      <c r="G71" s="619">
        <v>0</v>
      </c>
      <c r="H71" s="619">
        <f>F71+G71</f>
        <v>70000</v>
      </c>
      <c r="I71" s="619">
        <v>70000</v>
      </c>
      <c r="J71" s="619">
        <v>0</v>
      </c>
      <c r="K71" s="619">
        <f>I71+J71</f>
        <v>70000</v>
      </c>
    </row>
    <row r="72" spans="1:14" thickBot="1" x14ac:dyDescent="0.3">
      <c r="A72" s="968" t="s">
        <v>345</v>
      </c>
      <c r="B72" s="969"/>
      <c r="C72" s="969"/>
      <c r="D72" s="969"/>
      <c r="E72" s="970"/>
      <c r="F72" s="619">
        <v>0</v>
      </c>
      <c r="G72" s="619">
        <v>0</v>
      </c>
      <c r="H72" s="619">
        <f>F72+G72</f>
        <v>0</v>
      </c>
      <c r="I72" s="619">
        <v>0</v>
      </c>
      <c r="J72" s="619">
        <v>0</v>
      </c>
      <c r="K72" s="619">
        <f>I72+J72</f>
        <v>0</v>
      </c>
    </row>
    <row r="73" spans="1:14" s="307" customFormat="1" thickBot="1" x14ac:dyDescent="0.3">
      <c r="A73" s="971" t="s">
        <v>346</v>
      </c>
      <c r="B73" s="972"/>
      <c r="C73" s="972"/>
      <c r="D73" s="972"/>
      <c r="E73" s="973"/>
      <c r="F73" s="620">
        <f t="shared" ref="F73:K73" si="30">F71+F72</f>
        <v>70000</v>
      </c>
      <c r="G73" s="620">
        <f t="shared" si="30"/>
        <v>0</v>
      </c>
      <c r="H73" s="620">
        <f t="shared" si="30"/>
        <v>70000</v>
      </c>
      <c r="I73" s="620">
        <f t="shared" si="30"/>
        <v>70000</v>
      </c>
      <c r="J73" s="620">
        <f t="shared" si="30"/>
        <v>0</v>
      </c>
      <c r="K73" s="620">
        <f t="shared" si="30"/>
        <v>70000</v>
      </c>
    </row>
    <row r="74" spans="1:14" thickBot="1" x14ac:dyDescent="0.3">
      <c r="A74" s="968" t="s">
        <v>347</v>
      </c>
      <c r="B74" s="969"/>
      <c r="C74" s="969"/>
      <c r="D74" s="969"/>
      <c r="E74" s="970"/>
      <c r="F74" s="619">
        <v>0</v>
      </c>
      <c r="G74" s="619">
        <f>G70+G45+G39</f>
        <v>907350</v>
      </c>
      <c r="H74" s="619">
        <f>G74</f>
        <v>907350</v>
      </c>
      <c r="I74" s="619">
        <v>0</v>
      </c>
      <c r="J74" s="619">
        <v>983074</v>
      </c>
      <c r="K74" s="619">
        <f>J74</f>
        <v>983074</v>
      </c>
    </row>
    <row r="75" spans="1:14" thickBot="1" x14ac:dyDescent="0.3">
      <c r="A75" s="968" t="s">
        <v>350</v>
      </c>
      <c r="B75" s="969"/>
      <c r="C75" s="969"/>
      <c r="D75" s="969"/>
      <c r="E75" s="970"/>
      <c r="F75" s="619">
        <v>30000</v>
      </c>
      <c r="G75" s="619">
        <v>0</v>
      </c>
      <c r="H75" s="619">
        <f>F75+G75</f>
        <v>30000</v>
      </c>
      <c r="I75" s="619">
        <v>30000</v>
      </c>
      <c r="J75" s="619">
        <v>0</v>
      </c>
      <c r="K75" s="619">
        <f>I75+J75</f>
        <v>30000</v>
      </c>
    </row>
    <row r="76" spans="1:14" s="307" customFormat="1" thickBot="1" x14ac:dyDescent="0.3">
      <c r="A76" s="971" t="s">
        <v>348</v>
      </c>
      <c r="B76" s="972"/>
      <c r="C76" s="972"/>
      <c r="D76" s="972"/>
      <c r="E76" s="973"/>
      <c r="F76" s="620">
        <f>F74+F75</f>
        <v>30000</v>
      </c>
      <c r="G76" s="620">
        <f t="shared" ref="G76:H76" si="31">G74+G75</f>
        <v>907350</v>
      </c>
      <c r="H76" s="620">
        <f t="shared" si="31"/>
        <v>937350</v>
      </c>
      <c r="I76" s="620">
        <f>I74+I75</f>
        <v>30000</v>
      </c>
      <c r="J76" s="620">
        <f t="shared" ref="J76:K76" si="32">J74+J75</f>
        <v>983074</v>
      </c>
      <c r="K76" s="620">
        <f t="shared" si="32"/>
        <v>1013074</v>
      </c>
    </row>
    <row r="77" spans="1:14" s="307" customFormat="1" thickBot="1" x14ac:dyDescent="0.3">
      <c r="A77" s="971" t="s">
        <v>349</v>
      </c>
      <c r="B77" s="972"/>
      <c r="C77" s="972"/>
      <c r="D77" s="972"/>
      <c r="E77" s="973"/>
      <c r="F77" s="620">
        <f t="shared" ref="F77:K77" si="33">F76+F73+F70+F45+F39</f>
        <v>7551700</v>
      </c>
      <c r="G77" s="620">
        <f>G76</f>
        <v>907350</v>
      </c>
      <c r="H77" s="620">
        <f t="shared" si="33"/>
        <v>9366400</v>
      </c>
      <c r="I77" s="620">
        <f t="shared" si="33"/>
        <v>7225710</v>
      </c>
      <c r="J77" s="620">
        <f>J76</f>
        <v>983074</v>
      </c>
      <c r="K77" s="620">
        <f t="shared" si="33"/>
        <v>9191871.6999999993</v>
      </c>
    </row>
    <row r="78" spans="1:14" s="475" customFormat="1" thickBot="1" x14ac:dyDescent="0.3">
      <c r="A78" s="842" t="s">
        <v>169</v>
      </c>
      <c r="B78" s="843"/>
      <c r="C78" s="843"/>
      <c r="D78" s="843"/>
      <c r="E78" s="844"/>
      <c r="F78" s="476">
        <v>0</v>
      </c>
      <c r="G78" s="476">
        <f t="shared" ref="G78:G84" si="34">F78*27%</f>
        <v>0</v>
      </c>
      <c r="H78" s="476">
        <f>F78+G78</f>
        <v>0</v>
      </c>
      <c r="I78" s="476">
        <v>0</v>
      </c>
      <c r="J78" s="476">
        <f t="shared" ref="J78:J84" si="35">I78*27%</f>
        <v>0</v>
      </c>
      <c r="K78" s="476">
        <f>I78+J78</f>
        <v>0</v>
      </c>
    </row>
    <row r="79" spans="1:14" s="475" customFormat="1" thickBot="1" x14ac:dyDescent="0.3">
      <c r="A79" s="842" t="s">
        <v>635</v>
      </c>
      <c r="B79" s="843"/>
      <c r="C79" s="843"/>
      <c r="D79" s="843"/>
      <c r="E79" s="844"/>
      <c r="F79" s="476">
        <v>0</v>
      </c>
      <c r="G79" s="476">
        <f t="shared" si="34"/>
        <v>0</v>
      </c>
      <c r="H79" s="476">
        <f>F79+G79</f>
        <v>0</v>
      </c>
      <c r="I79" s="476">
        <v>0</v>
      </c>
      <c r="J79" s="476">
        <f t="shared" si="35"/>
        <v>0</v>
      </c>
      <c r="K79" s="476">
        <f>I79+J79</f>
        <v>0</v>
      </c>
      <c r="L79" s="479"/>
      <c r="M79" s="479"/>
      <c r="N79" s="479"/>
    </row>
    <row r="80" spans="1:14" s="475" customFormat="1" thickBot="1" x14ac:dyDescent="0.3">
      <c r="A80" s="842" t="s">
        <v>636</v>
      </c>
      <c r="B80" s="843"/>
      <c r="C80" s="843"/>
      <c r="D80" s="843"/>
      <c r="E80" s="844"/>
      <c r="F80" s="476">
        <v>0</v>
      </c>
      <c r="G80" s="476">
        <f t="shared" si="34"/>
        <v>0</v>
      </c>
      <c r="H80" s="476">
        <f>F80+G80</f>
        <v>0</v>
      </c>
      <c r="I80" s="476">
        <v>0</v>
      </c>
      <c r="J80" s="476">
        <f t="shared" si="35"/>
        <v>0</v>
      </c>
      <c r="K80" s="476">
        <f>I80+J80</f>
        <v>0</v>
      </c>
      <c r="L80" s="479"/>
      <c r="M80" s="479"/>
      <c r="N80" s="479"/>
    </row>
    <row r="81" spans="1:14" s="470" customFormat="1" thickBot="1" x14ac:dyDescent="0.3">
      <c r="A81" s="842" t="s">
        <v>637</v>
      </c>
      <c r="B81" s="843"/>
      <c r="C81" s="843"/>
      <c r="D81" s="843"/>
      <c r="E81" s="844"/>
      <c r="F81" s="476">
        <v>0</v>
      </c>
      <c r="G81" s="476">
        <f t="shared" si="34"/>
        <v>0</v>
      </c>
      <c r="H81" s="476">
        <f>F81+G81</f>
        <v>0</v>
      </c>
      <c r="I81" s="476">
        <v>0</v>
      </c>
      <c r="J81" s="476">
        <f t="shared" si="35"/>
        <v>0</v>
      </c>
      <c r="K81" s="476">
        <f>I81+J81</f>
        <v>0</v>
      </c>
      <c r="N81" s="480"/>
    </row>
    <row r="82" spans="1:14" s="470" customFormat="1" thickBot="1" x14ac:dyDescent="0.3">
      <c r="A82" s="842" t="s">
        <v>772</v>
      </c>
      <c r="B82" s="843"/>
      <c r="C82" s="843"/>
      <c r="D82" s="843"/>
      <c r="E82" s="844"/>
      <c r="F82" s="476">
        <v>0</v>
      </c>
      <c r="G82" s="476">
        <f t="shared" si="34"/>
        <v>0</v>
      </c>
      <c r="H82" s="476">
        <f t="shared" ref="H82:H84" si="36">F82+G82</f>
        <v>0</v>
      </c>
      <c r="I82" s="476">
        <v>0</v>
      </c>
      <c r="J82" s="476">
        <f t="shared" si="35"/>
        <v>0</v>
      </c>
      <c r="K82" s="476">
        <f t="shared" ref="K82:K84" si="37">I82+J82</f>
        <v>0</v>
      </c>
    </row>
    <row r="83" spans="1:14" s="470" customFormat="1" thickBot="1" x14ac:dyDescent="0.3">
      <c r="A83" s="842" t="s">
        <v>773</v>
      </c>
      <c r="B83" s="843"/>
      <c r="C83" s="843"/>
      <c r="D83" s="843"/>
      <c r="E83" s="844"/>
      <c r="F83" s="476">
        <v>0</v>
      </c>
      <c r="G83" s="476">
        <f t="shared" si="34"/>
        <v>0</v>
      </c>
      <c r="H83" s="476">
        <f t="shared" si="36"/>
        <v>0</v>
      </c>
      <c r="I83" s="476">
        <v>0</v>
      </c>
      <c r="J83" s="476">
        <f t="shared" si="35"/>
        <v>0</v>
      </c>
      <c r="K83" s="476">
        <f t="shared" si="37"/>
        <v>0</v>
      </c>
    </row>
    <row r="84" spans="1:14" s="470" customFormat="1" thickBot="1" x14ac:dyDescent="0.3">
      <c r="A84" s="842" t="s">
        <v>774</v>
      </c>
      <c r="B84" s="843"/>
      <c r="C84" s="843"/>
      <c r="D84" s="843"/>
      <c r="E84" s="844"/>
      <c r="F84" s="476">
        <v>0</v>
      </c>
      <c r="G84" s="476">
        <f t="shared" si="34"/>
        <v>0</v>
      </c>
      <c r="H84" s="476">
        <f t="shared" si="36"/>
        <v>0</v>
      </c>
      <c r="I84" s="476">
        <v>0</v>
      </c>
      <c r="J84" s="476">
        <f t="shared" si="35"/>
        <v>0</v>
      </c>
      <c r="K84" s="476">
        <f t="shared" si="37"/>
        <v>0</v>
      </c>
    </row>
    <row r="85" spans="1:14" s="477" customFormat="1" ht="16.5" thickBot="1" x14ac:dyDescent="0.3">
      <c r="A85" s="842" t="s">
        <v>604</v>
      </c>
      <c r="B85" s="843"/>
      <c r="C85" s="843"/>
      <c r="D85" s="843"/>
      <c r="E85" s="844"/>
      <c r="F85" s="476">
        <v>0</v>
      </c>
      <c r="G85" s="476">
        <v>0</v>
      </c>
      <c r="H85" s="476">
        <f>F85+G85</f>
        <v>0</v>
      </c>
      <c r="I85" s="476">
        <v>0</v>
      </c>
      <c r="J85" s="476">
        <v>0</v>
      </c>
      <c r="K85" s="476">
        <f>I85+J85</f>
        <v>0</v>
      </c>
    </row>
    <row r="86" spans="1:14" s="477" customFormat="1" ht="16.5" thickBot="1" x14ac:dyDescent="0.3">
      <c r="A86" s="842" t="s">
        <v>775</v>
      </c>
      <c r="B86" s="843"/>
      <c r="C86" s="843"/>
      <c r="D86" s="843"/>
      <c r="E86" s="844"/>
      <c r="F86" s="476">
        <v>0</v>
      </c>
      <c r="G86" s="476">
        <f t="shared" ref="G86" si="38">F86*27%</f>
        <v>0</v>
      </c>
      <c r="H86" s="476">
        <f t="shared" ref="H86:H94" si="39">F86+G86</f>
        <v>0</v>
      </c>
      <c r="I86" s="476">
        <v>0</v>
      </c>
      <c r="J86" s="476">
        <f t="shared" ref="J86" si="40">I86*27%</f>
        <v>0</v>
      </c>
      <c r="K86" s="476">
        <f t="shared" ref="K86:K94" si="41">I86+J86</f>
        <v>0</v>
      </c>
    </row>
    <row r="87" spans="1:14" s="477" customFormat="1" ht="16.5" thickBot="1" x14ac:dyDescent="0.3">
      <c r="A87" s="842" t="s">
        <v>776</v>
      </c>
      <c r="B87" s="843"/>
      <c r="C87" s="843"/>
      <c r="D87" s="843"/>
      <c r="E87" s="844"/>
      <c r="F87" s="476">
        <v>250000</v>
      </c>
      <c r="G87" s="476">
        <f>F87*27%-1</f>
        <v>67499</v>
      </c>
      <c r="H87" s="476">
        <f t="shared" si="39"/>
        <v>317499</v>
      </c>
      <c r="I87" s="476">
        <v>250000</v>
      </c>
      <c r="J87" s="476">
        <f>I87*27%-1</f>
        <v>67499</v>
      </c>
      <c r="K87" s="476">
        <f t="shared" si="41"/>
        <v>317499</v>
      </c>
    </row>
    <row r="88" spans="1:14" s="477" customFormat="1" ht="16.5" thickBot="1" x14ac:dyDescent="0.3">
      <c r="A88" s="842" t="s">
        <v>777</v>
      </c>
      <c r="B88" s="843"/>
      <c r="C88" s="843"/>
      <c r="D88" s="843"/>
      <c r="E88" s="844"/>
      <c r="F88" s="476">
        <v>20000</v>
      </c>
      <c r="G88" s="476">
        <f>F88*27%</f>
        <v>5400</v>
      </c>
      <c r="H88" s="476">
        <f t="shared" si="39"/>
        <v>25400</v>
      </c>
      <c r="I88" s="476">
        <v>20000</v>
      </c>
      <c r="J88" s="476">
        <f>I88*27%</f>
        <v>5400</v>
      </c>
      <c r="K88" s="476">
        <f t="shared" si="41"/>
        <v>25400</v>
      </c>
    </row>
    <row r="89" spans="1:14" s="477" customFormat="1" ht="16.5" thickBot="1" x14ac:dyDescent="0.3">
      <c r="A89" s="842" t="s">
        <v>778</v>
      </c>
      <c r="B89" s="843"/>
      <c r="C89" s="843"/>
      <c r="D89" s="843"/>
      <c r="E89" s="844"/>
      <c r="F89" s="476">
        <v>20000</v>
      </c>
      <c r="G89" s="476">
        <f>F89*27%</f>
        <v>5400</v>
      </c>
      <c r="H89" s="476">
        <f t="shared" si="39"/>
        <v>25400</v>
      </c>
      <c r="I89" s="476">
        <v>20000</v>
      </c>
      <c r="J89" s="476">
        <f>I89*27%</f>
        <v>5400</v>
      </c>
      <c r="K89" s="476">
        <f t="shared" si="41"/>
        <v>25400</v>
      </c>
    </row>
    <row r="90" spans="1:14" s="477" customFormat="1" ht="16.5" thickBot="1" x14ac:dyDescent="0.3">
      <c r="A90" s="842" t="s">
        <v>779</v>
      </c>
      <c r="B90" s="843"/>
      <c r="C90" s="843"/>
      <c r="D90" s="843"/>
      <c r="E90" s="844"/>
      <c r="F90" s="476">
        <v>0</v>
      </c>
      <c r="G90" s="476">
        <f>F90*27%</f>
        <v>0</v>
      </c>
      <c r="H90" s="476">
        <f t="shared" si="39"/>
        <v>0</v>
      </c>
      <c r="I90" s="476">
        <v>0</v>
      </c>
      <c r="J90" s="476">
        <f>I90*27%</f>
        <v>0</v>
      </c>
      <c r="K90" s="476">
        <f t="shared" si="41"/>
        <v>0</v>
      </c>
    </row>
    <row r="91" spans="1:14" s="477" customFormat="1" ht="16.5" thickBot="1" x14ac:dyDescent="0.3">
      <c r="A91" s="842" t="s">
        <v>780</v>
      </c>
      <c r="B91" s="843"/>
      <c r="C91" s="843"/>
      <c r="D91" s="843"/>
      <c r="E91" s="844"/>
      <c r="F91" s="476">
        <v>20000</v>
      </c>
      <c r="G91" s="476">
        <f>F91*27%</f>
        <v>5400</v>
      </c>
      <c r="H91" s="476">
        <f t="shared" si="39"/>
        <v>25400</v>
      </c>
      <c r="I91" s="476">
        <v>20000</v>
      </c>
      <c r="J91" s="476">
        <f>I91*27%</f>
        <v>5400</v>
      </c>
      <c r="K91" s="476">
        <f t="shared" si="41"/>
        <v>25400</v>
      </c>
    </row>
    <row r="92" spans="1:14" s="477" customFormat="1" ht="16.5" thickBot="1" x14ac:dyDescent="0.3">
      <c r="A92" s="842" t="s">
        <v>781</v>
      </c>
      <c r="B92" s="843"/>
      <c r="C92" s="843"/>
      <c r="D92" s="843"/>
      <c r="E92" s="844"/>
      <c r="F92" s="476">
        <v>7079</v>
      </c>
      <c r="G92" s="476">
        <f>F92*27%</f>
        <v>1911.3300000000002</v>
      </c>
      <c r="H92" s="476">
        <f t="shared" si="39"/>
        <v>8990.33</v>
      </c>
      <c r="I92" s="476">
        <v>7079</v>
      </c>
      <c r="J92" s="476">
        <f>I92*27%</f>
        <v>1911.3300000000002</v>
      </c>
      <c r="K92" s="476">
        <f t="shared" si="41"/>
        <v>8990.33</v>
      </c>
    </row>
    <row r="93" spans="1:14" s="475" customFormat="1" thickBot="1" x14ac:dyDescent="0.3">
      <c r="A93" s="828" t="s">
        <v>351</v>
      </c>
      <c r="B93" s="829"/>
      <c r="C93" s="829"/>
      <c r="D93" s="829"/>
      <c r="E93" s="830"/>
      <c r="F93" s="427">
        <f>SUM(F78:F92)</f>
        <v>317079</v>
      </c>
      <c r="G93" s="427">
        <f t="shared" ref="G93:H93" si="42">SUM(G78:G92)</f>
        <v>85610.33</v>
      </c>
      <c r="H93" s="427">
        <f t="shared" si="42"/>
        <v>402689.33</v>
      </c>
      <c r="I93" s="427">
        <f>SUM(I78:I92)</f>
        <v>317079</v>
      </c>
      <c r="J93" s="427">
        <f t="shared" ref="J93:K93" si="43">SUM(J78:J92)</f>
        <v>85610.33</v>
      </c>
      <c r="K93" s="427">
        <f t="shared" si="43"/>
        <v>402689.33</v>
      </c>
    </row>
    <row r="94" spans="1:14" s="477" customFormat="1" ht="32.25" customHeight="1" thickBot="1" x14ac:dyDescent="0.3">
      <c r="A94" s="965" t="s">
        <v>782</v>
      </c>
      <c r="B94" s="966"/>
      <c r="C94" s="966"/>
      <c r="D94" s="966"/>
      <c r="E94" s="967"/>
      <c r="F94" s="476">
        <v>0</v>
      </c>
      <c r="G94" s="476">
        <v>0</v>
      </c>
      <c r="H94" s="476">
        <f t="shared" si="39"/>
        <v>0</v>
      </c>
      <c r="I94" s="476">
        <v>0</v>
      </c>
      <c r="J94" s="476">
        <v>0</v>
      </c>
      <c r="K94" s="476">
        <f t="shared" si="41"/>
        <v>0</v>
      </c>
    </row>
    <row r="95" spans="1:14" s="475" customFormat="1" thickBot="1" x14ac:dyDescent="0.3">
      <c r="A95" s="828" t="s">
        <v>783</v>
      </c>
      <c r="B95" s="829"/>
      <c r="C95" s="829"/>
      <c r="D95" s="829"/>
      <c r="E95" s="830"/>
      <c r="F95" s="427">
        <f>F86+F94</f>
        <v>0</v>
      </c>
      <c r="G95" s="427">
        <f t="shared" ref="G95:H95" si="44">G86+G94</f>
        <v>0</v>
      </c>
      <c r="H95" s="427">
        <f t="shared" si="44"/>
        <v>0</v>
      </c>
      <c r="I95" s="427">
        <f>I86+I94</f>
        <v>0</v>
      </c>
      <c r="J95" s="427">
        <f t="shared" ref="J95:K95" si="45">J86+J94</f>
        <v>0</v>
      </c>
      <c r="K95" s="427">
        <f t="shared" si="45"/>
        <v>0</v>
      </c>
    </row>
    <row r="96" spans="1:14" s="475" customFormat="1" thickBot="1" x14ac:dyDescent="0.3">
      <c r="A96" s="828" t="s">
        <v>352</v>
      </c>
      <c r="B96" s="829"/>
      <c r="C96" s="829"/>
      <c r="D96" s="829"/>
      <c r="E96" s="830"/>
      <c r="F96" s="427"/>
      <c r="G96" s="427">
        <f>G93</f>
        <v>85610.33</v>
      </c>
      <c r="H96" s="427">
        <f t="shared" ref="H96" si="46">F96+G96</f>
        <v>85610.33</v>
      </c>
      <c r="I96" s="427"/>
      <c r="J96" s="427">
        <f>J93</f>
        <v>85610.33</v>
      </c>
      <c r="K96" s="427">
        <f t="shared" ref="K96" si="47">I96+J96</f>
        <v>85610.33</v>
      </c>
    </row>
    <row r="97" spans="1:13" s="481" customFormat="1" ht="19.5" thickBot="1" x14ac:dyDescent="0.35">
      <c r="A97" s="828" t="s">
        <v>353</v>
      </c>
      <c r="B97" s="829"/>
      <c r="C97" s="829"/>
      <c r="D97" s="829"/>
      <c r="E97" s="830"/>
      <c r="F97" s="427">
        <f>F95+F93+F77+F18</f>
        <v>12761795</v>
      </c>
      <c r="G97" s="427">
        <f>G96+G74</f>
        <v>992960.33</v>
      </c>
      <c r="H97" s="427">
        <f>H95+H93+H77+H18-G77</f>
        <v>13754755.33</v>
      </c>
      <c r="I97" s="427">
        <f>I95+I93+I77+I18</f>
        <v>11872229</v>
      </c>
      <c r="J97" s="427">
        <f>J96+J74</f>
        <v>1068684.33</v>
      </c>
      <c r="K97" s="427">
        <f>K95+K93+K77+K18-J77</f>
        <v>12940927.029999999</v>
      </c>
      <c r="M97" s="623"/>
    </row>
  </sheetData>
  <mergeCells count="96">
    <mergeCell ref="A8:E8"/>
    <mergeCell ref="A5:E5"/>
    <mergeCell ref="A6:E6"/>
    <mergeCell ref="A7:E7"/>
    <mergeCell ref="A20:E20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32:E32"/>
    <mergeCell ref="A21:E21"/>
    <mergeCell ref="A22:E22"/>
    <mergeCell ref="A23:E23"/>
    <mergeCell ref="A24:E24"/>
    <mergeCell ref="A25:E25"/>
    <mergeCell ref="A26:E26"/>
    <mergeCell ref="A27:E27"/>
    <mergeCell ref="A28:E28"/>
    <mergeCell ref="A29:E29"/>
    <mergeCell ref="A30:E30"/>
    <mergeCell ref="A31:E31"/>
    <mergeCell ref="A44:E44"/>
    <mergeCell ref="A33:E33"/>
    <mergeCell ref="A34:E34"/>
    <mergeCell ref="A35:E35"/>
    <mergeCell ref="A36:E36"/>
    <mergeCell ref="A37:E37"/>
    <mergeCell ref="A38:E38"/>
    <mergeCell ref="A39:E39"/>
    <mergeCell ref="A40:E40"/>
    <mergeCell ref="A41:E41"/>
    <mergeCell ref="A42:E42"/>
    <mergeCell ref="A43:E43"/>
    <mergeCell ref="A62:E62"/>
    <mergeCell ref="A56:E56"/>
    <mergeCell ref="A45:E45"/>
    <mergeCell ref="A46:E46"/>
    <mergeCell ref="A47:E47"/>
    <mergeCell ref="A48:E48"/>
    <mergeCell ref="A49:E49"/>
    <mergeCell ref="A50:E50"/>
    <mergeCell ref="A51:E51"/>
    <mergeCell ref="A52:E52"/>
    <mergeCell ref="A53:E53"/>
    <mergeCell ref="A54:E54"/>
    <mergeCell ref="A55:E55"/>
    <mergeCell ref="A57:E57"/>
    <mergeCell ref="A58:E58"/>
    <mergeCell ref="A59:E59"/>
    <mergeCell ref="A60:E60"/>
    <mergeCell ref="A61:E61"/>
    <mergeCell ref="A75:E75"/>
    <mergeCell ref="A76:E76"/>
    <mergeCell ref="A77:E77"/>
    <mergeCell ref="A78:E78"/>
    <mergeCell ref="F4:H4"/>
    <mergeCell ref="A70:E70"/>
    <mergeCell ref="A71:E71"/>
    <mergeCell ref="A72:E72"/>
    <mergeCell ref="A73:E73"/>
    <mergeCell ref="A69:E69"/>
    <mergeCell ref="A64:E64"/>
    <mergeCell ref="A65:E65"/>
    <mergeCell ref="A66:E66"/>
    <mergeCell ref="A67:E67"/>
    <mergeCell ref="A68:E68"/>
    <mergeCell ref="A63:E63"/>
    <mergeCell ref="A97:E97"/>
    <mergeCell ref="A89:E89"/>
    <mergeCell ref="A90:E90"/>
    <mergeCell ref="A91:E91"/>
    <mergeCell ref="A92:E92"/>
    <mergeCell ref="A93:E93"/>
    <mergeCell ref="B2:H2"/>
    <mergeCell ref="I4:K4"/>
    <mergeCell ref="A94:E94"/>
    <mergeCell ref="A95:E95"/>
    <mergeCell ref="A96:E96"/>
    <mergeCell ref="A84:E84"/>
    <mergeCell ref="A85:E85"/>
    <mergeCell ref="A86:E86"/>
    <mergeCell ref="A87:E87"/>
    <mergeCell ref="A88:E88"/>
    <mergeCell ref="A79:E79"/>
    <mergeCell ref="A80:E80"/>
    <mergeCell ref="A81:E81"/>
    <mergeCell ref="A82:E82"/>
    <mergeCell ref="A83:E83"/>
    <mergeCell ref="A74:E7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7030A0"/>
  </sheetPr>
  <dimension ref="A1:Q40"/>
  <sheetViews>
    <sheetView topLeftCell="A28" workbookViewId="0">
      <selection activeCell="N20" sqref="N20"/>
    </sheetView>
  </sheetViews>
  <sheetFormatPr defaultRowHeight="15" x14ac:dyDescent="0.25"/>
  <cols>
    <col min="2" max="2" width="12.42578125" bestFit="1" customWidth="1"/>
    <col min="7" max="7" width="4.5703125" customWidth="1"/>
    <col min="8" max="8" width="10.28515625" hidden="1" customWidth="1"/>
    <col min="9" max="9" width="3.140625" hidden="1" customWidth="1"/>
    <col min="10" max="10" width="3.7109375" hidden="1" customWidth="1"/>
    <col min="11" max="11" width="0.5703125" hidden="1" customWidth="1"/>
    <col min="12" max="12" width="17" style="306" bestFit="1" customWidth="1"/>
    <col min="13" max="13" width="15.42578125" bestFit="1" customWidth="1"/>
    <col min="14" max="14" width="14.85546875" bestFit="1" customWidth="1"/>
    <col min="15" max="15" width="16.85546875" bestFit="1" customWidth="1"/>
    <col min="16" max="16" width="15.42578125" bestFit="1" customWidth="1"/>
    <col min="17" max="17" width="17.28515625" bestFit="1" customWidth="1"/>
    <col min="255" max="255" width="12.42578125" bestFit="1" customWidth="1"/>
    <col min="265" max="265" width="17" bestFit="1" customWidth="1"/>
    <col min="266" max="266" width="15.42578125" bestFit="1" customWidth="1"/>
    <col min="267" max="267" width="14.85546875" bestFit="1" customWidth="1"/>
    <col min="511" max="511" width="12.42578125" bestFit="1" customWidth="1"/>
    <col min="521" max="521" width="17" bestFit="1" customWidth="1"/>
    <col min="522" max="522" width="15.42578125" bestFit="1" customWidth="1"/>
    <col min="523" max="523" width="14.85546875" bestFit="1" customWidth="1"/>
    <col min="767" max="767" width="12.42578125" bestFit="1" customWidth="1"/>
    <col min="777" max="777" width="17" bestFit="1" customWidth="1"/>
    <col min="778" max="778" width="15.42578125" bestFit="1" customWidth="1"/>
    <col min="779" max="779" width="14.85546875" bestFit="1" customWidth="1"/>
    <col min="1023" max="1023" width="12.42578125" bestFit="1" customWidth="1"/>
    <col min="1033" max="1033" width="17" bestFit="1" customWidth="1"/>
    <col min="1034" max="1034" width="15.42578125" bestFit="1" customWidth="1"/>
    <col min="1035" max="1035" width="14.85546875" bestFit="1" customWidth="1"/>
    <col min="1279" max="1279" width="12.42578125" bestFit="1" customWidth="1"/>
    <col min="1289" max="1289" width="17" bestFit="1" customWidth="1"/>
    <col min="1290" max="1290" width="15.42578125" bestFit="1" customWidth="1"/>
    <col min="1291" max="1291" width="14.85546875" bestFit="1" customWidth="1"/>
    <col min="1535" max="1535" width="12.42578125" bestFit="1" customWidth="1"/>
    <col min="1545" max="1545" width="17" bestFit="1" customWidth="1"/>
    <col min="1546" max="1546" width="15.42578125" bestFit="1" customWidth="1"/>
    <col min="1547" max="1547" width="14.85546875" bestFit="1" customWidth="1"/>
    <col min="1791" max="1791" width="12.42578125" bestFit="1" customWidth="1"/>
    <col min="1801" max="1801" width="17" bestFit="1" customWidth="1"/>
    <col min="1802" max="1802" width="15.42578125" bestFit="1" customWidth="1"/>
    <col min="1803" max="1803" width="14.85546875" bestFit="1" customWidth="1"/>
    <col min="2047" max="2047" width="12.42578125" bestFit="1" customWidth="1"/>
    <col min="2057" max="2057" width="17" bestFit="1" customWidth="1"/>
    <col min="2058" max="2058" width="15.42578125" bestFit="1" customWidth="1"/>
    <col min="2059" max="2059" width="14.85546875" bestFit="1" customWidth="1"/>
    <col min="2303" max="2303" width="12.42578125" bestFit="1" customWidth="1"/>
    <col min="2313" max="2313" width="17" bestFit="1" customWidth="1"/>
    <col min="2314" max="2314" width="15.42578125" bestFit="1" customWidth="1"/>
    <col min="2315" max="2315" width="14.85546875" bestFit="1" customWidth="1"/>
    <col min="2559" max="2559" width="12.42578125" bestFit="1" customWidth="1"/>
    <col min="2569" max="2569" width="17" bestFit="1" customWidth="1"/>
    <col min="2570" max="2570" width="15.42578125" bestFit="1" customWidth="1"/>
    <col min="2571" max="2571" width="14.85546875" bestFit="1" customWidth="1"/>
    <col min="2815" max="2815" width="12.42578125" bestFit="1" customWidth="1"/>
    <col min="2825" max="2825" width="17" bestFit="1" customWidth="1"/>
    <col min="2826" max="2826" width="15.42578125" bestFit="1" customWidth="1"/>
    <col min="2827" max="2827" width="14.85546875" bestFit="1" customWidth="1"/>
    <col min="3071" max="3071" width="12.42578125" bestFit="1" customWidth="1"/>
    <col min="3081" max="3081" width="17" bestFit="1" customWidth="1"/>
    <col min="3082" max="3082" width="15.42578125" bestFit="1" customWidth="1"/>
    <col min="3083" max="3083" width="14.85546875" bestFit="1" customWidth="1"/>
    <col min="3327" max="3327" width="12.42578125" bestFit="1" customWidth="1"/>
    <col min="3337" max="3337" width="17" bestFit="1" customWidth="1"/>
    <col min="3338" max="3338" width="15.42578125" bestFit="1" customWidth="1"/>
    <col min="3339" max="3339" width="14.85546875" bestFit="1" customWidth="1"/>
    <col min="3583" max="3583" width="12.42578125" bestFit="1" customWidth="1"/>
    <col min="3593" max="3593" width="17" bestFit="1" customWidth="1"/>
    <col min="3594" max="3594" width="15.42578125" bestFit="1" customWidth="1"/>
    <col min="3595" max="3595" width="14.85546875" bestFit="1" customWidth="1"/>
    <col min="3839" max="3839" width="12.42578125" bestFit="1" customWidth="1"/>
    <col min="3849" max="3849" width="17" bestFit="1" customWidth="1"/>
    <col min="3850" max="3850" width="15.42578125" bestFit="1" customWidth="1"/>
    <col min="3851" max="3851" width="14.85546875" bestFit="1" customWidth="1"/>
    <col min="4095" max="4095" width="12.42578125" bestFit="1" customWidth="1"/>
    <col min="4105" max="4105" width="17" bestFit="1" customWidth="1"/>
    <col min="4106" max="4106" width="15.42578125" bestFit="1" customWidth="1"/>
    <col min="4107" max="4107" width="14.85546875" bestFit="1" customWidth="1"/>
    <col min="4351" max="4351" width="12.42578125" bestFit="1" customWidth="1"/>
    <col min="4361" max="4361" width="17" bestFit="1" customWidth="1"/>
    <col min="4362" max="4362" width="15.42578125" bestFit="1" customWidth="1"/>
    <col min="4363" max="4363" width="14.85546875" bestFit="1" customWidth="1"/>
    <col min="4607" max="4607" width="12.42578125" bestFit="1" customWidth="1"/>
    <col min="4617" max="4617" width="17" bestFit="1" customWidth="1"/>
    <col min="4618" max="4618" width="15.42578125" bestFit="1" customWidth="1"/>
    <col min="4619" max="4619" width="14.85546875" bestFit="1" customWidth="1"/>
    <col min="4863" max="4863" width="12.42578125" bestFit="1" customWidth="1"/>
    <col min="4873" max="4873" width="17" bestFit="1" customWidth="1"/>
    <col min="4874" max="4874" width="15.42578125" bestFit="1" customWidth="1"/>
    <col min="4875" max="4875" width="14.85546875" bestFit="1" customWidth="1"/>
    <col min="5119" max="5119" width="12.42578125" bestFit="1" customWidth="1"/>
    <col min="5129" max="5129" width="17" bestFit="1" customWidth="1"/>
    <col min="5130" max="5130" width="15.42578125" bestFit="1" customWidth="1"/>
    <col min="5131" max="5131" width="14.85546875" bestFit="1" customWidth="1"/>
    <col min="5375" max="5375" width="12.42578125" bestFit="1" customWidth="1"/>
    <col min="5385" max="5385" width="17" bestFit="1" customWidth="1"/>
    <col min="5386" max="5386" width="15.42578125" bestFit="1" customWidth="1"/>
    <col min="5387" max="5387" width="14.85546875" bestFit="1" customWidth="1"/>
    <col min="5631" max="5631" width="12.42578125" bestFit="1" customWidth="1"/>
    <col min="5641" max="5641" width="17" bestFit="1" customWidth="1"/>
    <col min="5642" max="5642" width="15.42578125" bestFit="1" customWidth="1"/>
    <col min="5643" max="5643" width="14.85546875" bestFit="1" customWidth="1"/>
    <col min="5887" max="5887" width="12.42578125" bestFit="1" customWidth="1"/>
    <col min="5897" max="5897" width="17" bestFit="1" customWidth="1"/>
    <col min="5898" max="5898" width="15.42578125" bestFit="1" customWidth="1"/>
    <col min="5899" max="5899" width="14.85546875" bestFit="1" customWidth="1"/>
    <col min="6143" max="6143" width="12.42578125" bestFit="1" customWidth="1"/>
    <col min="6153" max="6153" width="17" bestFit="1" customWidth="1"/>
    <col min="6154" max="6154" width="15.42578125" bestFit="1" customWidth="1"/>
    <col min="6155" max="6155" width="14.85546875" bestFit="1" customWidth="1"/>
    <col min="6399" max="6399" width="12.42578125" bestFit="1" customWidth="1"/>
    <col min="6409" max="6409" width="17" bestFit="1" customWidth="1"/>
    <col min="6410" max="6410" width="15.42578125" bestFit="1" customWidth="1"/>
    <col min="6411" max="6411" width="14.85546875" bestFit="1" customWidth="1"/>
    <col min="6655" max="6655" width="12.42578125" bestFit="1" customWidth="1"/>
    <col min="6665" max="6665" width="17" bestFit="1" customWidth="1"/>
    <col min="6666" max="6666" width="15.42578125" bestFit="1" customWidth="1"/>
    <col min="6667" max="6667" width="14.85546875" bestFit="1" customWidth="1"/>
    <col min="6911" max="6911" width="12.42578125" bestFit="1" customWidth="1"/>
    <col min="6921" max="6921" width="17" bestFit="1" customWidth="1"/>
    <col min="6922" max="6922" width="15.42578125" bestFit="1" customWidth="1"/>
    <col min="6923" max="6923" width="14.85546875" bestFit="1" customWidth="1"/>
    <col min="7167" max="7167" width="12.42578125" bestFit="1" customWidth="1"/>
    <col min="7177" max="7177" width="17" bestFit="1" customWidth="1"/>
    <col min="7178" max="7178" width="15.42578125" bestFit="1" customWidth="1"/>
    <col min="7179" max="7179" width="14.85546875" bestFit="1" customWidth="1"/>
    <col min="7423" max="7423" width="12.42578125" bestFit="1" customWidth="1"/>
    <col min="7433" max="7433" width="17" bestFit="1" customWidth="1"/>
    <col min="7434" max="7434" width="15.42578125" bestFit="1" customWidth="1"/>
    <col min="7435" max="7435" width="14.85546875" bestFit="1" customWidth="1"/>
    <col min="7679" max="7679" width="12.42578125" bestFit="1" customWidth="1"/>
    <col min="7689" max="7689" width="17" bestFit="1" customWidth="1"/>
    <col min="7690" max="7690" width="15.42578125" bestFit="1" customWidth="1"/>
    <col min="7691" max="7691" width="14.85546875" bestFit="1" customWidth="1"/>
    <col min="7935" max="7935" width="12.42578125" bestFit="1" customWidth="1"/>
    <col min="7945" max="7945" width="17" bestFit="1" customWidth="1"/>
    <col min="7946" max="7946" width="15.42578125" bestFit="1" customWidth="1"/>
    <col min="7947" max="7947" width="14.85546875" bestFit="1" customWidth="1"/>
    <col min="8191" max="8191" width="12.42578125" bestFit="1" customWidth="1"/>
    <col min="8201" max="8201" width="17" bestFit="1" customWidth="1"/>
    <col min="8202" max="8202" width="15.42578125" bestFit="1" customWidth="1"/>
    <col min="8203" max="8203" width="14.85546875" bestFit="1" customWidth="1"/>
    <col min="8447" max="8447" width="12.42578125" bestFit="1" customWidth="1"/>
    <col min="8457" max="8457" width="17" bestFit="1" customWidth="1"/>
    <col min="8458" max="8458" width="15.42578125" bestFit="1" customWidth="1"/>
    <col min="8459" max="8459" width="14.85546875" bestFit="1" customWidth="1"/>
    <col min="8703" max="8703" width="12.42578125" bestFit="1" customWidth="1"/>
    <col min="8713" max="8713" width="17" bestFit="1" customWidth="1"/>
    <col min="8714" max="8714" width="15.42578125" bestFit="1" customWidth="1"/>
    <col min="8715" max="8715" width="14.85546875" bestFit="1" customWidth="1"/>
    <col min="8959" max="8959" width="12.42578125" bestFit="1" customWidth="1"/>
    <col min="8969" max="8969" width="17" bestFit="1" customWidth="1"/>
    <col min="8970" max="8970" width="15.42578125" bestFit="1" customWidth="1"/>
    <col min="8971" max="8971" width="14.85546875" bestFit="1" customWidth="1"/>
    <col min="9215" max="9215" width="12.42578125" bestFit="1" customWidth="1"/>
    <col min="9225" max="9225" width="17" bestFit="1" customWidth="1"/>
    <col min="9226" max="9226" width="15.42578125" bestFit="1" customWidth="1"/>
    <col min="9227" max="9227" width="14.85546875" bestFit="1" customWidth="1"/>
    <col min="9471" max="9471" width="12.42578125" bestFit="1" customWidth="1"/>
    <col min="9481" max="9481" width="17" bestFit="1" customWidth="1"/>
    <col min="9482" max="9482" width="15.42578125" bestFit="1" customWidth="1"/>
    <col min="9483" max="9483" width="14.85546875" bestFit="1" customWidth="1"/>
    <col min="9727" max="9727" width="12.42578125" bestFit="1" customWidth="1"/>
    <col min="9737" max="9737" width="17" bestFit="1" customWidth="1"/>
    <col min="9738" max="9738" width="15.42578125" bestFit="1" customWidth="1"/>
    <col min="9739" max="9739" width="14.85546875" bestFit="1" customWidth="1"/>
    <col min="9983" max="9983" width="12.42578125" bestFit="1" customWidth="1"/>
    <col min="9993" max="9993" width="17" bestFit="1" customWidth="1"/>
    <col min="9994" max="9994" width="15.42578125" bestFit="1" customWidth="1"/>
    <col min="9995" max="9995" width="14.85546875" bestFit="1" customWidth="1"/>
    <col min="10239" max="10239" width="12.42578125" bestFit="1" customWidth="1"/>
    <col min="10249" max="10249" width="17" bestFit="1" customWidth="1"/>
    <col min="10250" max="10250" width="15.42578125" bestFit="1" customWidth="1"/>
    <col min="10251" max="10251" width="14.85546875" bestFit="1" customWidth="1"/>
    <col min="10495" max="10495" width="12.42578125" bestFit="1" customWidth="1"/>
    <col min="10505" max="10505" width="17" bestFit="1" customWidth="1"/>
    <col min="10506" max="10506" width="15.42578125" bestFit="1" customWidth="1"/>
    <col min="10507" max="10507" width="14.85546875" bestFit="1" customWidth="1"/>
    <col min="10751" max="10751" width="12.42578125" bestFit="1" customWidth="1"/>
    <col min="10761" max="10761" width="17" bestFit="1" customWidth="1"/>
    <col min="10762" max="10762" width="15.42578125" bestFit="1" customWidth="1"/>
    <col min="10763" max="10763" width="14.85546875" bestFit="1" customWidth="1"/>
    <col min="11007" max="11007" width="12.42578125" bestFit="1" customWidth="1"/>
    <col min="11017" max="11017" width="17" bestFit="1" customWidth="1"/>
    <col min="11018" max="11018" width="15.42578125" bestFit="1" customWidth="1"/>
    <col min="11019" max="11019" width="14.85546875" bestFit="1" customWidth="1"/>
    <col min="11263" max="11263" width="12.42578125" bestFit="1" customWidth="1"/>
    <col min="11273" max="11273" width="17" bestFit="1" customWidth="1"/>
    <col min="11274" max="11274" width="15.42578125" bestFit="1" customWidth="1"/>
    <col min="11275" max="11275" width="14.85546875" bestFit="1" customWidth="1"/>
    <col min="11519" max="11519" width="12.42578125" bestFit="1" customWidth="1"/>
    <col min="11529" max="11529" width="17" bestFit="1" customWidth="1"/>
    <col min="11530" max="11530" width="15.42578125" bestFit="1" customWidth="1"/>
    <col min="11531" max="11531" width="14.85546875" bestFit="1" customWidth="1"/>
    <col min="11775" max="11775" width="12.42578125" bestFit="1" customWidth="1"/>
    <col min="11785" max="11785" width="17" bestFit="1" customWidth="1"/>
    <col min="11786" max="11786" width="15.42578125" bestFit="1" customWidth="1"/>
    <col min="11787" max="11787" width="14.85546875" bestFit="1" customWidth="1"/>
    <col min="12031" max="12031" width="12.42578125" bestFit="1" customWidth="1"/>
    <col min="12041" max="12041" width="17" bestFit="1" customWidth="1"/>
    <col min="12042" max="12042" width="15.42578125" bestFit="1" customWidth="1"/>
    <col min="12043" max="12043" width="14.85546875" bestFit="1" customWidth="1"/>
    <col min="12287" max="12287" width="12.42578125" bestFit="1" customWidth="1"/>
    <col min="12297" max="12297" width="17" bestFit="1" customWidth="1"/>
    <col min="12298" max="12298" width="15.42578125" bestFit="1" customWidth="1"/>
    <col min="12299" max="12299" width="14.85546875" bestFit="1" customWidth="1"/>
    <col min="12543" max="12543" width="12.42578125" bestFit="1" customWidth="1"/>
    <col min="12553" max="12553" width="17" bestFit="1" customWidth="1"/>
    <col min="12554" max="12554" width="15.42578125" bestFit="1" customWidth="1"/>
    <col min="12555" max="12555" width="14.85546875" bestFit="1" customWidth="1"/>
    <col min="12799" max="12799" width="12.42578125" bestFit="1" customWidth="1"/>
    <col min="12809" max="12809" width="17" bestFit="1" customWidth="1"/>
    <col min="12810" max="12810" width="15.42578125" bestFit="1" customWidth="1"/>
    <col min="12811" max="12811" width="14.85546875" bestFit="1" customWidth="1"/>
    <col min="13055" max="13055" width="12.42578125" bestFit="1" customWidth="1"/>
    <col min="13065" max="13065" width="17" bestFit="1" customWidth="1"/>
    <col min="13066" max="13066" width="15.42578125" bestFit="1" customWidth="1"/>
    <col min="13067" max="13067" width="14.85546875" bestFit="1" customWidth="1"/>
    <col min="13311" max="13311" width="12.42578125" bestFit="1" customWidth="1"/>
    <col min="13321" max="13321" width="17" bestFit="1" customWidth="1"/>
    <col min="13322" max="13322" width="15.42578125" bestFit="1" customWidth="1"/>
    <col min="13323" max="13323" width="14.85546875" bestFit="1" customWidth="1"/>
    <col min="13567" max="13567" width="12.42578125" bestFit="1" customWidth="1"/>
    <col min="13577" max="13577" width="17" bestFit="1" customWidth="1"/>
    <col min="13578" max="13578" width="15.42578125" bestFit="1" customWidth="1"/>
    <col min="13579" max="13579" width="14.85546875" bestFit="1" customWidth="1"/>
    <col min="13823" max="13823" width="12.42578125" bestFit="1" customWidth="1"/>
    <col min="13833" max="13833" width="17" bestFit="1" customWidth="1"/>
    <col min="13834" max="13834" width="15.42578125" bestFit="1" customWidth="1"/>
    <col min="13835" max="13835" width="14.85546875" bestFit="1" customWidth="1"/>
    <col min="14079" max="14079" width="12.42578125" bestFit="1" customWidth="1"/>
    <col min="14089" max="14089" width="17" bestFit="1" customWidth="1"/>
    <col min="14090" max="14090" width="15.42578125" bestFit="1" customWidth="1"/>
    <col min="14091" max="14091" width="14.85546875" bestFit="1" customWidth="1"/>
    <col min="14335" max="14335" width="12.42578125" bestFit="1" customWidth="1"/>
    <col min="14345" max="14345" width="17" bestFit="1" customWidth="1"/>
    <col min="14346" max="14346" width="15.42578125" bestFit="1" customWidth="1"/>
    <col min="14347" max="14347" width="14.85546875" bestFit="1" customWidth="1"/>
    <col min="14591" max="14591" width="12.42578125" bestFit="1" customWidth="1"/>
    <col min="14601" max="14601" width="17" bestFit="1" customWidth="1"/>
    <col min="14602" max="14602" width="15.42578125" bestFit="1" customWidth="1"/>
    <col min="14603" max="14603" width="14.85546875" bestFit="1" customWidth="1"/>
    <col min="14847" max="14847" width="12.42578125" bestFit="1" customWidth="1"/>
    <col min="14857" max="14857" width="17" bestFit="1" customWidth="1"/>
    <col min="14858" max="14858" width="15.42578125" bestFit="1" customWidth="1"/>
    <col min="14859" max="14859" width="14.85546875" bestFit="1" customWidth="1"/>
    <col min="15103" max="15103" width="12.42578125" bestFit="1" customWidth="1"/>
    <col min="15113" max="15113" width="17" bestFit="1" customWidth="1"/>
    <col min="15114" max="15114" width="15.42578125" bestFit="1" customWidth="1"/>
    <col min="15115" max="15115" width="14.85546875" bestFit="1" customWidth="1"/>
    <col min="15359" max="15359" width="12.42578125" bestFit="1" customWidth="1"/>
    <col min="15369" max="15369" width="17" bestFit="1" customWidth="1"/>
    <col min="15370" max="15370" width="15.42578125" bestFit="1" customWidth="1"/>
    <col min="15371" max="15371" width="14.85546875" bestFit="1" customWidth="1"/>
    <col min="15615" max="15615" width="12.42578125" bestFit="1" customWidth="1"/>
    <col min="15625" max="15625" width="17" bestFit="1" customWidth="1"/>
    <col min="15626" max="15626" width="15.42578125" bestFit="1" customWidth="1"/>
    <col min="15627" max="15627" width="14.85546875" bestFit="1" customWidth="1"/>
    <col min="15871" max="15871" width="12.42578125" bestFit="1" customWidth="1"/>
    <col min="15881" max="15881" width="17" bestFit="1" customWidth="1"/>
    <col min="15882" max="15882" width="15.42578125" bestFit="1" customWidth="1"/>
    <col min="15883" max="15883" width="14.85546875" bestFit="1" customWidth="1"/>
    <col min="16127" max="16127" width="12.42578125" bestFit="1" customWidth="1"/>
    <col min="16137" max="16137" width="17" bestFit="1" customWidth="1"/>
    <col min="16138" max="16138" width="15.42578125" bestFit="1" customWidth="1"/>
    <col min="16139" max="16139" width="14.85546875" bestFit="1" customWidth="1"/>
  </cols>
  <sheetData>
    <row r="1" spans="1:17" s="312" customFormat="1" ht="15.75" x14ac:dyDescent="0.25">
      <c r="B1" s="991" t="s">
        <v>784</v>
      </c>
      <c r="C1" s="991"/>
      <c r="D1" s="991"/>
      <c r="E1" s="991"/>
      <c r="F1" s="991"/>
      <c r="G1" s="991"/>
      <c r="H1" s="991"/>
      <c r="I1" s="991"/>
      <c r="J1" s="991"/>
      <c r="K1" s="991"/>
      <c r="L1" s="991"/>
      <c r="M1" s="991"/>
      <c r="N1" s="991"/>
      <c r="O1" s="991"/>
      <c r="P1" s="991"/>
    </row>
    <row r="2" spans="1:17" ht="15.75" thickBot="1" x14ac:dyDescent="0.3">
      <c r="Q2" s="394" t="s">
        <v>852</v>
      </c>
    </row>
    <row r="3" spans="1:17" ht="15.75" thickBot="1" x14ac:dyDescent="0.3">
      <c r="L3" s="911"/>
      <c r="M3" s="912"/>
      <c r="N3" s="913"/>
      <c r="O3" s="911"/>
      <c r="P3" s="912"/>
      <c r="Q3" s="913"/>
    </row>
    <row r="4" spans="1:17" ht="15.75" thickBot="1" x14ac:dyDescent="0.3">
      <c r="L4" s="992" t="s">
        <v>906</v>
      </c>
      <c r="M4" s="993"/>
      <c r="N4" s="994"/>
      <c r="O4" s="992" t="s">
        <v>896</v>
      </c>
      <c r="P4" s="993"/>
      <c r="Q4" s="994"/>
    </row>
    <row r="5" spans="1:17" ht="15.75" thickBot="1" x14ac:dyDescent="0.3">
      <c r="A5" s="911"/>
      <c r="B5" s="912"/>
      <c r="C5" s="912"/>
      <c r="D5" s="912"/>
      <c r="E5" s="912"/>
      <c r="F5" s="912"/>
      <c r="G5" s="912"/>
      <c r="H5" s="912"/>
      <c r="I5" s="912"/>
      <c r="J5" s="912"/>
      <c r="K5" s="913"/>
      <c r="L5" s="308" t="s">
        <v>582</v>
      </c>
      <c r="M5" s="395" t="s">
        <v>583</v>
      </c>
      <c r="N5" s="395" t="s">
        <v>584</v>
      </c>
      <c r="O5" s="308" t="s">
        <v>582</v>
      </c>
      <c r="P5" s="395" t="s">
        <v>583</v>
      </c>
      <c r="Q5" s="395" t="s">
        <v>584</v>
      </c>
    </row>
    <row r="6" spans="1:17" ht="16.5" thickBot="1" x14ac:dyDescent="0.3">
      <c r="A6" s="932" t="s">
        <v>585</v>
      </c>
      <c r="B6" s="933"/>
      <c r="C6" s="933"/>
      <c r="D6" s="933"/>
      <c r="E6" s="933"/>
      <c r="F6" s="933"/>
      <c r="G6" s="933"/>
      <c r="H6" s="933"/>
      <c r="I6" s="933"/>
      <c r="J6" s="933"/>
      <c r="K6" s="934"/>
      <c r="L6" s="310"/>
      <c r="M6" s="396"/>
      <c r="N6" s="397"/>
      <c r="O6" s="310"/>
      <c r="P6" s="396"/>
      <c r="Q6" s="397"/>
    </row>
    <row r="7" spans="1:17" ht="15.75" thickBot="1" x14ac:dyDescent="0.3">
      <c r="A7" s="911"/>
      <c r="B7" s="912"/>
      <c r="C7" s="912"/>
      <c r="D7" s="912"/>
      <c r="E7" s="912"/>
      <c r="F7" s="912"/>
      <c r="G7" s="912"/>
      <c r="H7" s="912"/>
      <c r="I7" s="912"/>
      <c r="J7" s="912"/>
      <c r="K7" s="913"/>
      <c r="L7" s="310">
        <v>28705670</v>
      </c>
      <c r="M7" s="396"/>
      <c r="N7" s="397"/>
      <c r="O7" s="310">
        <v>28705670</v>
      </c>
      <c r="P7" s="396"/>
      <c r="Q7" s="397"/>
    </row>
    <row r="8" spans="1:17" ht="15.75" thickBot="1" x14ac:dyDescent="0.3">
      <c r="A8" s="911"/>
      <c r="B8" s="912"/>
      <c r="C8" s="912"/>
      <c r="D8" s="912"/>
      <c r="E8" s="912"/>
      <c r="F8" s="912"/>
      <c r="G8" s="912"/>
      <c r="H8" s="912"/>
      <c r="I8" s="912"/>
      <c r="J8" s="912"/>
      <c r="K8" s="913"/>
      <c r="L8" s="310"/>
      <c r="M8" s="396"/>
      <c r="N8" s="397"/>
      <c r="O8" s="310"/>
      <c r="P8" s="396"/>
      <c r="Q8" s="397"/>
    </row>
    <row r="9" spans="1:17" ht="15.75" thickBot="1" x14ac:dyDescent="0.3">
      <c r="A9" s="911"/>
      <c r="B9" s="912"/>
      <c r="C9" s="912"/>
      <c r="D9" s="912"/>
      <c r="E9" s="912"/>
      <c r="F9" s="912"/>
      <c r="G9" s="912"/>
      <c r="H9" s="912"/>
      <c r="I9" s="912"/>
      <c r="J9" s="912"/>
      <c r="K9" s="913"/>
      <c r="L9" s="310"/>
      <c r="M9" s="396"/>
      <c r="N9" s="397"/>
      <c r="O9" s="310"/>
      <c r="P9" s="396"/>
      <c r="Q9" s="397"/>
    </row>
    <row r="10" spans="1:17" ht="15.75" thickBot="1" x14ac:dyDescent="0.3">
      <c r="A10" s="911"/>
      <c r="B10" s="912"/>
      <c r="C10" s="912"/>
      <c r="D10" s="912"/>
      <c r="E10" s="912"/>
      <c r="F10" s="912"/>
      <c r="G10" s="912"/>
      <c r="H10" s="912"/>
      <c r="I10" s="912"/>
      <c r="J10" s="912"/>
      <c r="K10" s="913"/>
      <c r="L10" s="310"/>
      <c r="M10" s="396"/>
      <c r="N10" s="397"/>
      <c r="O10" s="310"/>
      <c r="P10" s="396"/>
      <c r="Q10" s="397"/>
    </row>
    <row r="11" spans="1:17" ht="15.75" thickBot="1" x14ac:dyDescent="0.3">
      <c r="A11" s="911"/>
      <c r="B11" s="912"/>
      <c r="C11" s="912"/>
      <c r="D11" s="912"/>
      <c r="E11" s="912"/>
      <c r="F11" s="912"/>
      <c r="G11" s="912"/>
      <c r="H11" s="912"/>
      <c r="I11" s="912"/>
      <c r="J11" s="912"/>
      <c r="K11" s="913"/>
      <c r="L11" s="310"/>
      <c r="M11" s="396"/>
      <c r="N11" s="397"/>
      <c r="O11" s="310"/>
      <c r="P11" s="396"/>
      <c r="Q11" s="397"/>
    </row>
    <row r="12" spans="1:17" ht="15.75" thickBot="1" x14ac:dyDescent="0.3">
      <c r="A12" s="911"/>
      <c r="B12" s="912"/>
      <c r="C12" s="912"/>
      <c r="D12" s="912"/>
      <c r="E12" s="912"/>
      <c r="F12" s="912"/>
      <c r="G12" s="912"/>
      <c r="H12" s="912"/>
      <c r="I12" s="912"/>
      <c r="J12" s="912"/>
      <c r="K12" s="913"/>
      <c r="L12" s="310"/>
      <c r="M12" s="396"/>
      <c r="N12" s="397"/>
      <c r="O12" s="310"/>
      <c r="P12" s="396"/>
      <c r="Q12" s="397"/>
    </row>
    <row r="13" spans="1:17" ht="15.75" thickBot="1" x14ac:dyDescent="0.3">
      <c r="A13" s="911"/>
      <c r="B13" s="912"/>
      <c r="C13" s="912"/>
      <c r="D13" s="912"/>
      <c r="E13" s="912"/>
      <c r="F13" s="912"/>
      <c r="G13" s="912"/>
      <c r="H13" s="912"/>
      <c r="I13" s="912"/>
      <c r="J13" s="912"/>
      <c r="K13" s="913"/>
      <c r="L13" s="310"/>
      <c r="M13" s="396"/>
      <c r="N13" s="397"/>
      <c r="O13" s="310"/>
      <c r="P13" s="396"/>
      <c r="Q13" s="397"/>
    </row>
    <row r="14" spans="1:17" s="307" customFormat="1" ht="19.5" thickBot="1" x14ac:dyDescent="0.35">
      <c r="A14" s="914" t="s">
        <v>586</v>
      </c>
      <c r="B14" s="915"/>
      <c r="C14" s="915"/>
      <c r="D14" s="915"/>
      <c r="E14" s="915"/>
      <c r="F14" s="915"/>
      <c r="G14" s="915"/>
      <c r="H14" s="915"/>
      <c r="I14" s="915"/>
      <c r="J14" s="915"/>
      <c r="K14" s="916"/>
      <c r="L14" s="313">
        <f>L7+L8+L9+L10+L11+L12+L13</f>
        <v>28705670</v>
      </c>
      <c r="M14" s="398">
        <v>33301897</v>
      </c>
      <c r="N14" s="313">
        <f>L14-M14</f>
        <v>-4596227</v>
      </c>
      <c r="O14" s="313">
        <f>O7+O8+O9+O10+O11+O12+O13</f>
        <v>28705670</v>
      </c>
      <c r="P14" s="398">
        <f>[2]óvóda2020!K75</f>
        <v>34067283.609999999</v>
      </c>
      <c r="Q14" s="313">
        <f>O14-P14</f>
        <v>-5361613.6099999994</v>
      </c>
    </row>
    <row r="15" spans="1:17" ht="15.75" thickBot="1" x14ac:dyDescent="0.3">
      <c r="A15" s="911"/>
      <c r="B15" s="912"/>
      <c r="C15" s="912"/>
      <c r="D15" s="912"/>
      <c r="E15" s="912"/>
      <c r="F15" s="912"/>
      <c r="G15" s="912"/>
      <c r="H15" s="912"/>
      <c r="I15" s="912"/>
      <c r="J15" s="912"/>
      <c r="K15" s="913"/>
      <c r="L15" s="310"/>
      <c r="M15" s="399"/>
      <c r="N15" s="309"/>
      <c r="O15" s="310"/>
      <c r="P15" s="399"/>
      <c r="Q15" s="309"/>
    </row>
    <row r="16" spans="1:17" ht="16.5" thickBot="1" x14ac:dyDescent="0.3">
      <c r="A16" s="932" t="s">
        <v>290</v>
      </c>
      <c r="B16" s="933"/>
      <c r="C16" s="933"/>
      <c r="D16" s="933"/>
      <c r="E16" s="933"/>
      <c r="F16" s="933"/>
      <c r="G16" s="933"/>
      <c r="H16" s="933"/>
      <c r="I16" s="933"/>
      <c r="J16" s="933"/>
      <c r="K16" s="934"/>
      <c r="L16" s="310"/>
      <c r="M16" s="399"/>
      <c r="N16" s="309"/>
      <c r="O16" s="310"/>
      <c r="P16" s="399"/>
      <c r="Q16" s="309"/>
    </row>
    <row r="17" spans="1:17" ht="15.75" thickBot="1" x14ac:dyDescent="0.3">
      <c r="A17" s="911"/>
      <c r="B17" s="912"/>
      <c r="C17" s="912"/>
      <c r="D17" s="912"/>
      <c r="E17" s="912"/>
      <c r="F17" s="912"/>
      <c r="G17" s="912"/>
      <c r="H17" s="912"/>
      <c r="I17" s="912"/>
      <c r="J17" s="912"/>
      <c r="K17" s="913"/>
      <c r="L17" s="310">
        <v>8979000</v>
      </c>
      <c r="M17" s="399"/>
      <c r="N17" s="309"/>
      <c r="O17" s="310">
        <v>8979000</v>
      </c>
      <c r="P17" s="399"/>
      <c r="Q17" s="309"/>
    </row>
    <row r="18" spans="1:17" ht="15.75" thickBot="1" x14ac:dyDescent="0.3">
      <c r="A18" s="911"/>
      <c r="B18" s="912"/>
      <c r="C18" s="912"/>
      <c r="D18" s="912"/>
      <c r="E18" s="912"/>
      <c r="F18" s="912"/>
      <c r="G18" s="912"/>
      <c r="H18" s="912"/>
      <c r="I18" s="912"/>
      <c r="J18" s="912"/>
      <c r="K18" s="913"/>
      <c r="L18" s="310">
        <v>3676000</v>
      </c>
      <c r="M18" s="399"/>
      <c r="N18" s="309"/>
      <c r="O18" s="310">
        <v>3676000</v>
      </c>
      <c r="P18" s="399"/>
      <c r="Q18" s="309"/>
    </row>
    <row r="19" spans="1:17" s="307" customFormat="1" ht="19.5" thickBot="1" x14ac:dyDescent="0.35">
      <c r="A19" s="914" t="s">
        <v>587</v>
      </c>
      <c r="B19" s="915"/>
      <c r="C19" s="915"/>
      <c r="D19" s="915"/>
      <c r="E19" s="915"/>
      <c r="F19" s="915"/>
      <c r="G19" s="915"/>
      <c r="H19" s="915"/>
      <c r="I19" s="915"/>
      <c r="J19" s="915"/>
      <c r="K19" s="916"/>
      <c r="L19" s="313">
        <f>L17+L18</f>
        <v>12655000</v>
      </c>
      <c r="M19" s="398">
        <v>14756514</v>
      </c>
      <c r="N19" s="313">
        <f>L19-M19</f>
        <v>-2101514</v>
      </c>
      <c r="O19" s="313">
        <f>O17+O18</f>
        <v>12655000</v>
      </c>
      <c r="P19" s="398">
        <f>[2]bölcsőde2020!R62</f>
        <v>13877600</v>
      </c>
      <c r="Q19" s="313">
        <f>O19-P19</f>
        <v>-1222600</v>
      </c>
    </row>
    <row r="20" spans="1:17" s="307" customFormat="1" ht="21.75" thickBot="1" x14ac:dyDescent="0.4">
      <c r="A20" s="932" t="s">
        <v>588</v>
      </c>
      <c r="B20" s="933"/>
      <c r="C20" s="933"/>
      <c r="D20" s="933"/>
      <c r="E20" s="933"/>
      <c r="F20" s="933"/>
      <c r="G20" s="933"/>
      <c r="H20" s="933"/>
      <c r="I20" s="933"/>
      <c r="J20" s="933"/>
      <c r="K20" s="934"/>
      <c r="L20" s="400">
        <f>L14+L19</f>
        <v>41360670</v>
      </c>
      <c r="M20" s="400">
        <f>M19+M14</f>
        <v>48058411</v>
      </c>
      <c r="N20" s="400">
        <f>L20-M20</f>
        <v>-6697741</v>
      </c>
      <c r="O20" s="400">
        <f>O14+O19</f>
        <v>41360670</v>
      </c>
      <c r="P20" s="400">
        <f>P19+P14</f>
        <v>47944883.609999999</v>
      </c>
      <c r="Q20" s="400">
        <f>O20-P20</f>
        <v>-6584213.6099999994</v>
      </c>
    </row>
    <row r="21" spans="1:17" s="401" customFormat="1" ht="21.75" thickBot="1" x14ac:dyDescent="0.4">
      <c r="A21" s="1003"/>
      <c r="B21" s="1004"/>
      <c r="C21" s="1004"/>
      <c r="D21" s="1004"/>
      <c r="E21" s="1004"/>
      <c r="F21" s="1004"/>
      <c r="G21" s="1004"/>
      <c r="H21" s="1004"/>
      <c r="I21" s="1004"/>
      <c r="J21" s="1004"/>
      <c r="K21" s="1005"/>
      <c r="L21" s="400"/>
      <c r="M21" s="424"/>
      <c r="N21" s="424"/>
      <c r="O21" s="400"/>
      <c r="P21" s="424"/>
      <c r="Q21" s="424"/>
    </row>
    <row r="22" spans="1:17" ht="16.5" thickBot="1" x14ac:dyDescent="0.3">
      <c r="A22" s="911" t="s">
        <v>509</v>
      </c>
      <c r="B22" s="912"/>
      <c r="C22" s="912"/>
      <c r="D22" s="912"/>
      <c r="E22" s="912"/>
      <c r="F22" s="912"/>
      <c r="G22" s="912"/>
      <c r="H22" s="912"/>
      <c r="I22" s="912"/>
      <c r="J22" s="912"/>
      <c r="K22" s="913"/>
      <c r="L22" s="482">
        <v>2305593</v>
      </c>
      <c r="M22" s="404">
        <v>13754755</v>
      </c>
      <c r="N22" s="483">
        <f>L22-M22</f>
        <v>-11449162</v>
      </c>
      <c r="O22" s="482">
        <v>2305593</v>
      </c>
      <c r="P22" s="404">
        <v>13754755</v>
      </c>
      <c r="Q22" s="483">
        <f>O22-P22</f>
        <v>-11449162</v>
      </c>
    </row>
    <row r="23" spans="1:17" ht="15.75" thickBot="1" x14ac:dyDescent="0.3">
      <c r="A23" s="1000" t="s">
        <v>589</v>
      </c>
      <c r="B23" s="1001"/>
      <c r="C23" s="1001"/>
      <c r="D23" s="1001"/>
      <c r="E23" s="1001"/>
      <c r="F23" s="1001"/>
      <c r="G23" s="1001"/>
      <c r="H23" s="1001"/>
      <c r="I23" s="1001"/>
      <c r="J23" s="1001"/>
      <c r="K23" s="1002"/>
      <c r="L23" s="402"/>
      <c r="M23" s="403"/>
      <c r="N23" s="403"/>
      <c r="O23" s="402"/>
      <c r="P23" s="403"/>
      <c r="Q23" s="403"/>
    </row>
    <row r="24" spans="1:17" ht="19.5" customHeight="1" thickBot="1" x14ac:dyDescent="0.35">
      <c r="A24" s="995" t="s">
        <v>785</v>
      </c>
      <c r="B24" s="996"/>
      <c r="C24" s="996"/>
      <c r="D24" s="996"/>
      <c r="E24" s="996"/>
      <c r="F24" s="996"/>
      <c r="G24" s="996"/>
      <c r="H24" s="545"/>
      <c r="I24" s="545"/>
      <c r="J24" s="544"/>
      <c r="K24" s="546"/>
      <c r="L24" s="313"/>
      <c r="M24" s="403"/>
      <c r="N24" s="403"/>
      <c r="O24" s="313"/>
      <c r="P24" s="403"/>
      <c r="Q24" s="403"/>
    </row>
    <row r="25" spans="1:17" ht="21.75" customHeight="1" thickBot="1" x14ac:dyDescent="0.4">
      <c r="A25" s="995" t="s">
        <v>786</v>
      </c>
      <c r="B25" s="996"/>
      <c r="C25" s="996"/>
      <c r="D25" s="996"/>
      <c r="E25" s="996"/>
      <c r="F25" s="996"/>
      <c r="G25" s="996"/>
      <c r="H25" s="996"/>
      <c r="I25" s="996"/>
      <c r="J25" s="548"/>
      <c r="K25" s="549"/>
      <c r="L25" s="313"/>
      <c r="M25" s="403"/>
      <c r="N25" s="403"/>
      <c r="O25" s="313"/>
      <c r="P25" s="403"/>
      <c r="Q25" s="403"/>
    </row>
    <row r="26" spans="1:17" s="307" customFormat="1" ht="19.5" thickBot="1" x14ac:dyDescent="0.35">
      <c r="A26" s="932" t="s">
        <v>590</v>
      </c>
      <c r="B26" s="933"/>
      <c r="C26" s="933"/>
      <c r="D26" s="933"/>
      <c r="E26" s="933"/>
      <c r="F26" s="933"/>
      <c r="G26" s="933"/>
      <c r="H26" s="933"/>
      <c r="I26" s="933"/>
      <c r="J26" s="933"/>
      <c r="K26" s="934"/>
      <c r="L26" s="313">
        <f>L22+L23+L25</f>
        <v>2305593</v>
      </c>
      <c r="M26" s="313">
        <v>13754755</v>
      </c>
      <c r="N26" s="313">
        <f>L26-M26</f>
        <v>-11449162</v>
      </c>
      <c r="O26" s="313">
        <f>O22+O23+O25</f>
        <v>2305593</v>
      </c>
      <c r="P26" s="313">
        <f>[2]közművelődés2020!K97</f>
        <v>12940927.029999999</v>
      </c>
      <c r="Q26" s="313">
        <f>O26-P26</f>
        <v>-10635334.029999999</v>
      </c>
    </row>
    <row r="27" spans="1:17" s="307" customFormat="1" ht="21.75" thickBot="1" x14ac:dyDescent="0.4">
      <c r="A27" s="932" t="s">
        <v>645</v>
      </c>
      <c r="B27" s="933"/>
      <c r="C27" s="933"/>
      <c r="D27" s="933"/>
      <c r="E27" s="933"/>
      <c r="F27" s="933"/>
      <c r="G27" s="933"/>
      <c r="H27" s="933"/>
      <c r="I27" s="933"/>
      <c r="J27" s="548"/>
      <c r="K27" s="549"/>
      <c r="L27" s="313">
        <f>L28+L29+L30+L31</f>
        <v>1350000</v>
      </c>
      <c r="O27" s="313">
        <f>O28+O29+O30+O31</f>
        <v>2360610</v>
      </c>
    </row>
    <row r="28" spans="1:17" ht="15.75" thickBot="1" x14ac:dyDescent="0.3">
      <c r="A28" s="911" t="s">
        <v>591</v>
      </c>
      <c r="B28" s="912"/>
      <c r="C28" s="912"/>
      <c r="D28" s="912"/>
      <c r="E28" s="912"/>
      <c r="F28" s="912"/>
      <c r="G28" s="912"/>
      <c r="H28" s="912"/>
      <c r="I28" s="912"/>
      <c r="J28" s="912"/>
      <c r="K28" s="913"/>
      <c r="L28" s="310">
        <v>1200000</v>
      </c>
      <c r="O28" s="310">
        <v>1200000</v>
      </c>
    </row>
    <row r="29" spans="1:17" ht="15.75" thickBot="1" x14ac:dyDescent="0.3">
      <c r="A29" s="917" t="s">
        <v>592</v>
      </c>
      <c r="B29" s="918"/>
      <c r="C29" s="918"/>
      <c r="D29" s="918"/>
      <c r="E29" s="918"/>
      <c r="F29" s="918"/>
      <c r="G29" s="918"/>
      <c r="H29" s="918"/>
      <c r="I29" s="918"/>
      <c r="J29" s="918"/>
      <c r="K29" s="919"/>
      <c r="L29" s="425">
        <v>150000</v>
      </c>
      <c r="O29" s="425">
        <v>150000</v>
      </c>
    </row>
    <row r="30" spans="1:17" ht="15.75" thickBot="1" x14ac:dyDescent="0.3">
      <c r="A30" s="911" t="s">
        <v>907</v>
      </c>
      <c r="B30" s="912"/>
      <c r="C30" s="912"/>
      <c r="D30" s="912"/>
      <c r="E30" s="912"/>
      <c r="F30" s="912"/>
      <c r="G30" s="912"/>
      <c r="H30" s="547"/>
      <c r="I30" s="547"/>
      <c r="J30" s="547"/>
      <c r="K30" s="547"/>
      <c r="L30" s="425">
        <v>0</v>
      </c>
      <c r="O30" s="425">
        <v>1010510</v>
      </c>
    </row>
    <row r="31" spans="1:17" ht="15.75" thickBot="1" x14ac:dyDescent="0.3">
      <c r="A31" s="911" t="s">
        <v>787</v>
      </c>
      <c r="B31" s="912"/>
      <c r="C31" s="912"/>
      <c r="D31" s="912"/>
      <c r="E31" s="912"/>
      <c r="F31" s="912"/>
      <c r="G31" s="912"/>
      <c r="H31" s="547"/>
      <c r="I31" s="547"/>
      <c r="J31" s="547"/>
      <c r="K31" s="547"/>
      <c r="L31" s="425">
        <v>0</v>
      </c>
      <c r="O31" s="425">
        <v>100</v>
      </c>
    </row>
    <row r="32" spans="1:17" s="457" customFormat="1" ht="16.5" thickBot="1" x14ac:dyDescent="0.3">
      <c r="A32" s="989" t="s">
        <v>646</v>
      </c>
      <c r="B32" s="990"/>
      <c r="C32" s="990"/>
      <c r="D32" s="990"/>
      <c r="E32" s="990"/>
      <c r="F32" s="990"/>
      <c r="G32" s="990"/>
      <c r="H32" s="990"/>
      <c r="I32" s="990"/>
      <c r="J32" s="543"/>
      <c r="K32" s="543"/>
      <c r="L32" s="426"/>
      <c r="O32" s="426"/>
    </row>
    <row r="33" spans="1:17" ht="15.75" thickBot="1" x14ac:dyDescent="0.3">
      <c r="A33" s="997" t="s">
        <v>647</v>
      </c>
      <c r="B33" s="998"/>
      <c r="C33" s="998"/>
      <c r="D33" s="998"/>
      <c r="E33" s="998"/>
      <c r="F33" s="998"/>
      <c r="G33" s="998"/>
      <c r="H33" s="998"/>
      <c r="I33" s="998"/>
      <c r="J33" s="998"/>
      <c r="K33" s="999"/>
      <c r="L33" s="405">
        <v>32085</v>
      </c>
      <c r="O33" s="405">
        <v>32085</v>
      </c>
    </row>
    <row r="34" spans="1:17" ht="15.75" thickBot="1" x14ac:dyDescent="0.3">
      <c r="A34" s="911" t="s">
        <v>648</v>
      </c>
      <c r="B34" s="912"/>
      <c r="C34" s="912"/>
      <c r="D34" s="912"/>
      <c r="E34" s="912"/>
      <c r="F34" s="912"/>
      <c r="G34" s="912"/>
      <c r="H34" s="912"/>
      <c r="I34" s="912"/>
      <c r="J34" s="912"/>
      <c r="K34" s="913"/>
      <c r="L34" s="310">
        <v>1233445</v>
      </c>
      <c r="O34" s="310">
        <v>1233445</v>
      </c>
    </row>
    <row r="35" spans="1:17" ht="16.5" thickBot="1" x14ac:dyDescent="0.3">
      <c r="A35" s="989" t="s">
        <v>908</v>
      </c>
      <c r="B35" s="990"/>
      <c r="C35" s="990"/>
      <c r="D35" s="990"/>
      <c r="E35" s="990"/>
      <c r="F35" s="990"/>
      <c r="G35" s="990"/>
      <c r="H35" s="990"/>
      <c r="I35" s="990"/>
      <c r="J35" s="541"/>
      <c r="K35" s="542"/>
      <c r="L35" s="310">
        <f>L34+L33</f>
        <v>1265530</v>
      </c>
      <c r="O35" s="310">
        <f>O34+O33</f>
        <v>1265530</v>
      </c>
    </row>
    <row r="36" spans="1:17" s="314" customFormat="1" ht="19.5" thickBot="1" x14ac:dyDescent="0.35">
      <c r="A36" s="947" t="s">
        <v>593</v>
      </c>
      <c r="B36" s="948"/>
      <c r="C36" s="948"/>
      <c r="D36" s="948"/>
      <c r="E36" s="948"/>
      <c r="F36" s="948"/>
      <c r="G36" s="948"/>
      <c r="H36" s="948"/>
      <c r="I36" s="948"/>
      <c r="J36" s="948"/>
      <c r="K36" s="949"/>
      <c r="L36" s="313">
        <f>L14+L19+L22+L27+L33+L34</f>
        <v>46281793</v>
      </c>
      <c r="O36" s="313">
        <f>O35+O30+O29+O28+O26+O14+O19+O31</f>
        <v>47292403</v>
      </c>
    </row>
    <row r="37" spans="1:17" s="314" customFormat="1" ht="19.5" thickBot="1" x14ac:dyDescent="0.35">
      <c r="A37" s="947" t="s">
        <v>594</v>
      </c>
      <c r="B37" s="948"/>
      <c r="C37" s="948"/>
      <c r="D37" s="948"/>
      <c r="E37" s="948"/>
      <c r="F37" s="948"/>
      <c r="G37" s="948"/>
      <c r="H37" s="948"/>
      <c r="I37" s="948"/>
      <c r="J37" s="948"/>
      <c r="K37" s="949"/>
      <c r="L37" s="313">
        <f>M26+M20</f>
        <v>61813166</v>
      </c>
      <c r="O37" s="313">
        <v>60885784</v>
      </c>
    </row>
    <row r="38" spans="1:17" ht="19.5" thickBot="1" x14ac:dyDescent="0.35">
      <c r="A38" s="947" t="s">
        <v>595</v>
      </c>
      <c r="B38" s="948"/>
      <c r="C38" s="948"/>
      <c r="D38" s="948"/>
      <c r="E38" s="948"/>
      <c r="F38" s="948"/>
      <c r="G38" s="948"/>
      <c r="H38" s="948"/>
      <c r="I38" s="948"/>
      <c r="J38" s="948"/>
      <c r="K38" s="949"/>
      <c r="L38" s="313">
        <f>L36-L37</f>
        <v>-15531373</v>
      </c>
      <c r="O38" s="313">
        <f>O36-O37</f>
        <v>-13593381</v>
      </c>
      <c r="Q38" s="306"/>
    </row>
    <row r="40" spans="1:17" x14ac:dyDescent="0.25">
      <c r="O40" s="306"/>
    </row>
  </sheetData>
  <mergeCells count="39">
    <mergeCell ref="A33:K33"/>
    <mergeCell ref="L3:N3"/>
    <mergeCell ref="A22:K22"/>
    <mergeCell ref="A25:I25"/>
    <mergeCell ref="A29:K29"/>
    <mergeCell ref="A23:K23"/>
    <mergeCell ref="A26:K26"/>
    <mergeCell ref="A21:K21"/>
    <mergeCell ref="A10:K10"/>
    <mergeCell ref="A11:K11"/>
    <mergeCell ref="A12:K12"/>
    <mergeCell ref="A13:K13"/>
    <mergeCell ref="A14:K14"/>
    <mergeCell ref="A15:K15"/>
    <mergeCell ref="A16:K16"/>
    <mergeCell ref="A17:K17"/>
    <mergeCell ref="B1:P1"/>
    <mergeCell ref="O3:Q3"/>
    <mergeCell ref="L4:N4"/>
    <mergeCell ref="O4:Q4"/>
    <mergeCell ref="A24:G24"/>
    <mergeCell ref="A18:K18"/>
    <mergeCell ref="A19:K19"/>
    <mergeCell ref="A20:K20"/>
    <mergeCell ref="A9:K9"/>
    <mergeCell ref="A5:K5"/>
    <mergeCell ref="A6:K6"/>
    <mergeCell ref="A7:K7"/>
    <mergeCell ref="A8:K8"/>
    <mergeCell ref="A27:I27"/>
    <mergeCell ref="A28:K28"/>
    <mergeCell ref="A30:G30"/>
    <mergeCell ref="A31:G31"/>
    <mergeCell ref="A32:I32"/>
    <mergeCell ref="A34:K34"/>
    <mergeCell ref="A35:I35"/>
    <mergeCell ref="A36:K36"/>
    <mergeCell ref="A37:K37"/>
    <mergeCell ref="A38:K38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7030A0"/>
  </sheetPr>
  <dimension ref="A1:Q62"/>
  <sheetViews>
    <sheetView topLeftCell="B4" workbookViewId="0">
      <selection activeCell="R19" sqref="R19"/>
    </sheetView>
  </sheetViews>
  <sheetFormatPr defaultRowHeight="15.75" x14ac:dyDescent="0.25"/>
  <cols>
    <col min="1" max="1" width="38.28515625" style="346" customWidth="1"/>
    <col min="2" max="2" width="10.28515625" style="346" customWidth="1"/>
    <col min="3" max="13" width="9.5703125" style="346" customWidth="1"/>
    <col min="14" max="14" width="10.5703125" style="346" bestFit="1" customWidth="1"/>
    <col min="15" max="15" width="7.42578125" style="338" bestFit="1" customWidth="1"/>
    <col min="16" max="16384" width="9.140625" style="338"/>
  </cols>
  <sheetData>
    <row r="1" spans="1:15" x14ac:dyDescent="0.25">
      <c r="A1" s="1006" t="s">
        <v>788</v>
      </c>
      <c r="B1" s="1006"/>
      <c r="C1" s="1006"/>
      <c r="D1" s="1006"/>
      <c r="E1" s="1006"/>
      <c r="F1" s="1006"/>
      <c r="G1" s="1006"/>
      <c r="H1" s="1006"/>
      <c r="I1" s="1006"/>
      <c r="J1" s="1006"/>
      <c r="K1" s="1006"/>
      <c r="L1" s="1006"/>
      <c r="M1" s="1006"/>
      <c r="N1" s="1006"/>
    </row>
    <row r="2" spans="1:15" ht="24" customHeight="1" x14ac:dyDescent="0.25">
      <c r="A2" s="1006" t="s">
        <v>298</v>
      </c>
      <c r="B2" s="1006"/>
      <c r="C2" s="1006"/>
      <c r="D2" s="1006"/>
      <c r="E2" s="1006"/>
      <c r="F2" s="1006"/>
      <c r="G2" s="1006"/>
      <c r="H2" s="1006"/>
      <c r="I2" s="1006"/>
      <c r="J2" s="1006"/>
      <c r="K2" s="1006"/>
      <c r="L2" s="1006"/>
      <c r="M2" s="1006"/>
      <c r="N2" s="1006"/>
    </row>
    <row r="3" spans="1:15" ht="12.75" customHeight="1" x14ac:dyDescent="0.25">
      <c r="A3" s="1007" t="s">
        <v>699</v>
      </c>
      <c r="B3" s="1007"/>
      <c r="C3" s="1007"/>
      <c r="D3" s="1007"/>
      <c r="E3" s="1007"/>
      <c r="F3" s="1007"/>
      <c r="G3" s="1007"/>
      <c r="H3" s="1007"/>
      <c r="I3" s="1007"/>
      <c r="J3" s="1007"/>
      <c r="K3" s="1007"/>
      <c r="L3" s="1007"/>
      <c r="M3" s="1007"/>
      <c r="N3" s="1007"/>
    </row>
    <row r="4" spans="1:15" ht="19.5" customHeight="1" x14ac:dyDescent="0.25">
      <c r="A4" s="1007"/>
      <c r="B4" s="1007"/>
      <c r="C4" s="1007"/>
      <c r="D4" s="1007"/>
      <c r="E4" s="1007"/>
      <c r="F4" s="1007"/>
      <c r="G4" s="1007"/>
      <c r="H4" s="1007"/>
      <c r="I4" s="1007"/>
      <c r="J4" s="1007"/>
      <c r="K4" s="1007"/>
      <c r="L4" s="1007"/>
      <c r="M4" s="1007"/>
      <c r="N4" s="1007"/>
    </row>
    <row r="5" spans="1:15" ht="16.5" customHeight="1" x14ac:dyDescent="0.25">
      <c r="A5" s="421"/>
      <c r="B5" s="421"/>
      <c r="C5" s="421"/>
      <c r="D5" s="421"/>
      <c r="E5" s="421"/>
      <c r="F5" s="421"/>
      <c r="G5" s="421"/>
      <c r="H5" s="421"/>
      <c r="I5" s="421"/>
      <c r="J5" s="421"/>
      <c r="K5" s="421"/>
      <c r="L5" s="421"/>
      <c r="M5" s="1007" t="s">
        <v>355</v>
      </c>
      <c r="N5" s="1007"/>
    </row>
    <row r="6" spans="1:15" ht="18" customHeight="1" x14ac:dyDescent="0.25">
      <c r="A6" s="316" t="s">
        <v>7</v>
      </c>
      <c r="B6" s="317" t="s">
        <v>356</v>
      </c>
      <c r="C6" s="317" t="s">
        <v>357</v>
      </c>
      <c r="D6" s="317" t="s">
        <v>358</v>
      </c>
      <c r="E6" s="317" t="s">
        <v>359</v>
      </c>
      <c r="F6" s="317" t="s">
        <v>360</v>
      </c>
      <c r="G6" s="317" t="s">
        <v>361</v>
      </c>
      <c r="H6" s="317" t="s">
        <v>362</v>
      </c>
      <c r="I6" s="317" t="s">
        <v>363</v>
      </c>
      <c r="J6" s="317" t="s">
        <v>364</v>
      </c>
      <c r="K6" s="317" t="s">
        <v>365</v>
      </c>
      <c r="L6" s="317" t="s">
        <v>366</v>
      </c>
      <c r="M6" s="317" t="s">
        <v>367</v>
      </c>
      <c r="N6" s="316" t="s">
        <v>368</v>
      </c>
    </row>
    <row r="7" spans="1:15" ht="18" customHeight="1" x14ac:dyDescent="0.25">
      <c r="A7" s="318" t="s">
        <v>13</v>
      </c>
      <c r="B7" s="320">
        <v>3160</v>
      </c>
      <c r="C7" s="320">
        <v>3161</v>
      </c>
      <c r="D7" s="320">
        <v>3161</v>
      </c>
      <c r="E7" s="320">
        <v>3161</v>
      </c>
      <c r="F7" s="320">
        <v>3161</v>
      </c>
      <c r="G7" s="320">
        <v>3161</v>
      </c>
      <c r="H7" s="320">
        <v>3261</v>
      </c>
      <c r="I7" s="320">
        <v>3261</v>
      </c>
      <c r="J7" s="320">
        <v>3261</v>
      </c>
      <c r="K7" s="320">
        <v>3261</v>
      </c>
      <c r="L7" s="320">
        <v>3261</v>
      </c>
      <c r="M7" s="320">
        <v>3262</v>
      </c>
      <c r="N7" s="321">
        <f t="shared" ref="N7:N12" si="0">SUM(B7:M7)</f>
        <v>38532</v>
      </c>
      <c r="O7" s="338">
        <v>38532</v>
      </c>
    </row>
    <row r="8" spans="1:15" ht="18" customHeight="1" x14ac:dyDescent="0.25">
      <c r="A8" s="318" t="s">
        <v>369</v>
      </c>
      <c r="B8" s="320">
        <v>620</v>
      </c>
      <c r="C8" s="320">
        <v>620</v>
      </c>
      <c r="D8" s="320">
        <v>620</v>
      </c>
      <c r="E8" s="320">
        <v>620</v>
      </c>
      <c r="F8" s="320">
        <v>620</v>
      </c>
      <c r="G8" s="320">
        <v>620</v>
      </c>
      <c r="H8" s="320">
        <v>489</v>
      </c>
      <c r="I8" s="320">
        <v>489</v>
      </c>
      <c r="J8" s="320">
        <v>490</v>
      </c>
      <c r="K8" s="320">
        <v>490</v>
      </c>
      <c r="L8" s="320">
        <v>490</v>
      </c>
      <c r="M8" s="320">
        <v>490</v>
      </c>
      <c r="N8" s="321">
        <f t="shared" si="0"/>
        <v>6658</v>
      </c>
      <c r="O8" s="338">
        <v>6658</v>
      </c>
    </row>
    <row r="9" spans="1:15" ht="18" customHeight="1" x14ac:dyDescent="0.25">
      <c r="A9" s="318" t="s">
        <v>15</v>
      </c>
      <c r="B9" s="320">
        <v>1309</v>
      </c>
      <c r="C9" s="320">
        <v>1309</v>
      </c>
      <c r="D9" s="320">
        <v>1310</v>
      </c>
      <c r="E9" s="320">
        <v>1310</v>
      </c>
      <c r="F9" s="320">
        <v>1310</v>
      </c>
      <c r="G9" s="320">
        <v>1310</v>
      </c>
      <c r="H9" s="320">
        <v>1207</v>
      </c>
      <c r="I9" s="320">
        <v>1207</v>
      </c>
      <c r="J9" s="320">
        <v>1208</v>
      </c>
      <c r="K9" s="320">
        <v>1208</v>
      </c>
      <c r="L9" s="320">
        <v>1208</v>
      </c>
      <c r="M9" s="320">
        <v>1207</v>
      </c>
      <c r="N9" s="321">
        <f t="shared" si="0"/>
        <v>15103</v>
      </c>
      <c r="O9" s="338">
        <v>15103</v>
      </c>
    </row>
    <row r="10" spans="1:15" ht="18" customHeight="1" x14ac:dyDescent="0.25">
      <c r="A10" s="318" t="s">
        <v>370</v>
      </c>
      <c r="B10" s="320"/>
      <c r="C10" s="320"/>
      <c r="D10" s="320"/>
      <c r="E10" s="320"/>
      <c r="F10" s="320"/>
      <c r="G10" s="320"/>
      <c r="H10" s="320"/>
      <c r="I10" s="320"/>
      <c r="J10" s="320"/>
      <c r="K10" s="320"/>
      <c r="L10" s="320"/>
      <c r="M10" s="320"/>
      <c r="N10" s="321">
        <f t="shared" si="0"/>
        <v>0</v>
      </c>
    </row>
    <row r="11" spans="1:15" ht="18" customHeight="1" x14ac:dyDescent="0.25">
      <c r="A11" s="318" t="s">
        <v>371</v>
      </c>
      <c r="B11" s="320"/>
      <c r="C11" s="320"/>
      <c r="D11" s="320"/>
      <c r="E11" s="320"/>
      <c r="F11" s="320"/>
      <c r="G11" s="320"/>
      <c r="H11" s="320"/>
      <c r="I11" s="320"/>
      <c r="J11" s="320"/>
      <c r="K11" s="320"/>
      <c r="L11" s="320"/>
      <c r="M11" s="320"/>
      <c r="N11" s="321">
        <f t="shared" si="0"/>
        <v>0</v>
      </c>
      <c r="O11" s="342"/>
    </row>
    <row r="12" spans="1:15" ht="18" customHeight="1" x14ac:dyDescent="0.25">
      <c r="A12" s="318" t="s">
        <v>372</v>
      </c>
      <c r="B12" s="320">
        <v>60</v>
      </c>
      <c r="C12" s="320">
        <v>60</v>
      </c>
      <c r="D12" s="320">
        <v>60</v>
      </c>
      <c r="E12" s="320">
        <v>60</v>
      </c>
      <c r="F12" s="320">
        <v>60</v>
      </c>
      <c r="G12" s="320">
        <v>60</v>
      </c>
      <c r="H12" s="320">
        <v>38</v>
      </c>
      <c r="I12" s="320">
        <v>38</v>
      </c>
      <c r="J12" s="320">
        <v>38</v>
      </c>
      <c r="K12" s="320">
        <v>40</v>
      </c>
      <c r="L12" s="320">
        <v>40</v>
      </c>
      <c r="M12" s="320">
        <v>39</v>
      </c>
      <c r="N12" s="321">
        <f t="shared" si="0"/>
        <v>593</v>
      </c>
      <c r="O12" s="338">
        <v>593</v>
      </c>
    </row>
    <row r="13" spans="1:15" ht="18" customHeight="1" x14ac:dyDescent="0.25">
      <c r="A13" s="318" t="s">
        <v>220</v>
      </c>
      <c r="B13" s="320"/>
      <c r="C13" s="320"/>
      <c r="D13" s="320"/>
      <c r="E13" s="320"/>
      <c r="F13" s="320"/>
      <c r="G13" s="320"/>
      <c r="H13" s="320"/>
      <c r="I13" s="320"/>
      <c r="J13" s="320"/>
      <c r="K13" s="320"/>
      <c r="L13" s="320"/>
      <c r="M13" s="320"/>
      <c r="N13" s="321"/>
    </row>
    <row r="14" spans="1:15" ht="18" customHeight="1" x14ac:dyDescent="0.25">
      <c r="A14" s="322" t="s">
        <v>373</v>
      </c>
      <c r="B14" s="321">
        <f>SUM(B7:B13)</f>
        <v>5149</v>
      </c>
      <c r="C14" s="321">
        <f t="shared" ref="C14:M14" si="1">SUM(C7:C13)</f>
        <v>5150</v>
      </c>
      <c r="D14" s="321">
        <f t="shared" si="1"/>
        <v>5151</v>
      </c>
      <c r="E14" s="321">
        <f t="shared" si="1"/>
        <v>5151</v>
      </c>
      <c r="F14" s="321">
        <f t="shared" si="1"/>
        <v>5151</v>
      </c>
      <c r="G14" s="321">
        <f t="shared" si="1"/>
        <v>5151</v>
      </c>
      <c r="H14" s="321">
        <f t="shared" si="1"/>
        <v>4995</v>
      </c>
      <c r="I14" s="321">
        <f t="shared" si="1"/>
        <v>4995</v>
      </c>
      <c r="J14" s="321">
        <f t="shared" si="1"/>
        <v>4997</v>
      </c>
      <c r="K14" s="321">
        <f t="shared" si="1"/>
        <v>4999</v>
      </c>
      <c r="L14" s="321">
        <f t="shared" si="1"/>
        <v>4999</v>
      </c>
      <c r="M14" s="321">
        <f t="shared" si="1"/>
        <v>4998</v>
      </c>
      <c r="N14" s="321">
        <f>SUM(N7:N13)</f>
        <v>60886</v>
      </c>
      <c r="O14" s="338">
        <f>SUM(O7:O13)</f>
        <v>60886</v>
      </c>
    </row>
    <row r="15" spans="1:15" ht="18" customHeight="1" x14ac:dyDescent="0.25">
      <c r="A15" s="323"/>
      <c r="B15" s="324"/>
      <c r="C15" s="324"/>
      <c r="D15" s="324"/>
      <c r="E15" s="324"/>
      <c r="F15" s="324"/>
      <c r="G15" s="324"/>
      <c r="H15" s="324"/>
      <c r="I15" s="324"/>
      <c r="J15" s="324"/>
      <c r="K15" s="324"/>
      <c r="L15" s="324"/>
      <c r="M15" s="324"/>
      <c r="N15" s="325"/>
    </row>
    <row r="16" spans="1:15" ht="18" customHeight="1" x14ac:dyDescent="0.25">
      <c r="A16" s="318" t="s">
        <v>374</v>
      </c>
      <c r="B16" s="320">
        <v>112</v>
      </c>
      <c r="C16" s="320">
        <v>112</v>
      </c>
      <c r="D16" s="320">
        <v>1123</v>
      </c>
      <c r="E16" s="320">
        <v>112</v>
      </c>
      <c r="F16" s="320">
        <v>112</v>
      </c>
      <c r="G16" s="320">
        <v>113</v>
      </c>
      <c r="H16" s="320">
        <v>113</v>
      </c>
      <c r="I16" s="320">
        <v>113</v>
      </c>
      <c r="J16" s="320">
        <v>113</v>
      </c>
      <c r="K16" s="320">
        <v>113</v>
      </c>
      <c r="L16" s="320">
        <v>113</v>
      </c>
      <c r="M16" s="320">
        <v>112</v>
      </c>
      <c r="N16" s="321">
        <f t="shared" ref="N16:N22" si="2">SUM(B16:M16)</f>
        <v>2361</v>
      </c>
      <c r="O16" s="338">
        <v>2361</v>
      </c>
    </row>
    <row r="17" spans="1:16" ht="18" customHeight="1" x14ac:dyDescent="0.25">
      <c r="A17" s="318" t="s">
        <v>46</v>
      </c>
      <c r="B17" s="320"/>
      <c r="C17" s="320"/>
      <c r="D17" s="320"/>
      <c r="E17" s="320"/>
      <c r="F17" s="320"/>
      <c r="G17" s="320"/>
      <c r="H17" s="320"/>
      <c r="I17" s="320"/>
      <c r="J17" s="320"/>
      <c r="K17" s="320"/>
      <c r="L17" s="320"/>
      <c r="M17" s="320"/>
      <c r="N17" s="321">
        <f t="shared" si="2"/>
        <v>0</v>
      </c>
      <c r="O17" s="422"/>
    </row>
    <row r="18" spans="1:16" ht="18" customHeight="1" x14ac:dyDescent="0.25">
      <c r="A18" s="326" t="s">
        <v>54</v>
      </c>
      <c r="B18" s="320"/>
      <c r="C18" s="320"/>
      <c r="D18" s="320"/>
      <c r="E18" s="320"/>
      <c r="F18" s="320"/>
      <c r="G18" s="320"/>
      <c r="H18" s="320"/>
      <c r="I18" s="320"/>
      <c r="J18" s="320"/>
      <c r="K18" s="320"/>
      <c r="L18" s="320"/>
      <c r="M18" s="320"/>
      <c r="N18" s="321">
        <f t="shared" si="2"/>
        <v>0</v>
      </c>
      <c r="O18" s="342"/>
    </row>
    <row r="19" spans="1:16" ht="18" customHeight="1" x14ac:dyDescent="0.25">
      <c r="A19" s="318" t="s">
        <v>376</v>
      </c>
      <c r="B19" s="320">
        <v>4933</v>
      </c>
      <c r="C19" s="320">
        <v>4933</v>
      </c>
      <c r="D19" s="320">
        <v>4933</v>
      </c>
      <c r="E19" s="320">
        <v>4933</v>
      </c>
      <c r="F19" s="320">
        <v>4933</v>
      </c>
      <c r="G19" s="320">
        <v>4933</v>
      </c>
      <c r="H19" s="320">
        <v>4638</v>
      </c>
      <c r="I19" s="320">
        <v>4638</v>
      </c>
      <c r="J19" s="320">
        <v>4638</v>
      </c>
      <c r="K19" s="320">
        <v>4638</v>
      </c>
      <c r="L19" s="320">
        <v>4638</v>
      </c>
      <c r="M19" s="320">
        <v>4638</v>
      </c>
      <c r="N19" s="321">
        <f t="shared" si="2"/>
        <v>57426</v>
      </c>
      <c r="O19" s="342">
        <v>57426</v>
      </c>
      <c r="P19" s="342"/>
    </row>
    <row r="20" spans="1:16" ht="18" customHeight="1" x14ac:dyDescent="0.25">
      <c r="A20" s="318" t="s">
        <v>71</v>
      </c>
      <c r="B20" s="320"/>
      <c r="C20" s="320"/>
      <c r="D20" s="320"/>
      <c r="E20" s="320"/>
      <c r="F20" s="320"/>
      <c r="G20" s="320"/>
      <c r="H20" s="320"/>
      <c r="I20" s="320"/>
      <c r="J20" s="320"/>
      <c r="K20" s="320"/>
      <c r="L20" s="320"/>
      <c r="M20" s="320"/>
      <c r="N20" s="321">
        <f t="shared" si="2"/>
        <v>0</v>
      </c>
    </row>
    <row r="21" spans="1:16" ht="18" customHeight="1" x14ac:dyDescent="0.25">
      <c r="A21" s="318" t="s">
        <v>95</v>
      </c>
      <c r="B21" s="320"/>
      <c r="C21" s="320"/>
      <c r="D21" s="320"/>
      <c r="E21" s="320">
        <v>1099</v>
      </c>
      <c r="F21" s="320"/>
      <c r="G21" s="320"/>
      <c r="H21" s="320"/>
      <c r="I21" s="320"/>
      <c r="J21" s="320"/>
      <c r="K21" s="320"/>
      <c r="L21" s="320"/>
      <c r="M21" s="320"/>
      <c r="N21" s="321">
        <f t="shared" si="2"/>
        <v>1099</v>
      </c>
      <c r="O21" s="338">
        <v>1099</v>
      </c>
    </row>
    <row r="22" spans="1:16" ht="18" customHeight="1" x14ac:dyDescent="0.25">
      <c r="A22" s="327" t="s">
        <v>377</v>
      </c>
      <c r="B22" s="328">
        <f>+B16+B17+B18+B19+B20+B21</f>
        <v>5045</v>
      </c>
      <c r="C22" s="328">
        <f>+C16+C17+C18+C19+C20+C21</f>
        <v>5045</v>
      </c>
      <c r="D22" s="328">
        <f t="shared" ref="D22:L22" si="3">+D16+D17+D18+D19+D20+D21</f>
        <v>6056</v>
      </c>
      <c r="E22" s="328">
        <f t="shared" si="3"/>
        <v>6144</v>
      </c>
      <c r="F22" s="328">
        <f t="shared" si="3"/>
        <v>5045</v>
      </c>
      <c r="G22" s="328">
        <f t="shared" si="3"/>
        <v>5046</v>
      </c>
      <c r="H22" s="328">
        <f t="shared" si="3"/>
        <v>4751</v>
      </c>
      <c r="I22" s="328">
        <f t="shared" si="3"/>
        <v>4751</v>
      </c>
      <c r="J22" s="328">
        <f t="shared" si="3"/>
        <v>4751</v>
      </c>
      <c r="K22" s="328">
        <f t="shared" si="3"/>
        <v>4751</v>
      </c>
      <c r="L22" s="328">
        <f t="shared" si="3"/>
        <v>4751</v>
      </c>
      <c r="M22" s="328">
        <f>SUM(M16:M20)+M21</f>
        <v>4750</v>
      </c>
      <c r="N22" s="321">
        <f t="shared" si="2"/>
        <v>60886</v>
      </c>
      <c r="O22" s="342">
        <f>O16+O17+O18+O19+O20+O21</f>
        <v>60886</v>
      </c>
    </row>
    <row r="23" spans="1:16" ht="18" hidden="1" customHeight="1" x14ac:dyDescent="0.25">
      <c r="A23" s="343"/>
      <c r="B23" s="344">
        <f>+B14-B22</f>
        <v>104</v>
      </c>
      <c r="C23" s="344">
        <f t="shared" ref="C23:I23" si="4">+C14-C22</f>
        <v>105</v>
      </c>
      <c r="D23" s="344">
        <f t="shared" si="4"/>
        <v>-905</v>
      </c>
      <c r="E23" s="344">
        <f t="shared" si="4"/>
        <v>-993</v>
      </c>
      <c r="F23" s="344">
        <f t="shared" si="4"/>
        <v>106</v>
      </c>
      <c r="G23" s="344">
        <f t="shared" si="4"/>
        <v>105</v>
      </c>
      <c r="H23" s="344">
        <f t="shared" si="4"/>
        <v>244</v>
      </c>
      <c r="I23" s="344">
        <f t="shared" si="4"/>
        <v>244</v>
      </c>
      <c r="J23" s="344">
        <f>+J14-J22</f>
        <v>246</v>
      </c>
      <c r="K23" s="344">
        <f>+K14-K22</f>
        <v>248</v>
      </c>
      <c r="L23" s="344">
        <f>+L14-L22</f>
        <v>248</v>
      </c>
      <c r="M23" s="344">
        <f>+M14-M22</f>
        <v>248</v>
      </c>
      <c r="N23" s="345">
        <f>SUM(N16:N21)</f>
        <v>60886</v>
      </c>
      <c r="O23" s="342"/>
    </row>
    <row r="24" spans="1:16" ht="18" customHeight="1" x14ac:dyDescent="0.25">
      <c r="A24" s="343"/>
      <c r="B24" s="344"/>
      <c r="C24" s="344"/>
      <c r="D24" s="344"/>
      <c r="E24" s="344"/>
      <c r="F24" s="344"/>
      <c r="G24" s="344"/>
      <c r="H24" s="344"/>
      <c r="I24" s="344"/>
      <c r="J24" s="344"/>
      <c r="K24" s="344"/>
      <c r="L24" s="344"/>
      <c r="M24" s="344"/>
      <c r="N24" s="345"/>
      <c r="O24" s="342"/>
    </row>
    <row r="25" spans="1:16" ht="18" customHeight="1" x14ac:dyDescent="0.25">
      <c r="A25" s="343"/>
      <c r="B25" s="344"/>
      <c r="C25" s="344"/>
      <c r="D25" s="344"/>
      <c r="E25" s="344"/>
      <c r="F25" s="344"/>
      <c r="G25" s="344"/>
      <c r="H25" s="344"/>
      <c r="I25" s="344"/>
      <c r="J25" s="344"/>
      <c r="K25" s="344"/>
      <c r="L25" s="344"/>
      <c r="M25" s="344"/>
      <c r="N25" s="345"/>
      <c r="O25" s="342"/>
    </row>
    <row r="26" spans="1:16" ht="18" customHeight="1" x14ac:dyDescent="0.25">
      <c r="A26" s="343"/>
      <c r="B26" s="344"/>
      <c r="C26" s="344"/>
      <c r="D26" s="344"/>
      <c r="E26" s="344"/>
      <c r="F26" s="344"/>
      <c r="G26" s="344"/>
      <c r="H26" s="344"/>
      <c r="I26" s="344"/>
      <c r="J26" s="344"/>
      <c r="K26" s="344"/>
      <c r="L26" s="344"/>
      <c r="M26" s="344"/>
      <c r="N26" s="345"/>
      <c r="O26" s="342"/>
    </row>
    <row r="27" spans="1:16" ht="18" customHeight="1" x14ac:dyDescent="0.25">
      <c r="A27" s="343"/>
      <c r="B27" s="344"/>
      <c r="C27" s="344"/>
      <c r="D27" s="344"/>
      <c r="E27" s="344"/>
      <c r="F27" s="344"/>
      <c r="G27" s="344"/>
      <c r="H27" s="344"/>
      <c r="I27" s="344"/>
      <c r="J27" s="344"/>
      <c r="K27" s="344"/>
      <c r="L27" s="344"/>
      <c r="M27" s="344"/>
      <c r="N27" s="345"/>
      <c r="O27" s="342"/>
    </row>
    <row r="28" spans="1:16" ht="18" customHeight="1" x14ac:dyDescent="0.25">
      <c r="A28" s="343"/>
      <c r="B28" s="344"/>
      <c r="C28" s="344"/>
      <c r="D28" s="344"/>
      <c r="E28" s="344"/>
      <c r="F28" s="344"/>
      <c r="G28" s="344"/>
      <c r="H28" s="344"/>
      <c r="I28" s="344"/>
      <c r="J28" s="344"/>
      <c r="K28" s="344"/>
      <c r="L28" s="344"/>
      <c r="M28" s="344"/>
      <c r="N28" s="345"/>
      <c r="O28" s="342"/>
    </row>
    <row r="29" spans="1:16" ht="18" customHeight="1" x14ac:dyDescent="0.25">
      <c r="A29" s="343"/>
      <c r="B29" s="344"/>
      <c r="C29" s="344"/>
      <c r="D29" s="344"/>
      <c r="E29" s="344"/>
      <c r="F29" s="344"/>
      <c r="G29" s="344"/>
      <c r="H29" s="344"/>
      <c r="I29" s="344"/>
      <c r="J29" s="344"/>
      <c r="K29" s="344"/>
      <c r="L29" s="344"/>
      <c r="M29" s="344"/>
      <c r="N29" s="345"/>
      <c r="O29" s="342"/>
    </row>
    <row r="30" spans="1:16" ht="18" customHeight="1" x14ac:dyDescent="0.25">
      <c r="A30" s="343"/>
      <c r="B30" s="344"/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345"/>
      <c r="O30" s="342"/>
    </row>
    <row r="31" spans="1:16" ht="18" customHeight="1" x14ac:dyDescent="0.25">
      <c r="A31" s="343"/>
      <c r="B31" s="344"/>
      <c r="C31" s="344"/>
      <c r="D31" s="344"/>
      <c r="E31" s="344"/>
      <c r="F31" s="344"/>
      <c r="G31" s="344"/>
      <c r="H31" s="344"/>
      <c r="I31" s="344"/>
      <c r="J31" s="344"/>
      <c r="K31" s="344"/>
      <c r="L31" s="344"/>
      <c r="M31" s="344"/>
      <c r="N31" s="345"/>
      <c r="O31" s="342"/>
    </row>
    <row r="32" spans="1:16" x14ac:dyDescent="0.25">
      <c r="B32" s="347"/>
      <c r="C32" s="347"/>
      <c r="D32" s="347"/>
      <c r="E32" s="347"/>
      <c r="F32" s="347"/>
      <c r="G32" s="347"/>
      <c r="H32" s="347"/>
      <c r="I32" s="347"/>
      <c r="J32" s="347"/>
      <c r="K32" s="347"/>
      <c r="L32" s="347"/>
      <c r="M32" s="347"/>
      <c r="N32" s="347"/>
    </row>
    <row r="38" spans="1:1" x14ac:dyDescent="0.25">
      <c r="A38" s="348"/>
    </row>
    <row r="39" spans="1:1" x14ac:dyDescent="0.25">
      <c r="A39" s="348"/>
    </row>
    <row r="40" spans="1:1" x14ac:dyDescent="0.25">
      <c r="A40" s="348"/>
    </row>
    <row r="41" spans="1:1" x14ac:dyDescent="0.25">
      <c r="A41" s="348"/>
    </row>
    <row r="42" spans="1:1" x14ac:dyDescent="0.25">
      <c r="A42" s="348"/>
    </row>
    <row r="43" spans="1:1" x14ac:dyDescent="0.25">
      <c r="A43" s="348"/>
    </row>
    <row r="44" spans="1:1" x14ac:dyDescent="0.25">
      <c r="A44" s="348"/>
    </row>
    <row r="45" spans="1:1" x14ac:dyDescent="0.25">
      <c r="A45" s="348"/>
    </row>
    <row r="46" spans="1:1" x14ac:dyDescent="0.25">
      <c r="A46" s="348"/>
    </row>
    <row r="47" spans="1:1" x14ac:dyDescent="0.25">
      <c r="A47" s="348"/>
    </row>
    <row r="48" spans="1:1" x14ac:dyDescent="0.25">
      <c r="A48" s="348"/>
    </row>
    <row r="49" spans="1:17" x14ac:dyDescent="0.25">
      <c r="A49" s="348"/>
      <c r="Q49" s="338">
        <f>+O49+O39</f>
        <v>0</v>
      </c>
    </row>
    <row r="50" spans="1:17" x14ac:dyDescent="0.25">
      <c r="A50" s="348"/>
    </row>
    <row r="51" spans="1:17" x14ac:dyDescent="0.25">
      <c r="A51" s="348"/>
    </row>
    <row r="52" spans="1:17" x14ac:dyDescent="0.25">
      <c r="A52" s="348"/>
    </row>
    <row r="53" spans="1:17" x14ac:dyDescent="0.25">
      <c r="A53" s="348"/>
    </row>
    <row r="54" spans="1:17" x14ac:dyDescent="0.25">
      <c r="A54" s="348"/>
    </row>
    <row r="55" spans="1:17" x14ac:dyDescent="0.25">
      <c r="A55" s="348"/>
    </row>
    <row r="56" spans="1:17" x14ac:dyDescent="0.25">
      <c r="A56" s="348"/>
    </row>
    <row r="57" spans="1:17" x14ac:dyDescent="0.25">
      <c r="A57" s="348"/>
    </row>
    <row r="58" spans="1:17" x14ac:dyDescent="0.25">
      <c r="A58" s="348"/>
    </row>
    <row r="62" spans="1:17" x14ac:dyDescent="0.25">
      <c r="L62" s="349"/>
    </row>
  </sheetData>
  <mergeCells count="4">
    <mergeCell ref="A1:N1"/>
    <mergeCell ref="A2:N2"/>
    <mergeCell ref="A3:N4"/>
    <mergeCell ref="M5:N5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7030A0"/>
  </sheetPr>
  <dimension ref="A1:K104"/>
  <sheetViews>
    <sheetView workbookViewId="0">
      <selection activeCell="H62" sqref="H62:I62"/>
    </sheetView>
  </sheetViews>
  <sheetFormatPr defaultRowHeight="15.75" x14ac:dyDescent="0.25"/>
  <cols>
    <col min="1" max="1" width="6" style="2" customWidth="1"/>
    <col min="2" max="2" width="5.140625" style="1" customWidth="1"/>
    <col min="3" max="3" width="61.42578125" style="1" customWidth="1"/>
    <col min="4" max="4" width="15.42578125" style="2" customWidth="1"/>
    <col min="5" max="5" width="15.28515625" style="2" customWidth="1"/>
    <col min="6" max="6" width="13.5703125" style="2" customWidth="1"/>
    <col min="7" max="7" width="12.42578125" style="11" customWidth="1"/>
    <col min="8" max="8" width="16.7109375" style="11" bestFit="1" customWidth="1"/>
    <col min="9" max="9" width="14.85546875" style="11" bestFit="1" customWidth="1"/>
    <col min="10" max="16384" width="9.140625" style="11"/>
  </cols>
  <sheetData>
    <row r="1" spans="1:11" ht="20.100000000000001" customHeight="1" x14ac:dyDescent="0.3">
      <c r="A1" s="708" t="s">
        <v>707</v>
      </c>
      <c r="B1" s="709"/>
      <c r="C1" s="709"/>
      <c r="D1" s="709"/>
      <c r="E1" s="709"/>
      <c r="F1" s="709"/>
    </row>
    <row r="2" spans="1:11" ht="20.100000000000001" customHeight="1" x14ac:dyDescent="0.25">
      <c r="A2" s="672"/>
      <c r="B2" s="672"/>
      <c r="C2" s="672"/>
      <c r="D2" s="672"/>
      <c r="E2" s="672"/>
      <c r="F2" s="672"/>
    </row>
    <row r="3" spans="1:11" ht="20.100000000000001" customHeight="1" x14ac:dyDescent="0.25">
      <c r="A3" s="710" t="s">
        <v>271</v>
      </c>
      <c r="B3" s="710"/>
      <c r="C3" s="710"/>
      <c r="D3" s="710"/>
      <c r="E3" s="710"/>
      <c r="F3" s="710"/>
    </row>
    <row r="4" spans="1:11" ht="20.100000000000001" customHeight="1" x14ac:dyDescent="0.25">
      <c r="A4" s="672" t="s">
        <v>4</v>
      </c>
      <c r="B4" s="672"/>
      <c r="C4" s="672"/>
      <c r="D4" s="672"/>
      <c r="E4" s="672"/>
      <c r="F4" s="672"/>
    </row>
    <row r="5" spans="1:11" ht="39" customHeight="1" thickBot="1" x14ac:dyDescent="0.3">
      <c r="A5" s="711" t="s">
        <v>700</v>
      </c>
      <c r="B5" s="711"/>
      <c r="C5" s="711"/>
      <c r="D5" s="711"/>
      <c r="E5" s="711"/>
      <c r="F5" s="711"/>
    </row>
    <row r="6" spans="1:11" ht="20.100000000000001" customHeight="1" x14ac:dyDescent="0.25">
      <c r="A6" s="712" t="s">
        <v>6</v>
      </c>
      <c r="B6" s="715" t="s">
        <v>7</v>
      </c>
      <c r="C6" s="715"/>
      <c r="D6" s="718" t="s">
        <v>378</v>
      </c>
      <c r="E6" s="720" t="s">
        <v>9</v>
      </c>
      <c r="F6" s="720" t="s">
        <v>10</v>
      </c>
      <c r="G6" s="704" t="s">
        <v>11</v>
      </c>
      <c r="H6" s="718" t="s">
        <v>378</v>
      </c>
      <c r="I6" s="720" t="s">
        <v>9</v>
      </c>
      <c r="J6" s="720" t="s">
        <v>10</v>
      </c>
      <c r="K6" s="704" t="s">
        <v>11</v>
      </c>
    </row>
    <row r="7" spans="1:11" ht="38.25" customHeight="1" x14ac:dyDescent="0.25">
      <c r="A7" s="713"/>
      <c r="B7" s="716"/>
      <c r="C7" s="716"/>
      <c r="D7" s="719"/>
      <c r="E7" s="721"/>
      <c r="F7" s="721"/>
      <c r="G7" s="705"/>
      <c r="H7" s="719"/>
      <c r="I7" s="721"/>
      <c r="J7" s="721"/>
      <c r="K7" s="705"/>
    </row>
    <row r="8" spans="1:11" ht="22.5" customHeight="1" thickBot="1" x14ac:dyDescent="0.3">
      <c r="A8" s="905"/>
      <c r="B8" s="906"/>
      <c r="C8" s="906"/>
      <c r="D8" s="901" t="s">
        <v>718</v>
      </c>
      <c r="E8" s="719"/>
      <c r="F8" s="719"/>
      <c r="G8" s="283"/>
      <c r="H8" s="901" t="s">
        <v>898</v>
      </c>
      <c r="I8" s="719"/>
      <c r="J8" s="719"/>
      <c r="K8" s="283"/>
    </row>
    <row r="9" spans="1:11" ht="15.95" customHeight="1" x14ac:dyDescent="0.25">
      <c r="A9" s="420"/>
      <c r="B9" s="715" t="s">
        <v>12</v>
      </c>
      <c r="C9" s="715"/>
      <c r="D9" s="285"/>
      <c r="E9" s="286"/>
      <c r="F9" s="287"/>
      <c r="G9" s="287"/>
      <c r="H9" s="285"/>
      <c r="I9" s="286"/>
      <c r="J9" s="287"/>
      <c r="K9" s="287"/>
    </row>
    <row r="10" spans="1:11" ht="15.95" customHeight="1" x14ac:dyDescent="0.25">
      <c r="A10" s="9">
        <v>1</v>
      </c>
      <c r="B10" s="689" t="s">
        <v>13</v>
      </c>
      <c r="C10" s="689"/>
      <c r="D10" s="17">
        <v>38170</v>
      </c>
      <c r="E10" s="17">
        <v>38170</v>
      </c>
      <c r="F10" s="18"/>
      <c r="G10" s="19"/>
      <c r="H10" s="17">
        <v>37370</v>
      </c>
      <c r="I10" s="17">
        <v>37370</v>
      </c>
      <c r="J10" s="18"/>
      <c r="K10" s="19"/>
    </row>
    <row r="11" spans="1:11" ht="15.95" customHeight="1" x14ac:dyDescent="0.25">
      <c r="A11" s="9">
        <v>2</v>
      </c>
      <c r="B11" s="689" t="s">
        <v>14</v>
      </c>
      <c r="C11" s="689"/>
      <c r="D11" s="17">
        <v>6942</v>
      </c>
      <c r="E11" s="17">
        <v>6942</v>
      </c>
      <c r="F11" s="18"/>
      <c r="G11" s="19"/>
      <c r="H11" s="17">
        <v>6445</v>
      </c>
      <c r="I11" s="17">
        <v>6445</v>
      </c>
      <c r="J11" s="18"/>
      <c r="K11" s="19"/>
    </row>
    <row r="12" spans="1:11" ht="15.95" customHeight="1" x14ac:dyDescent="0.25">
      <c r="A12" s="9">
        <v>3</v>
      </c>
      <c r="B12" s="689" t="s">
        <v>15</v>
      </c>
      <c r="C12" s="689"/>
      <c r="D12" s="17">
        <v>5108</v>
      </c>
      <c r="E12" s="17">
        <v>5108</v>
      </c>
      <c r="F12" s="18"/>
      <c r="G12" s="20"/>
      <c r="H12" s="17">
        <v>5125</v>
      </c>
      <c r="I12" s="17">
        <v>5125</v>
      </c>
      <c r="J12" s="18"/>
      <c r="K12" s="20"/>
    </row>
    <row r="13" spans="1:11" ht="15.95" customHeight="1" x14ac:dyDescent="0.25">
      <c r="A13" s="9" t="s">
        <v>16</v>
      </c>
      <c r="B13" s="689" t="s">
        <v>17</v>
      </c>
      <c r="C13" s="689"/>
      <c r="D13" s="288"/>
      <c r="E13" s="17"/>
      <c r="F13" s="18"/>
      <c r="G13" s="19"/>
      <c r="H13" s="288"/>
      <c r="I13" s="17"/>
      <c r="J13" s="18"/>
      <c r="K13" s="19"/>
    </row>
    <row r="14" spans="1:11" ht="15.95" customHeight="1" x14ac:dyDescent="0.25">
      <c r="A14" s="9" t="s">
        <v>18</v>
      </c>
      <c r="B14" s="695" t="s">
        <v>19</v>
      </c>
      <c r="C14" s="695"/>
      <c r="D14" s="288">
        <f>+D15+D16+D17+D18+D19</f>
        <v>0</v>
      </c>
      <c r="E14" s="17">
        <v>0</v>
      </c>
      <c r="F14" s="23"/>
      <c r="G14" s="23"/>
      <c r="H14" s="288">
        <f>+H15+H16+H17+H18+H19</f>
        <v>0</v>
      </c>
      <c r="I14" s="17">
        <v>0</v>
      </c>
      <c r="J14" s="23"/>
      <c r="K14" s="23"/>
    </row>
    <row r="15" spans="1:11" ht="15.95" customHeight="1" x14ac:dyDescent="0.25">
      <c r="A15" s="9" t="s">
        <v>20</v>
      </c>
      <c r="B15" s="696" t="s">
        <v>130</v>
      </c>
      <c r="C15" s="696"/>
      <c r="D15" s="288"/>
      <c r="E15" s="17"/>
      <c r="F15" s="18"/>
      <c r="G15" s="19"/>
      <c r="H15" s="288"/>
      <c r="I15" s="17"/>
      <c r="J15" s="18"/>
      <c r="K15" s="19"/>
    </row>
    <row r="16" spans="1:11" ht="15.95" customHeight="1" x14ac:dyDescent="0.25">
      <c r="A16" s="9" t="s">
        <v>21</v>
      </c>
      <c r="B16" s="696" t="s">
        <v>22</v>
      </c>
      <c r="C16" s="696"/>
      <c r="D16" s="288"/>
      <c r="E16" s="17"/>
      <c r="F16" s="18"/>
      <c r="G16" s="19"/>
      <c r="H16" s="288"/>
      <c r="I16" s="17"/>
      <c r="J16" s="18"/>
      <c r="K16" s="19"/>
    </row>
    <row r="17" spans="1:11" ht="15.95" customHeight="1" x14ac:dyDescent="0.25">
      <c r="A17" s="9"/>
      <c r="B17" s="904" t="s">
        <v>133</v>
      </c>
      <c r="C17" s="904"/>
      <c r="D17" s="288"/>
      <c r="E17" s="17"/>
      <c r="F17" s="18"/>
      <c r="G17" s="19"/>
      <c r="H17" s="288"/>
      <c r="I17" s="17"/>
      <c r="J17" s="18"/>
      <c r="K17" s="19"/>
    </row>
    <row r="18" spans="1:11" ht="15.95" customHeight="1" x14ac:dyDescent="0.25">
      <c r="A18" s="9" t="s">
        <v>23</v>
      </c>
      <c r="B18" s="699" t="s">
        <v>24</v>
      </c>
      <c r="C18" s="699"/>
      <c r="D18" s="288"/>
      <c r="E18" s="17"/>
      <c r="F18" s="18"/>
      <c r="G18" s="19"/>
      <c r="H18" s="288"/>
      <c r="I18" s="17"/>
      <c r="J18" s="18"/>
      <c r="K18" s="19"/>
    </row>
    <row r="19" spans="1:11" ht="15.95" customHeight="1" x14ac:dyDescent="0.25">
      <c r="A19" s="9" t="s">
        <v>25</v>
      </c>
      <c r="B19" s="699" t="s">
        <v>299</v>
      </c>
      <c r="C19" s="902"/>
      <c r="D19" s="288"/>
      <c r="E19" s="17"/>
      <c r="F19" s="18"/>
      <c r="G19" s="19"/>
      <c r="H19" s="288"/>
      <c r="I19" s="17"/>
      <c r="J19" s="18"/>
      <c r="K19" s="19"/>
    </row>
    <row r="20" spans="1:11" ht="15.95" customHeight="1" x14ac:dyDescent="0.25">
      <c r="A20" s="9"/>
      <c r="B20" s="689" t="s">
        <v>26</v>
      </c>
      <c r="C20" s="689"/>
      <c r="D20" s="289"/>
      <c r="E20" s="32"/>
      <c r="F20" s="329"/>
      <c r="G20" s="291"/>
      <c r="H20" s="289"/>
      <c r="I20" s="32"/>
      <c r="J20" s="329"/>
      <c r="K20" s="291"/>
    </row>
    <row r="21" spans="1:11" ht="15.95" customHeight="1" x14ac:dyDescent="0.25">
      <c r="A21" s="9" t="s">
        <v>1</v>
      </c>
      <c r="B21" s="419" t="s">
        <v>28</v>
      </c>
      <c r="C21" s="292"/>
      <c r="D21" s="288">
        <f>+D10+D11+D12+D13+D14+D20</f>
        <v>50220</v>
      </c>
      <c r="E21" s="288">
        <f>+E10+E11+E12+E13+E14+E20</f>
        <v>50220</v>
      </c>
      <c r="F21" s="17"/>
      <c r="G21" s="17"/>
      <c r="H21" s="288">
        <f>+H10+H11+H12+H13+H14+H20</f>
        <v>48940</v>
      </c>
      <c r="I21" s="288">
        <f>+I10+I11+I12+I13+I14+I20</f>
        <v>48940</v>
      </c>
      <c r="J21" s="17"/>
      <c r="K21" s="17"/>
    </row>
    <row r="22" spans="1:11" ht="15.95" customHeight="1" x14ac:dyDescent="0.25">
      <c r="A22" s="9" t="s">
        <v>29</v>
      </c>
      <c r="B22" s="689" t="s">
        <v>30</v>
      </c>
      <c r="C22" s="689"/>
      <c r="D22" s="289">
        <v>200</v>
      </c>
      <c r="E22" s="32">
        <v>200</v>
      </c>
      <c r="F22" s="18"/>
      <c r="G22" s="19"/>
      <c r="H22" s="289">
        <v>200</v>
      </c>
      <c r="I22" s="32">
        <v>200</v>
      </c>
      <c r="J22" s="18"/>
      <c r="K22" s="19"/>
    </row>
    <row r="23" spans="1:11" ht="15.95" customHeight="1" x14ac:dyDescent="0.25">
      <c r="A23" s="9" t="s">
        <v>31</v>
      </c>
      <c r="B23" s="689" t="s">
        <v>32</v>
      </c>
      <c r="C23" s="689"/>
      <c r="D23" s="289"/>
      <c r="E23" s="32"/>
      <c r="F23" s="18"/>
      <c r="G23" s="19"/>
      <c r="H23" s="289"/>
      <c r="I23" s="32"/>
      <c r="J23" s="18"/>
      <c r="K23" s="19"/>
    </row>
    <row r="24" spans="1:11" ht="15.95" customHeight="1" x14ac:dyDescent="0.25">
      <c r="A24" s="9" t="s">
        <v>33</v>
      </c>
      <c r="B24" s="689" t="s">
        <v>137</v>
      </c>
      <c r="C24" s="689"/>
      <c r="D24" s="289"/>
      <c r="E24" s="32"/>
      <c r="F24" s="18"/>
      <c r="G24" s="19"/>
      <c r="H24" s="289"/>
      <c r="I24" s="32"/>
      <c r="J24" s="18"/>
      <c r="K24" s="19"/>
    </row>
    <row r="25" spans="1:11" ht="15.95" customHeight="1" x14ac:dyDescent="0.25">
      <c r="A25" s="9" t="s">
        <v>35</v>
      </c>
      <c r="B25" s="689" t="s">
        <v>36</v>
      </c>
      <c r="C25" s="689"/>
      <c r="D25" s="289">
        <f>+D22+D23+D24</f>
        <v>200</v>
      </c>
      <c r="E25" s="289">
        <f>+E22+E23+E24</f>
        <v>200</v>
      </c>
      <c r="F25" s="18"/>
      <c r="G25" s="19"/>
      <c r="H25" s="289">
        <f>+H22+H23+H24</f>
        <v>200</v>
      </c>
      <c r="I25" s="289">
        <f>+I22+I23+I24</f>
        <v>200</v>
      </c>
      <c r="J25" s="18"/>
      <c r="K25" s="19"/>
    </row>
    <row r="26" spans="1:11" ht="15.95" customHeight="1" x14ac:dyDescent="0.25">
      <c r="A26" s="9" t="s">
        <v>37</v>
      </c>
      <c r="B26" s="689"/>
      <c r="C26" s="689"/>
      <c r="D26" s="289"/>
      <c r="E26" s="32"/>
      <c r="F26" s="18"/>
      <c r="G26" s="19"/>
      <c r="H26" s="289"/>
      <c r="I26" s="32"/>
      <c r="J26" s="18"/>
      <c r="K26" s="19"/>
    </row>
    <row r="27" spans="1:11" ht="15.95" customHeight="1" x14ac:dyDescent="0.25">
      <c r="A27" s="9" t="s">
        <v>38</v>
      </c>
      <c r="B27" s="691"/>
      <c r="C27" s="691"/>
      <c r="D27" s="293"/>
      <c r="E27" s="34"/>
      <c r="F27" s="18">
        <f>+D27+E27</f>
        <v>0</v>
      </c>
      <c r="G27" s="19"/>
      <c r="H27" s="293"/>
      <c r="I27" s="34"/>
      <c r="J27" s="18">
        <f>+H27+I27</f>
        <v>0</v>
      </c>
      <c r="K27" s="19"/>
    </row>
    <row r="28" spans="1:11" ht="15.95" customHeight="1" x14ac:dyDescent="0.25">
      <c r="A28" s="9" t="s">
        <v>39</v>
      </c>
      <c r="B28" s="691"/>
      <c r="C28" s="691"/>
      <c r="D28" s="293"/>
      <c r="E28" s="294"/>
      <c r="F28" s="18">
        <f>+D28+E28</f>
        <v>0</v>
      </c>
      <c r="G28" s="19"/>
      <c r="H28" s="293"/>
      <c r="I28" s="294"/>
      <c r="J28" s="18">
        <f>+H28+I28</f>
        <v>0</v>
      </c>
      <c r="K28" s="19"/>
    </row>
    <row r="29" spans="1:11" ht="15.95" customHeight="1" x14ac:dyDescent="0.3">
      <c r="A29" s="36" t="s">
        <v>40</v>
      </c>
      <c r="B29" s="685" t="s">
        <v>300</v>
      </c>
      <c r="C29" s="685"/>
      <c r="D29" s="295">
        <f t="shared" ref="D29:K29" si="0">+D21+D25+D26+D27+D28</f>
        <v>50420</v>
      </c>
      <c r="E29" s="295">
        <f t="shared" si="0"/>
        <v>50420</v>
      </c>
      <c r="F29" s="295">
        <f t="shared" si="0"/>
        <v>0</v>
      </c>
      <c r="G29" s="295">
        <f t="shared" si="0"/>
        <v>0</v>
      </c>
      <c r="H29" s="295">
        <f t="shared" si="0"/>
        <v>49140</v>
      </c>
      <c r="I29" s="295">
        <f t="shared" si="0"/>
        <v>49140</v>
      </c>
      <c r="J29" s="295">
        <f t="shared" si="0"/>
        <v>0</v>
      </c>
      <c r="K29" s="295">
        <f t="shared" si="0"/>
        <v>0</v>
      </c>
    </row>
    <row r="30" spans="1:11" ht="15.95" customHeight="1" x14ac:dyDescent="0.25">
      <c r="A30" s="40"/>
      <c r="B30" s="903"/>
      <c r="C30" s="903"/>
      <c r="D30" s="125"/>
      <c r="E30" s="297"/>
      <c r="F30" s="96"/>
      <c r="G30" s="96"/>
      <c r="H30" s="125"/>
      <c r="I30" s="297"/>
      <c r="J30" s="96"/>
      <c r="K30" s="96"/>
    </row>
    <row r="31" spans="1:11" ht="15.95" customHeight="1" x14ac:dyDescent="0.25">
      <c r="A31" s="9"/>
      <c r="B31" s="758" t="s">
        <v>42</v>
      </c>
      <c r="C31" s="758"/>
      <c r="D31" s="289"/>
      <c r="E31" s="32"/>
      <c r="F31" s="18"/>
      <c r="G31" s="19"/>
      <c r="H31" s="289"/>
      <c r="I31" s="32"/>
      <c r="J31" s="18"/>
      <c r="K31" s="19"/>
    </row>
    <row r="32" spans="1:11" ht="15.95" customHeight="1" x14ac:dyDescent="0.25">
      <c r="A32" s="9" t="s">
        <v>43</v>
      </c>
      <c r="B32" s="683" t="s">
        <v>44</v>
      </c>
      <c r="C32" s="683"/>
      <c r="D32" s="289"/>
      <c r="E32" s="32"/>
      <c r="F32" s="18"/>
      <c r="G32" s="19">
        <v>0</v>
      </c>
      <c r="H32" s="289">
        <v>2</v>
      </c>
      <c r="I32" s="32">
        <v>2</v>
      </c>
      <c r="J32" s="18"/>
      <c r="K32" s="19">
        <v>0</v>
      </c>
    </row>
    <row r="33" spans="1:11" ht="15.95" customHeight="1" x14ac:dyDescent="0.25">
      <c r="A33" s="9" t="s">
        <v>45</v>
      </c>
      <c r="B33" s="683" t="s">
        <v>46</v>
      </c>
      <c r="C33" s="683"/>
      <c r="D33" s="289">
        <f>SUM(D34:D36)</f>
        <v>0</v>
      </c>
      <c r="E33" s="32">
        <f>SUM(E34:E36)</f>
        <v>0</v>
      </c>
      <c r="F33" s="32">
        <f>SUM(F34:F36)</f>
        <v>0</v>
      </c>
      <c r="G33" s="19"/>
      <c r="H33" s="289">
        <f>SUM(H34:H36)</f>
        <v>0</v>
      </c>
      <c r="I33" s="32">
        <f>SUM(I34:I36)</f>
        <v>0</v>
      </c>
      <c r="J33" s="32">
        <f>SUM(J34:J36)</f>
        <v>0</v>
      </c>
      <c r="K33" s="19"/>
    </row>
    <row r="34" spans="1:11" ht="15.95" customHeight="1" x14ac:dyDescent="0.25">
      <c r="A34" s="9"/>
      <c r="B34" s="51" t="s">
        <v>47</v>
      </c>
      <c r="C34" s="52" t="s">
        <v>48</v>
      </c>
      <c r="D34" s="289"/>
      <c r="E34" s="32"/>
      <c r="F34" s="18"/>
      <c r="G34" s="19"/>
      <c r="H34" s="289"/>
      <c r="I34" s="32"/>
      <c r="J34" s="18"/>
      <c r="K34" s="19"/>
    </row>
    <row r="35" spans="1:11" ht="15.95" customHeight="1" x14ac:dyDescent="0.25">
      <c r="A35" s="9"/>
      <c r="B35" s="51" t="s">
        <v>49</v>
      </c>
      <c r="C35" s="52" t="s">
        <v>50</v>
      </c>
      <c r="D35" s="289"/>
      <c r="E35" s="32"/>
      <c r="F35" s="18"/>
      <c r="G35" s="19"/>
      <c r="H35" s="289"/>
      <c r="I35" s="32"/>
      <c r="J35" s="18"/>
      <c r="K35" s="19"/>
    </row>
    <row r="36" spans="1:11" ht="15.95" customHeight="1" x14ac:dyDescent="0.25">
      <c r="A36" s="9"/>
      <c r="B36" s="51" t="s">
        <v>51</v>
      </c>
      <c r="C36" s="52" t="s">
        <v>52</v>
      </c>
      <c r="D36" s="289"/>
      <c r="E36" s="32"/>
      <c r="F36" s="18"/>
      <c r="G36" s="19"/>
      <c r="H36" s="289"/>
      <c r="I36" s="32"/>
      <c r="J36" s="18"/>
      <c r="K36" s="19"/>
    </row>
    <row r="37" spans="1:11" ht="15.95" customHeight="1" x14ac:dyDescent="0.25">
      <c r="A37" s="9" t="s">
        <v>53</v>
      </c>
      <c r="B37" s="683" t="s">
        <v>54</v>
      </c>
      <c r="C37" s="683"/>
      <c r="D37" s="289">
        <f>SUM(D38:D40)</f>
        <v>0</v>
      </c>
      <c r="E37" s="289">
        <f>SUM(E38:E40)</f>
        <v>0</v>
      </c>
      <c r="F37" s="18">
        <f>SUM(F38:F40)</f>
        <v>0</v>
      </c>
      <c r="G37" s="19"/>
      <c r="H37" s="289">
        <f>SUM(H38:H40)</f>
        <v>0</v>
      </c>
      <c r="I37" s="289">
        <f>SUM(I38:I40)</f>
        <v>0</v>
      </c>
      <c r="J37" s="18">
        <f>SUM(J38:J40)</f>
        <v>0</v>
      </c>
      <c r="K37" s="19"/>
    </row>
    <row r="38" spans="1:11" ht="15.95" customHeight="1" x14ac:dyDescent="0.25">
      <c r="A38" s="9"/>
      <c r="B38" s="55" t="s">
        <v>55</v>
      </c>
      <c r="C38" s="418" t="s">
        <v>56</v>
      </c>
      <c r="D38" s="289">
        <v>0</v>
      </c>
      <c r="E38" s="32">
        <v>0</v>
      </c>
      <c r="F38" s="18"/>
      <c r="G38" s="19"/>
      <c r="H38" s="289">
        <v>0</v>
      </c>
      <c r="I38" s="32">
        <v>0</v>
      </c>
      <c r="J38" s="18"/>
      <c r="K38" s="19"/>
    </row>
    <row r="39" spans="1:11" ht="15.95" customHeight="1" x14ac:dyDescent="0.25">
      <c r="A39" s="9"/>
      <c r="B39" s="55" t="s">
        <v>57</v>
      </c>
      <c r="C39" s="418" t="s">
        <v>58</v>
      </c>
      <c r="D39" s="289"/>
      <c r="E39" s="32"/>
      <c r="F39" s="18">
        <f t="shared" ref="F39:F45" si="1">SUM(D39:D39)</f>
        <v>0</v>
      </c>
      <c r="G39" s="19"/>
      <c r="H39" s="289"/>
      <c r="I39" s="32"/>
      <c r="J39" s="18">
        <f t="shared" ref="J39" si="2">SUM(H39:H39)</f>
        <v>0</v>
      </c>
      <c r="K39" s="19"/>
    </row>
    <row r="40" spans="1:11" ht="15.95" customHeight="1" x14ac:dyDescent="0.25">
      <c r="A40" s="9"/>
      <c r="B40" s="55" t="s">
        <v>59</v>
      </c>
      <c r="C40" s="418" t="s">
        <v>60</v>
      </c>
      <c r="D40" s="289"/>
      <c r="E40" s="32"/>
      <c r="F40" s="18"/>
      <c r="G40" s="19"/>
      <c r="H40" s="289"/>
      <c r="I40" s="32"/>
      <c r="J40" s="18"/>
      <c r="K40" s="19"/>
    </row>
    <row r="41" spans="1:11" ht="15.95" customHeight="1" x14ac:dyDescent="0.25">
      <c r="A41" s="9" t="s">
        <v>16</v>
      </c>
      <c r="B41" s="683" t="s">
        <v>61</v>
      </c>
      <c r="C41" s="683"/>
      <c r="D41" s="289">
        <f>SUM(D42:D45)</f>
        <v>0</v>
      </c>
      <c r="E41" s="32">
        <f>SUM(E42:E45)</f>
        <v>0</v>
      </c>
      <c r="F41" s="32">
        <f>SUM(F42:F45)</f>
        <v>0</v>
      </c>
      <c r="G41" s="19"/>
      <c r="H41" s="289">
        <f>SUM(H42:H45)</f>
        <v>0</v>
      </c>
      <c r="I41" s="32">
        <f>SUM(I42:I45)</f>
        <v>0</v>
      </c>
      <c r="J41" s="32">
        <f>SUM(J42:J45)</f>
        <v>0</v>
      </c>
      <c r="K41" s="19"/>
    </row>
    <row r="42" spans="1:11" ht="15.95" customHeight="1" x14ac:dyDescent="0.25">
      <c r="A42" s="9"/>
      <c r="B42" s="55" t="s">
        <v>62</v>
      </c>
      <c r="C42" s="418" t="s">
        <v>704</v>
      </c>
      <c r="D42" s="289"/>
      <c r="E42" s="32"/>
      <c r="F42" s="18"/>
      <c r="G42" s="19"/>
      <c r="H42" s="289"/>
      <c r="I42" s="32"/>
      <c r="J42" s="18"/>
      <c r="K42" s="19"/>
    </row>
    <row r="43" spans="1:11" ht="15.95" customHeight="1" x14ac:dyDescent="0.25">
      <c r="A43" s="9"/>
      <c r="B43" s="55" t="s">
        <v>64</v>
      </c>
      <c r="C43" s="418" t="s">
        <v>65</v>
      </c>
      <c r="D43" s="289"/>
      <c r="E43" s="32"/>
      <c r="F43" s="18">
        <f t="shared" si="1"/>
        <v>0</v>
      </c>
      <c r="G43" s="19"/>
      <c r="H43" s="289"/>
      <c r="I43" s="32"/>
      <c r="J43" s="18">
        <f t="shared" ref="J43:J45" si="3">SUM(H43:H43)</f>
        <v>0</v>
      </c>
      <c r="K43" s="19"/>
    </row>
    <row r="44" spans="1:11" ht="15.95" customHeight="1" x14ac:dyDescent="0.25">
      <c r="A44" s="9"/>
      <c r="B44" s="55" t="s">
        <v>66</v>
      </c>
      <c r="C44" s="418" t="s">
        <v>301</v>
      </c>
      <c r="D44" s="289"/>
      <c r="E44" s="32"/>
      <c r="F44" s="18">
        <f t="shared" si="1"/>
        <v>0</v>
      </c>
      <c r="G44" s="19"/>
      <c r="H44" s="289"/>
      <c r="I44" s="32"/>
      <c r="J44" s="18">
        <f t="shared" si="3"/>
        <v>0</v>
      </c>
      <c r="K44" s="19"/>
    </row>
    <row r="45" spans="1:11" ht="15.95" customHeight="1" x14ac:dyDescent="0.25">
      <c r="A45" s="9"/>
      <c r="B45" s="55" t="s">
        <v>68</v>
      </c>
      <c r="C45" s="418" t="s">
        <v>69</v>
      </c>
      <c r="D45" s="289"/>
      <c r="E45" s="32"/>
      <c r="F45" s="18">
        <f t="shared" si="1"/>
        <v>0</v>
      </c>
      <c r="G45" s="19"/>
      <c r="H45" s="289"/>
      <c r="I45" s="32"/>
      <c r="J45" s="18">
        <f t="shared" si="3"/>
        <v>0</v>
      </c>
      <c r="K45" s="19"/>
    </row>
    <row r="46" spans="1:11" s="333" customFormat="1" ht="15.95" customHeight="1" x14ac:dyDescent="0.25">
      <c r="A46" s="26" t="s">
        <v>1</v>
      </c>
      <c r="B46" s="687" t="s">
        <v>70</v>
      </c>
      <c r="C46" s="687"/>
      <c r="D46" s="289">
        <f t="shared" ref="D46:K46" si="4">+D32+D33+D37+D41</f>
        <v>0</v>
      </c>
      <c r="E46" s="32">
        <f t="shared" si="4"/>
        <v>0</v>
      </c>
      <c r="F46" s="289">
        <f t="shared" si="4"/>
        <v>0</v>
      </c>
      <c r="G46" s="289">
        <f t="shared" si="4"/>
        <v>0</v>
      </c>
      <c r="H46" s="289">
        <f t="shared" si="4"/>
        <v>2</v>
      </c>
      <c r="I46" s="32">
        <f t="shared" si="4"/>
        <v>2</v>
      </c>
      <c r="J46" s="289">
        <f t="shared" si="4"/>
        <v>0</v>
      </c>
      <c r="K46" s="289">
        <f t="shared" si="4"/>
        <v>0</v>
      </c>
    </row>
    <row r="47" spans="1:11" ht="15.95" customHeight="1" x14ac:dyDescent="0.25">
      <c r="A47" s="9" t="s">
        <v>18</v>
      </c>
      <c r="B47" s="683" t="s">
        <v>71</v>
      </c>
      <c r="C47" s="683"/>
      <c r="D47" s="289">
        <f>SUM(D48:D49)</f>
        <v>0</v>
      </c>
      <c r="E47" s="32">
        <f>SUM(E48:E49)</f>
        <v>0</v>
      </c>
      <c r="F47" s="32">
        <f>SUM(F48:F49)</f>
        <v>0</v>
      </c>
      <c r="G47" s="19"/>
      <c r="H47" s="289">
        <f>SUM(H48:H49)</f>
        <v>0</v>
      </c>
      <c r="I47" s="32">
        <f>SUM(I48:I49)</f>
        <v>0</v>
      </c>
      <c r="J47" s="32">
        <f>SUM(J48:J49)</f>
        <v>0</v>
      </c>
      <c r="K47" s="19"/>
    </row>
    <row r="48" spans="1:11" ht="15.95" customHeight="1" x14ac:dyDescent="0.25">
      <c r="A48" s="9"/>
      <c r="B48" s="55" t="s">
        <v>72</v>
      </c>
      <c r="C48" s="418" t="s">
        <v>73</v>
      </c>
      <c r="D48" s="289"/>
      <c r="E48" s="32"/>
      <c r="F48" s="18">
        <f t="shared" ref="F48:F56" si="5">SUM(D48:D48)</f>
        <v>0</v>
      </c>
      <c r="G48" s="19"/>
      <c r="H48" s="289"/>
      <c r="I48" s="32"/>
      <c r="J48" s="18">
        <f t="shared" ref="J48" si="6">SUM(H48:H48)</f>
        <v>0</v>
      </c>
      <c r="K48" s="19"/>
    </row>
    <row r="49" spans="1:11" ht="15.95" customHeight="1" x14ac:dyDescent="0.25">
      <c r="A49" s="9"/>
      <c r="B49" s="55" t="s">
        <v>74</v>
      </c>
      <c r="C49" s="418" t="s">
        <v>75</v>
      </c>
      <c r="D49" s="289"/>
      <c r="E49" s="32"/>
      <c r="F49" s="18"/>
      <c r="G49" s="19"/>
      <c r="H49" s="289"/>
      <c r="I49" s="32"/>
      <c r="J49" s="18"/>
      <c r="K49" s="19"/>
    </row>
    <row r="50" spans="1:11" ht="15.95" customHeight="1" x14ac:dyDescent="0.25">
      <c r="A50" s="9" t="s">
        <v>29</v>
      </c>
      <c r="B50" s="683" t="s">
        <v>76</v>
      </c>
      <c r="C50" s="683"/>
      <c r="D50" s="289">
        <f>SUM(D51:D52)</f>
        <v>0</v>
      </c>
      <c r="E50" s="32">
        <f>SUM(E51:E52)</f>
        <v>0</v>
      </c>
      <c r="F50" s="18">
        <f t="shared" si="5"/>
        <v>0</v>
      </c>
      <c r="G50" s="19"/>
      <c r="H50" s="289">
        <f>SUM(H51:H52)</f>
        <v>0</v>
      </c>
      <c r="I50" s="32">
        <f>SUM(I51:I52)</f>
        <v>0</v>
      </c>
      <c r="J50" s="18">
        <f t="shared" ref="J50:J52" si="7">SUM(H50:H50)</f>
        <v>0</v>
      </c>
      <c r="K50" s="19"/>
    </row>
    <row r="51" spans="1:11" ht="15.95" customHeight="1" x14ac:dyDescent="0.25">
      <c r="A51" s="9"/>
      <c r="B51" s="55" t="s">
        <v>77</v>
      </c>
      <c r="C51" s="418" t="s">
        <v>78</v>
      </c>
      <c r="D51" s="289"/>
      <c r="E51" s="32"/>
      <c r="F51" s="18">
        <f t="shared" si="5"/>
        <v>0</v>
      </c>
      <c r="G51" s="19"/>
      <c r="H51" s="289"/>
      <c r="I51" s="32"/>
      <c r="J51" s="18">
        <f t="shared" si="7"/>
        <v>0</v>
      </c>
      <c r="K51" s="19"/>
    </row>
    <row r="52" spans="1:11" ht="15.95" customHeight="1" x14ac:dyDescent="0.25">
      <c r="A52" s="9"/>
      <c r="B52" s="55" t="s">
        <v>79</v>
      </c>
      <c r="C52" s="418" t="s">
        <v>80</v>
      </c>
      <c r="D52" s="289">
        <v>0</v>
      </c>
      <c r="E52" s="32"/>
      <c r="F52" s="18">
        <f t="shared" si="5"/>
        <v>0</v>
      </c>
      <c r="G52" s="19"/>
      <c r="H52" s="289">
        <v>0</v>
      </c>
      <c r="I52" s="32"/>
      <c r="J52" s="18">
        <f t="shared" si="7"/>
        <v>0</v>
      </c>
      <c r="K52" s="19"/>
    </row>
    <row r="53" spans="1:11" ht="15.95" customHeight="1" x14ac:dyDescent="0.25">
      <c r="A53" s="9" t="s">
        <v>31</v>
      </c>
      <c r="B53" s="683" t="s">
        <v>81</v>
      </c>
      <c r="C53" s="683"/>
      <c r="D53" s="289">
        <f>SUM(D54:D56)</f>
        <v>0</v>
      </c>
      <c r="E53" s="32">
        <f>SUM(E54:E56)</f>
        <v>0</v>
      </c>
      <c r="F53" s="18">
        <f>SUM(F54:F56)</f>
        <v>0</v>
      </c>
      <c r="G53" s="19"/>
      <c r="H53" s="289">
        <f>SUM(H54:H56)</f>
        <v>0</v>
      </c>
      <c r="I53" s="32">
        <f>SUM(I54:I56)</f>
        <v>0</v>
      </c>
      <c r="J53" s="18">
        <f>SUM(J54:J56)</f>
        <v>0</v>
      </c>
      <c r="K53" s="19"/>
    </row>
    <row r="54" spans="1:11" ht="15.95" customHeight="1" x14ac:dyDescent="0.25">
      <c r="A54" s="9"/>
      <c r="B54" s="55" t="s">
        <v>82</v>
      </c>
      <c r="C54" s="418" t="s">
        <v>83</v>
      </c>
      <c r="D54" s="289"/>
      <c r="E54" s="32"/>
      <c r="F54" s="18"/>
      <c r="G54" s="19"/>
      <c r="H54" s="289"/>
      <c r="I54" s="32"/>
      <c r="J54" s="18"/>
      <c r="K54" s="19"/>
    </row>
    <row r="55" spans="1:11" ht="15.95" customHeight="1" x14ac:dyDescent="0.25">
      <c r="A55" s="9"/>
      <c r="B55" s="55" t="s">
        <v>84</v>
      </c>
      <c r="C55" s="418" t="s">
        <v>85</v>
      </c>
      <c r="D55" s="289"/>
      <c r="E55" s="32"/>
      <c r="F55" s="18">
        <f t="shared" si="5"/>
        <v>0</v>
      </c>
      <c r="G55" s="19"/>
      <c r="H55" s="289"/>
      <c r="I55" s="32"/>
      <c r="J55" s="18">
        <f t="shared" ref="J55:J56" si="8">SUM(H55:H55)</f>
        <v>0</v>
      </c>
      <c r="K55" s="19"/>
    </row>
    <row r="56" spans="1:11" ht="15.95" customHeight="1" x14ac:dyDescent="0.25">
      <c r="A56" s="9"/>
      <c r="B56" s="55" t="s">
        <v>86</v>
      </c>
      <c r="C56" s="418" t="s">
        <v>87</v>
      </c>
      <c r="D56" s="289"/>
      <c r="E56" s="32"/>
      <c r="F56" s="18">
        <f t="shared" si="5"/>
        <v>0</v>
      </c>
      <c r="G56" s="19"/>
      <c r="H56" s="289"/>
      <c r="I56" s="32"/>
      <c r="J56" s="18">
        <f t="shared" si="8"/>
        <v>0</v>
      </c>
      <c r="K56" s="19"/>
    </row>
    <row r="57" spans="1:11" s="333" customFormat="1" ht="15.95" customHeight="1" x14ac:dyDescent="0.25">
      <c r="A57" s="26" t="s">
        <v>35</v>
      </c>
      <c r="B57" s="687" t="s">
        <v>88</v>
      </c>
      <c r="C57" s="687"/>
      <c r="D57" s="293">
        <f t="shared" ref="D57:K57" si="9">+D47+D50+D53</f>
        <v>0</v>
      </c>
      <c r="E57" s="293">
        <f t="shared" si="9"/>
        <v>0</v>
      </c>
      <c r="F57" s="293">
        <f t="shared" si="9"/>
        <v>0</v>
      </c>
      <c r="G57" s="293">
        <f t="shared" si="9"/>
        <v>0</v>
      </c>
      <c r="H57" s="293">
        <f t="shared" si="9"/>
        <v>0</v>
      </c>
      <c r="I57" s="293">
        <f t="shared" si="9"/>
        <v>0</v>
      </c>
      <c r="J57" s="293">
        <f t="shared" si="9"/>
        <v>0</v>
      </c>
      <c r="K57" s="293">
        <f t="shared" si="9"/>
        <v>0</v>
      </c>
    </row>
    <row r="58" spans="1:11" s="333" customFormat="1" ht="15.95" customHeight="1" x14ac:dyDescent="0.25">
      <c r="A58" s="26" t="s">
        <v>37</v>
      </c>
      <c r="B58" s="687" t="s">
        <v>89</v>
      </c>
      <c r="C58" s="687"/>
      <c r="D58" s="293"/>
      <c r="E58" s="34"/>
      <c r="F58" s="299"/>
      <c r="G58" s="300"/>
      <c r="H58" s="293"/>
      <c r="I58" s="34"/>
      <c r="J58" s="299"/>
      <c r="K58" s="300"/>
    </row>
    <row r="59" spans="1:11" s="333" customFormat="1" ht="15.95" customHeight="1" x14ac:dyDescent="0.25">
      <c r="A59" s="26" t="s">
        <v>38</v>
      </c>
      <c r="B59" s="687" t="s">
        <v>90</v>
      </c>
      <c r="C59" s="687"/>
      <c r="D59" s="293"/>
      <c r="E59" s="34"/>
      <c r="F59" s="299"/>
      <c r="G59" s="300"/>
      <c r="H59" s="293"/>
      <c r="I59" s="34"/>
      <c r="J59" s="299"/>
      <c r="K59" s="300"/>
    </row>
    <row r="60" spans="1:11" s="335" customFormat="1" ht="15.95" customHeight="1" x14ac:dyDescent="0.3">
      <c r="A60" s="36" t="s">
        <v>91</v>
      </c>
      <c r="B60" s="680" t="s">
        <v>92</v>
      </c>
      <c r="C60" s="680"/>
      <c r="D60" s="295">
        <f t="shared" ref="D60:K60" si="10">+D46+D57+D58+D59</f>
        <v>0</v>
      </c>
      <c r="E60" s="295">
        <f t="shared" si="10"/>
        <v>0</v>
      </c>
      <c r="F60" s="295">
        <f t="shared" si="10"/>
        <v>0</v>
      </c>
      <c r="G60" s="295">
        <f t="shared" si="10"/>
        <v>0</v>
      </c>
      <c r="H60" s="295">
        <f t="shared" si="10"/>
        <v>2</v>
      </c>
      <c r="I60" s="295">
        <f t="shared" si="10"/>
        <v>2</v>
      </c>
      <c r="J60" s="295">
        <f t="shared" si="10"/>
        <v>0</v>
      </c>
      <c r="K60" s="295">
        <f t="shared" si="10"/>
        <v>0</v>
      </c>
    </row>
    <row r="61" spans="1:11" s="335" customFormat="1" ht="15.95" customHeight="1" x14ac:dyDescent="0.3">
      <c r="A61" s="36"/>
      <c r="B61" s="680" t="s">
        <v>93</v>
      </c>
      <c r="C61" s="680"/>
      <c r="D61" s="295">
        <f t="shared" ref="D61:K61" si="11">+D29-D60</f>
        <v>50420</v>
      </c>
      <c r="E61" s="295">
        <f t="shared" si="11"/>
        <v>50420</v>
      </c>
      <c r="F61" s="295">
        <f t="shared" si="11"/>
        <v>0</v>
      </c>
      <c r="G61" s="295">
        <f t="shared" si="11"/>
        <v>0</v>
      </c>
      <c r="H61" s="295">
        <f t="shared" si="11"/>
        <v>49138</v>
      </c>
      <c r="I61" s="295">
        <f t="shared" si="11"/>
        <v>49138</v>
      </c>
      <c r="J61" s="295">
        <f t="shared" si="11"/>
        <v>0</v>
      </c>
      <c r="K61" s="295">
        <f t="shared" si="11"/>
        <v>0</v>
      </c>
    </row>
    <row r="62" spans="1:11" s="335" customFormat="1" ht="15.95" customHeight="1" x14ac:dyDescent="0.3">
      <c r="A62" s="36"/>
      <c r="B62" s="687" t="s">
        <v>94</v>
      </c>
      <c r="C62" s="687"/>
      <c r="D62" s="295">
        <v>50314</v>
      </c>
      <c r="E62" s="295">
        <v>50314</v>
      </c>
      <c r="F62" s="296"/>
      <c r="G62" s="295"/>
      <c r="H62" s="295">
        <v>49017</v>
      </c>
      <c r="I62" s="295">
        <v>49017</v>
      </c>
      <c r="J62" s="296"/>
      <c r="K62" s="295"/>
    </row>
    <row r="63" spans="1:11" ht="15.95" customHeight="1" x14ac:dyDescent="0.25">
      <c r="A63" s="26" t="s">
        <v>39</v>
      </c>
      <c r="B63" s="687" t="s">
        <v>95</v>
      </c>
      <c r="C63" s="687"/>
      <c r="D63" s="289">
        <f>D64+D65</f>
        <v>106</v>
      </c>
      <c r="E63" s="289">
        <f>E64+E65</f>
        <v>106</v>
      </c>
      <c r="F63" s="18"/>
      <c r="G63" s="19"/>
      <c r="H63" s="289">
        <f>H64+H65</f>
        <v>121</v>
      </c>
      <c r="I63" s="289">
        <f>I64+I65</f>
        <v>121</v>
      </c>
      <c r="J63" s="18"/>
      <c r="K63" s="19"/>
    </row>
    <row r="64" spans="1:11" s="335" customFormat="1" ht="15.95" customHeight="1" x14ac:dyDescent="0.3">
      <c r="A64" s="36"/>
      <c r="B64" s="68" t="s">
        <v>43</v>
      </c>
      <c r="C64" s="418" t="s">
        <v>96</v>
      </c>
      <c r="D64" s="289">
        <v>106</v>
      </c>
      <c r="E64" s="32">
        <v>106</v>
      </c>
      <c r="F64" s="76"/>
      <c r="G64" s="73"/>
      <c r="H64" s="289">
        <v>121</v>
      </c>
      <c r="I64" s="32">
        <v>121</v>
      </c>
      <c r="J64" s="76"/>
      <c r="K64" s="73"/>
    </row>
    <row r="65" spans="1:11" s="335" customFormat="1" ht="15.95" customHeight="1" x14ac:dyDescent="0.3">
      <c r="A65" s="36"/>
      <c r="B65" s="68" t="s">
        <v>45</v>
      </c>
      <c r="C65" s="418" t="s">
        <v>97</v>
      </c>
      <c r="D65" s="301"/>
      <c r="E65" s="71"/>
      <c r="F65" s="18"/>
      <c r="G65" s="73"/>
      <c r="H65" s="301"/>
      <c r="I65" s="71"/>
      <c r="J65" s="18"/>
      <c r="K65" s="73"/>
    </row>
    <row r="66" spans="1:11" s="335" customFormat="1" ht="39.75" customHeight="1" x14ac:dyDescent="0.3">
      <c r="A66" s="36" t="s">
        <v>98</v>
      </c>
      <c r="B66" s="685" t="s">
        <v>99</v>
      </c>
      <c r="C66" s="685"/>
      <c r="D66" s="295">
        <f>D63</f>
        <v>106</v>
      </c>
      <c r="E66" s="295">
        <f>E63</f>
        <v>106</v>
      </c>
      <c r="F66" s="295">
        <f>+F63</f>
        <v>0</v>
      </c>
      <c r="G66" s="73"/>
      <c r="H66" s="295">
        <f>H63</f>
        <v>121</v>
      </c>
      <c r="I66" s="295">
        <f>I63</f>
        <v>121</v>
      </c>
      <c r="J66" s="295">
        <f>+J63</f>
        <v>0</v>
      </c>
      <c r="K66" s="73"/>
    </row>
    <row r="67" spans="1:11" s="335" customFormat="1" ht="15.95" customHeight="1" x14ac:dyDescent="0.3">
      <c r="A67" s="9" t="s">
        <v>100</v>
      </c>
      <c r="B67" s="683" t="s">
        <v>101</v>
      </c>
      <c r="C67" s="683"/>
      <c r="D67" s="295"/>
      <c r="E67" s="71"/>
      <c r="F67" s="72">
        <f t="shared" ref="F67:F80" si="12">SUM(D67:E67)</f>
        <v>0</v>
      </c>
      <c r="G67" s="73"/>
      <c r="H67" s="295"/>
      <c r="I67" s="71"/>
      <c r="J67" s="72">
        <f t="shared" ref="J67:J70" si="13">SUM(H67:I67)</f>
        <v>0</v>
      </c>
      <c r="K67" s="73"/>
    </row>
    <row r="68" spans="1:11" s="335" customFormat="1" ht="15.95" customHeight="1" x14ac:dyDescent="0.3">
      <c r="A68" s="9" t="s">
        <v>102</v>
      </c>
      <c r="B68" s="683" t="s">
        <v>103</v>
      </c>
      <c r="C68" s="683"/>
      <c r="D68" s="295">
        <f>SUM(D69:D72)</f>
        <v>0</v>
      </c>
      <c r="E68" s="71"/>
      <c r="F68" s="72">
        <f t="shared" si="12"/>
        <v>0</v>
      </c>
      <c r="G68" s="73"/>
      <c r="H68" s="295">
        <f>SUM(H69:H72)</f>
        <v>0</v>
      </c>
      <c r="I68" s="71"/>
      <c r="J68" s="72">
        <f t="shared" si="13"/>
        <v>0</v>
      </c>
      <c r="K68" s="73"/>
    </row>
    <row r="69" spans="1:11" s="335" customFormat="1" ht="15.95" customHeight="1" x14ac:dyDescent="0.3">
      <c r="A69" s="9"/>
      <c r="B69" s="55" t="s">
        <v>43</v>
      </c>
      <c r="C69" s="418" t="s">
        <v>302</v>
      </c>
      <c r="D69" s="301"/>
      <c r="E69" s="75"/>
      <c r="F69" s="76">
        <f t="shared" si="12"/>
        <v>0</v>
      </c>
      <c r="G69" s="73"/>
      <c r="H69" s="301"/>
      <c r="I69" s="75"/>
      <c r="J69" s="76">
        <f t="shared" si="13"/>
        <v>0</v>
      </c>
      <c r="K69" s="73"/>
    </row>
    <row r="70" spans="1:11" s="335" customFormat="1" ht="15.95" customHeight="1" x14ac:dyDescent="0.3">
      <c r="A70" s="9"/>
      <c r="B70" s="55" t="s">
        <v>45</v>
      </c>
      <c r="C70" s="418" t="s">
        <v>105</v>
      </c>
      <c r="D70" s="295"/>
      <c r="E70" s="71"/>
      <c r="F70" s="72">
        <f t="shared" si="12"/>
        <v>0</v>
      </c>
      <c r="G70" s="73"/>
      <c r="H70" s="295"/>
      <c r="I70" s="71"/>
      <c r="J70" s="72">
        <f t="shared" si="13"/>
        <v>0</v>
      </c>
      <c r="K70" s="73"/>
    </row>
    <row r="71" spans="1:11" s="335" customFormat="1" ht="15.95" customHeight="1" x14ac:dyDescent="0.3">
      <c r="A71" s="9"/>
      <c r="B71" s="55" t="s">
        <v>53</v>
      </c>
      <c r="C71" s="418" t="s">
        <v>106</v>
      </c>
      <c r="D71" s="301"/>
      <c r="E71" s="71"/>
      <c r="F71" s="72"/>
      <c r="G71" s="73"/>
      <c r="H71" s="301"/>
      <c r="I71" s="71"/>
      <c r="J71" s="72"/>
      <c r="K71" s="73"/>
    </row>
    <row r="72" spans="1:11" s="335" customFormat="1" ht="15.95" customHeight="1" x14ac:dyDescent="0.3">
      <c r="A72" s="9"/>
      <c r="B72" s="55" t="s">
        <v>16</v>
      </c>
      <c r="C72" s="418" t="s">
        <v>107</v>
      </c>
      <c r="D72" s="301"/>
      <c r="E72" s="71"/>
      <c r="F72" s="72"/>
      <c r="G72" s="73"/>
      <c r="H72" s="301"/>
      <c r="I72" s="71"/>
      <c r="J72" s="72"/>
      <c r="K72" s="73"/>
    </row>
    <row r="73" spans="1:11" s="335" customFormat="1" ht="33" customHeight="1" x14ac:dyDescent="0.3">
      <c r="A73" s="36" t="s">
        <v>108</v>
      </c>
      <c r="B73" s="684" t="s">
        <v>109</v>
      </c>
      <c r="C73" s="684"/>
      <c r="D73" s="295">
        <f>+D67+D68</f>
        <v>0</v>
      </c>
      <c r="E73" s="71"/>
      <c r="F73" s="72">
        <f t="shared" si="12"/>
        <v>0</v>
      </c>
      <c r="G73" s="73"/>
      <c r="H73" s="295">
        <f>+H67+H68</f>
        <v>0</v>
      </c>
      <c r="I73" s="71"/>
      <c r="J73" s="72">
        <f t="shared" ref="J73" si="14">SUM(H73:I73)</f>
        <v>0</v>
      </c>
      <c r="K73" s="73"/>
    </row>
    <row r="74" spans="1:11" s="335" customFormat="1" ht="15.95" customHeight="1" x14ac:dyDescent="0.3">
      <c r="A74" s="36" t="s">
        <v>110</v>
      </c>
      <c r="B74" s="680" t="s">
        <v>111</v>
      </c>
      <c r="C74" s="680"/>
      <c r="D74" s="295">
        <f>+D66+D73</f>
        <v>106</v>
      </c>
      <c r="E74" s="71">
        <f>+E66+E73</f>
        <v>106</v>
      </c>
      <c r="F74" s="71">
        <f>+F66+F73</f>
        <v>0</v>
      </c>
      <c r="G74" s="73"/>
      <c r="H74" s="295">
        <f>+H66+H73</f>
        <v>121</v>
      </c>
      <c r="I74" s="71">
        <f>+I66+I73</f>
        <v>121</v>
      </c>
      <c r="J74" s="71">
        <f>+J66+J73</f>
        <v>0</v>
      </c>
      <c r="K74" s="73"/>
    </row>
    <row r="75" spans="1:11" s="335" customFormat="1" ht="15.95" customHeight="1" x14ac:dyDescent="0.3">
      <c r="A75" s="9" t="s">
        <v>112</v>
      </c>
      <c r="B75" s="683" t="s">
        <v>303</v>
      </c>
      <c r="C75" s="683"/>
      <c r="D75" s="295"/>
      <c r="E75" s="71"/>
      <c r="F75" s="72">
        <f t="shared" si="12"/>
        <v>0</v>
      </c>
      <c r="G75" s="73"/>
      <c r="H75" s="295"/>
      <c r="I75" s="71"/>
      <c r="J75" s="72">
        <f t="shared" ref="J75:J80" si="15">SUM(H75:I75)</f>
        <v>0</v>
      </c>
      <c r="K75" s="73"/>
    </row>
    <row r="76" spans="1:11" s="335" customFormat="1" ht="15.95" customHeight="1" x14ac:dyDescent="0.3">
      <c r="A76" s="9" t="s">
        <v>114</v>
      </c>
      <c r="B76" s="683" t="s">
        <v>115</v>
      </c>
      <c r="C76" s="683"/>
      <c r="D76" s="301">
        <f>SUM(D77:D79)</f>
        <v>0</v>
      </c>
      <c r="E76" s="75">
        <v>0</v>
      </c>
      <c r="F76" s="76">
        <f t="shared" si="12"/>
        <v>0</v>
      </c>
      <c r="G76" s="73"/>
      <c r="H76" s="301">
        <f>SUM(H77:H79)</f>
        <v>0</v>
      </c>
      <c r="I76" s="75">
        <v>0</v>
      </c>
      <c r="J76" s="76">
        <f t="shared" si="15"/>
        <v>0</v>
      </c>
      <c r="K76" s="73"/>
    </row>
    <row r="77" spans="1:11" s="335" customFormat="1" ht="15.95" customHeight="1" x14ac:dyDescent="0.3">
      <c r="A77" s="9"/>
      <c r="B77" s="55" t="s">
        <v>43</v>
      </c>
      <c r="C77" s="418" t="s">
        <v>304</v>
      </c>
      <c r="D77" s="301"/>
      <c r="E77" s="75"/>
      <c r="F77" s="76">
        <f t="shared" si="12"/>
        <v>0</v>
      </c>
      <c r="G77" s="73"/>
      <c r="H77" s="301"/>
      <c r="I77" s="75"/>
      <c r="J77" s="76">
        <f t="shared" si="15"/>
        <v>0</v>
      </c>
      <c r="K77" s="73"/>
    </row>
    <row r="78" spans="1:11" s="335" customFormat="1" ht="15.95" customHeight="1" x14ac:dyDescent="0.3">
      <c r="A78" s="9"/>
      <c r="B78" s="55" t="s">
        <v>45</v>
      </c>
      <c r="C78" s="418" t="s">
        <v>305</v>
      </c>
      <c r="D78" s="301"/>
      <c r="E78" s="75"/>
      <c r="F78" s="76">
        <f t="shared" si="12"/>
        <v>0</v>
      </c>
      <c r="G78" s="73"/>
      <c r="H78" s="301"/>
      <c r="I78" s="75"/>
      <c r="J78" s="76">
        <f t="shared" si="15"/>
        <v>0</v>
      </c>
      <c r="K78" s="73"/>
    </row>
    <row r="79" spans="1:11" s="335" customFormat="1" ht="15.95" customHeight="1" x14ac:dyDescent="0.3">
      <c r="A79" s="9"/>
      <c r="B79" s="55" t="s">
        <v>53</v>
      </c>
      <c r="C79" s="418" t="s">
        <v>118</v>
      </c>
      <c r="D79" s="301"/>
      <c r="E79" s="75"/>
      <c r="F79" s="76">
        <f t="shared" si="12"/>
        <v>0</v>
      </c>
      <c r="G79" s="73"/>
      <c r="H79" s="301"/>
      <c r="I79" s="75"/>
      <c r="J79" s="76">
        <f t="shared" si="15"/>
        <v>0</v>
      </c>
      <c r="K79" s="73"/>
    </row>
    <row r="80" spans="1:11" s="335" customFormat="1" ht="15.95" customHeight="1" x14ac:dyDescent="0.3">
      <c r="A80" s="36" t="s">
        <v>120</v>
      </c>
      <c r="B80" s="680" t="s">
        <v>306</v>
      </c>
      <c r="C80" s="680"/>
      <c r="D80" s="295">
        <f>+D75+D76</f>
        <v>0</v>
      </c>
      <c r="E80" s="71">
        <f>+E75+E76</f>
        <v>0</v>
      </c>
      <c r="F80" s="72">
        <f t="shared" si="12"/>
        <v>0</v>
      </c>
      <c r="G80" s="73"/>
      <c r="H80" s="295">
        <f>+H75+H76</f>
        <v>0</v>
      </c>
      <c r="I80" s="71">
        <f>+I75+I76</f>
        <v>0</v>
      </c>
      <c r="J80" s="72">
        <f t="shared" si="15"/>
        <v>0</v>
      </c>
      <c r="K80" s="73"/>
    </row>
    <row r="81" spans="1:11" s="335" customFormat="1" ht="15.95" customHeight="1" x14ac:dyDescent="0.3">
      <c r="A81" s="36" t="s">
        <v>122</v>
      </c>
      <c r="B81" s="680" t="s">
        <v>123</v>
      </c>
      <c r="C81" s="680"/>
      <c r="D81" s="302">
        <f t="shared" ref="D81:K81" si="16">+D29+D80</f>
        <v>50420</v>
      </c>
      <c r="E81" s="302">
        <f t="shared" si="16"/>
        <v>50420</v>
      </c>
      <c r="F81" s="302">
        <f t="shared" si="16"/>
        <v>0</v>
      </c>
      <c r="G81" s="302">
        <f t="shared" si="16"/>
        <v>0</v>
      </c>
      <c r="H81" s="302">
        <f t="shared" si="16"/>
        <v>49140</v>
      </c>
      <c r="I81" s="302">
        <f t="shared" si="16"/>
        <v>49140</v>
      </c>
      <c r="J81" s="302">
        <f t="shared" si="16"/>
        <v>0</v>
      </c>
      <c r="K81" s="302">
        <f t="shared" si="16"/>
        <v>0</v>
      </c>
    </row>
    <row r="82" spans="1:11" s="335" customFormat="1" ht="15.95" customHeight="1" thickBot="1" x14ac:dyDescent="0.35">
      <c r="A82" s="303" t="s">
        <v>124</v>
      </c>
      <c r="B82" s="304" t="s">
        <v>125</v>
      </c>
      <c r="C82" s="304"/>
      <c r="D82" s="302">
        <f>+D30+D81</f>
        <v>50420</v>
      </c>
      <c r="E82" s="302">
        <f>+E30+E81</f>
        <v>50420</v>
      </c>
      <c r="F82" s="305">
        <f>+F60+F74</f>
        <v>0</v>
      </c>
      <c r="G82" s="305">
        <f>+G60+G74</f>
        <v>0</v>
      </c>
      <c r="H82" s="302">
        <f>+H30+H81</f>
        <v>49140</v>
      </c>
      <c r="I82" s="302">
        <f>+I30+I81</f>
        <v>49140</v>
      </c>
      <c r="J82" s="305">
        <f>+J60+J74</f>
        <v>0</v>
      </c>
      <c r="K82" s="305">
        <f>+K60+K74</f>
        <v>0</v>
      </c>
    </row>
    <row r="83" spans="1:11" ht="20.100000000000001" customHeight="1" x14ac:dyDescent="0.25">
      <c r="B83" s="85"/>
      <c r="C83" s="85"/>
      <c r="D83" s="86"/>
      <c r="E83" s="86"/>
      <c r="F83" s="86"/>
      <c r="H83" s="86"/>
      <c r="I83" s="86"/>
      <c r="J83" s="86"/>
    </row>
    <row r="84" spans="1:11" ht="20.100000000000001" customHeight="1" x14ac:dyDescent="0.25">
      <c r="B84" s="85"/>
      <c r="C84" s="85"/>
      <c r="D84" s="87">
        <f>+D82-D81</f>
        <v>0</v>
      </c>
      <c r="E84" s="87">
        <f>+E82-E81</f>
        <v>0</v>
      </c>
      <c r="F84" s="87">
        <f>+F81-F82</f>
        <v>0</v>
      </c>
      <c r="G84" s="87">
        <f>+G82-G81</f>
        <v>0</v>
      </c>
      <c r="H84" s="87">
        <f>+H82-H81</f>
        <v>0</v>
      </c>
      <c r="I84" s="87">
        <f>+I82-I81</f>
        <v>0</v>
      </c>
      <c r="J84" s="87">
        <f>+J81-J82</f>
        <v>0</v>
      </c>
      <c r="K84" s="87">
        <f>+K82-K81</f>
        <v>0</v>
      </c>
    </row>
    <row r="85" spans="1:11" ht="20.100000000000001" customHeight="1" x14ac:dyDescent="0.25">
      <c r="B85" s="85"/>
      <c r="C85" s="85"/>
      <c r="D85" s="86"/>
      <c r="E85" s="86"/>
      <c r="F85" s="86"/>
    </row>
    <row r="86" spans="1:11" ht="20.100000000000001" customHeight="1" x14ac:dyDescent="0.25">
      <c r="B86" s="85"/>
      <c r="C86" s="85"/>
      <c r="D86" s="86"/>
      <c r="E86" s="86"/>
      <c r="F86" s="86"/>
    </row>
    <row r="87" spans="1:11" ht="20.100000000000001" customHeight="1" x14ac:dyDescent="0.25">
      <c r="B87" s="85"/>
      <c r="C87" s="85"/>
      <c r="D87" s="86"/>
      <c r="E87" s="86"/>
      <c r="F87" s="86"/>
    </row>
    <row r="88" spans="1:11" ht="20.100000000000001" customHeight="1" x14ac:dyDescent="0.25">
      <c r="B88" s="85"/>
      <c r="C88" s="85"/>
      <c r="D88" s="86"/>
      <c r="E88" s="86"/>
      <c r="F88" s="86"/>
    </row>
    <row r="89" spans="1:11" ht="20.100000000000001" customHeight="1" x14ac:dyDescent="0.25">
      <c r="B89" s="85"/>
      <c r="C89" s="85"/>
      <c r="D89" s="86"/>
      <c r="E89" s="86"/>
      <c r="F89" s="86"/>
    </row>
    <row r="90" spans="1:11" ht="20.100000000000001" customHeight="1" x14ac:dyDescent="0.25">
      <c r="B90" s="85"/>
      <c r="C90" s="85"/>
      <c r="D90" s="86"/>
      <c r="E90" s="86"/>
      <c r="F90" s="86"/>
    </row>
    <row r="91" spans="1:11" ht="20.100000000000001" customHeight="1" x14ac:dyDescent="0.25">
      <c r="B91" s="85"/>
      <c r="C91" s="85"/>
      <c r="D91" s="86"/>
      <c r="E91" s="86"/>
      <c r="F91" s="86"/>
    </row>
    <row r="92" spans="1:11" ht="20.100000000000001" customHeight="1" x14ac:dyDescent="0.25">
      <c r="B92" s="85"/>
      <c r="C92" s="85"/>
      <c r="D92" s="86"/>
      <c r="E92" s="86"/>
      <c r="F92" s="86"/>
    </row>
    <row r="93" spans="1:11" ht="20.100000000000001" customHeight="1" x14ac:dyDescent="0.25">
      <c r="B93" s="85"/>
      <c r="C93" s="85"/>
      <c r="D93" s="86"/>
      <c r="E93" s="86"/>
      <c r="F93" s="86"/>
    </row>
    <row r="94" spans="1:11" ht="20.100000000000001" customHeight="1" x14ac:dyDescent="0.25">
      <c r="B94" s="85"/>
      <c r="C94" s="85"/>
      <c r="D94" s="86"/>
      <c r="E94" s="86"/>
      <c r="F94" s="86"/>
    </row>
    <row r="95" spans="1:11" ht="20.100000000000001" customHeight="1" x14ac:dyDescent="0.25">
      <c r="B95" s="85"/>
      <c r="C95" s="85"/>
      <c r="D95" s="86"/>
      <c r="E95" s="86"/>
      <c r="F95" s="86"/>
    </row>
    <row r="96" spans="1:11" ht="20.100000000000001" customHeight="1" x14ac:dyDescent="0.25">
      <c r="B96" s="85"/>
      <c r="C96" s="85"/>
      <c r="D96" s="86"/>
      <c r="E96" s="86"/>
      <c r="F96" s="86"/>
    </row>
    <row r="97" spans="2:6" x14ac:dyDescent="0.25">
      <c r="B97" s="85"/>
      <c r="C97" s="85"/>
      <c r="D97" s="86"/>
      <c r="E97" s="86"/>
      <c r="F97" s="86"/>
    </row>
    <row r="98" spans="2:6" x14ac:dyDescent="0.25">
      <c r="B98" s="85"/>
      <c r="C98" s="85"/>
      <c r="D98" s="86"/>
      <c r="E98" s="86"/>
      <c r="F98" s="86"/>
    </row>
    <row r="99" spans="2:6" x14ac:dyDescent="0.25">
      <c r="B99" s="85"/>
      <c r="C99" s="85"/>
      <c r="D99" s="86"/>
      <c r="E99" s="86"/>
      <c r="F99" s="86"/>
    </row>
    <row r="100" spans="2:6" x14ac:dyDescent="0.25">
      <c r="B100" s="85"/>
      <c r="C100" s="85"/>
      <c r="D100" s="86"/>
      <c r="E100" s="86"/>
      <c r="F100" s="86"/>
    </row>
    <row r="101" spans="2:6" x14ac:dyDescent="0.25">
      <c r="B101" s="85"/>
      <c r="C101" s="85"/>
      <c r="D101" s="86"/>
      <c r="E101" s="86"/>
      <c r="F101" s="86"/>
    </row>
    <row r="102" spans="2:6" x14ac:dyDescent="0.25">
      <c r="B102" s="85"/>
      <c r="C102" s="85"/>
      <c r="D102" s="86"/>
      <c r="E102" s="86"/>
      <c r="F102" s="86"/>
    </row>
    <row r="103" spans="2:6" x14ac:dyDescent="0.25">
      <c r="B103" s="85"/>
      <c r="C103" s="85"/>
      <c r="D103" s="86"/>
      <c r="E103" s="86"/>
      <c r="F103" s="86"/>
    </row>
    <row r="104" spans="2:6" x14ac:dyDescent="0.25">
      <c r="B104" s="85"/>
      <c r="C104" s="85"/>
      <c r="D104" s="86"/>
      <c r="E104" s="86"/>
      <c r="F104" s="86"/>
    </row>
  </sheetData>
  <mergeCells count="63">
    <mergeCell ref="A6:A8"/>
    <mergeCell ref="B6:C8"/>
    <mergeCell ref="D6:D7"/>
    <mergeCell ref="E6:E7"/>
    <mergeCell ref="F6:F7"/>
    <mergeCell ref="A1:F1"/>
    <mergeCell ref="A2:F2"/>
    <mergeCell ref="A3:F3"/>
    <mergeCell ref="A4:F4"/>
    <mergeCell ref="A5:F5"/>
    <mergeCell ref="B18:C18"/>
    <mergeCell ref="G6:G7"/>
    <mergeCell ref="D8:F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31:C31"/>
    <mergeCell ref="B19:C19"/>
    <mergeCell ref="B20:C20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60:C60"/>
    <mergeCell ref="B32:C32"/>
    <mergeCell ref="B33:C33"/>
    <mergeCell ref="B37:C37"/>
    <mergeCell ref="B41:C41"/>
    <mergeCell ref="B46:C46"/>
    <mergeCell ref="B47:C47"/>
    <mergeCell ref="B50:C50"/>
    <mergeCell ref="B53:C53"/>
    <mergeCell ref="B57:C57"/>
    <mergeCell ref="B58:C58"/>
    <mergeCell ref="B59:C59"/>
    <mergeCell ref="B81:C81"/>
    <mergeCell ref="B61:C61"/>
    <mergeCell ref="B62:C62"/>
    <mergeCell ref="B63:C63"/>
    <mergeCell ref="B66:C66"/>
    <mergeCell ref="B67:C67"/>
    <mergeCell ref="B68:C68"/>
    <mergeCell ref="B73:C73"/>
    <mergeCell ref="B74:C74"/>
    <mergeCell ref="B75:C75"/>
    <mergeCell ref="B76:C76"/>
    <mergeCell ref="B80:C80"/>
    <mergeCell ref="J6:J7"/>
    <mergeCell ref="K6:K7"/>
    <mergeCell ref="H8:J8"/>
    <mergeCell ref="H6:H7"/>
    <mergeCell ref="I6:I7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7030A0"/>
  </sheetPr>
  <dimension ref="A1:L77"/>
  <sheetViews>
    <sheetView workbookViewId="0">
      <selection activeCell="N5" sqref="N5"/>
    </sheetView>
  </sheetViews>
  <sheetFormatPr defaultRowHeight="15" x14ac:dyDescent="0.25"/>
  <cols>
    <col min="5" max="5" width="21.28515625" customWidth="1"/>
    <col min="6" max="6" width="14" bestFit="1" customWidth="1"/>
    <col min="7" max="7" width="10.42578125" bestFit="1" customWidth="1"/>
    <col min="8" max="8" width="16.140625" bestFit="1" customWidth="1"/>
    <col min="9" max="9" width="14" bestFit="1" customWidth="1"/>
    <col min="10" max="10" width="10.42578125" bestFit="1" customWidth="1"/>
    <col min="11" max="11" width="14" bestFit="1" customWidth="1"/>
    <col min="12" max="12" width="14.7109375" bestFit="1" customWidth="1"/>
    <col min="253" max="253" width="13" customWidth="1"/>
    <col min="254" max="254" width="14.42578125" customWidth="1"/>
    <col min="255" max="255" width="10.42578125" bestFit="1" customWidth="1"/>
    <col min="256" max="256" width="15.85546875" bestFit="1" customWidth="1"/>
    <col min="257" max="257" width="13.7109375" bestFit="1" customWidth="1"/>
    <col min="509" max="509" width="13" customWidth="1"/>
    <col min="510" max="510" width="14.42578125" customWidth="1"/>
    <col min="511" max="511" width="10.42578125" bestFit="1" customWidth="1"/>
    <col min="512" max="512" width="15.85546875" bestFit="1" customWidth="1"/>
    <col min="513" max="513" width="13.7109375" bestFit="1" customWidth="1"/>
    <col min="765" max="765" width="13" customWidth="1"/>
    <col min="766" max="766" width="14.42578125" customWidth="1"/>
    <col min="767" max="767" width="10.42578125" bestFit="1" customWidth="1"/>
    <col min="768" max="768" width="15.85546875" bestFit="1" customWidth="1"/>
    <col min="769" max="769" width="13.7109375" bestFit="1" customWidth="1"/>
    <col min="1021" max="1021" width="13" customWidth="1"/>
    <col min="1022" max="1022" width="14.42578125" customWidth="1"/>
    <col min="1023" max="1023" width="10.42578125" bestFit="1" customWidth="1"/>
    <col min="1024" max="1024" width="15.85546875" bestFit="1" customWidth="1"/>
    <col min="1025" max="1025" width="13.7109375" bestFit="1" customWidth="1"/>
    <col min="1277" max="1277" width="13" customWidth="1"/>
    <col min="1278" max="1278" width="14.42578125" customWidth="1"/>
    <col min="1279" max="1279" width="10.42578125" bestFit="1" customWidth="1"/>
    <col min="1280" max="1280" width="15.85546875" bestFit="1" customWidth="1"/>
    <col min="1281" max="1281" width="13.7109375" bestFit="1" customWidth="1"/>
    <col min="1533" max="1533" width="13" customWidth="1"/>
    <col min="1534" max="1534" width="14.42578125" customWidth="1"/>
    <col min="1535" max="1535" width="10.42578125" bestFit="1" customWidth="1"/>
    <col min="1536" max="1536" width="15.85546875" bestFit="1" customWidth="1"/>
    <col min="1537" max="1537" width="13.7109375" bestFit="1" customWidth="1"/>
    <col min="1789" max="1789" width="13" customWidth="1"/>
    <col min="1790" max="1790" width="14.42578125" customWidth="1"/>
    <col min="1791" max="1791" width="10.42578125" bestFit="1" customWidth="1"/>
    <col min="1792" max="1792" width="15.85546875" bestFit="1" customWidth="1"/>
    <col min="1793" max="1793" width="13.7109375" bestFit="1" customWidth="1"/>
    <col min="2045" max="2045" width="13" customWidth="1"/>
    <col min="2046" max="2046" width="14.42578125" customWidth="1"/>
    <col min="2047" max="2047" width="10.42578125" bestFit="1" customWidth="1"/>
    <col min="2048" max="2048" width="15.85546875" bestFit="1" customWidth="1"/>
    <col min="2049" max="2049" width="13.7109375" bestFit="1" customWidth="1"/>
    <col min="2301" max="2301" width="13" customWidth="1"/>
    <col min="2302" max="2302" width="14.42578125" customWidth="1"/>
    <col min="2303" max="2303" width="10.42578125" bestFit="1" customWidth="1"/>
    <col min="2304" max="2304" width="15.85546875" bestFit="1" customWidth="1"/>
    <col min="2305" max="2305" width="13.7109375" bestFit="1" customWidth="1"/>
    <col min="2557" max="2557" width="13" customWidth="1"/>
    <col min="2558" max="2558" width="14.42578125" customWidth="1"/>
    <col min="2559" max="2559" width="10.42578125" bestFit="1" customWidth="1"/>
    <col min="2560" max="2560" width="15.85546875" bestFit="1" customWidth="1"/>
    <col min="2561" max="2561" width="13.7109375" bestFit="1" customWidth="1"/>
    <col min="2813" max="2813" width="13" customWidth="1"/>
    <col min="2814" max="2814" width="14.42578125" customWidth="1"/>
    <col min="2815" max="2815" width="10.42578125" bestFit="1" customWidth="1"/>
    <col min="2816" max="2816" width="15.85546875" bestFit="1" customWidth="1"/>
    <col min="2817" max="2817" width="13.7109375" bestFit="1" customWidth="1"/>
    <col min="3069" max="3069" width="13" customWidth="1"/>
    <col min="3070" max="3070" width="14.42578125" customWidth="1"/>
    <col min="3071" max="3071" width="10.42578125" bestFit="1" customWidth="1"/>
    <col min="3072" max="3072" width="15.85546875" bestFit="1" customWidth="1"/>
    <col min="3073" max="3073" width="13.7109375" bestFit="1" customWidth="1"/>
    <col min="3325" max="3325" width="13" customWidth="1"/>
    <col min="3326" max="3326" width="14.42578125" customWidth="1"/>
    <col min="3327" max="3327" width="10.42578125" bestFit="1" customWidth="1"/>
    <col min="3328" max="3328" width="15.85546875" bestFit="1" customWidth="1"/>
    <col min="3329" max="3329" width="13.7109375" bestFit="1" customWidth="1"/>
    <col min="3581" max="3581" width="13" customWidth="1"/>
    <col min="3582" max="3582" width="14.42578125" customWidth="1"/>
    <col min="3583" max="3583" width="10.42578125" bestFit="1" customWidth="1"/>
    <col min="3584" max="3584" width="15.85546875" bestFit="1" customWidth="1"/>
    <col min="3585" max="3585" width="13.7109375" bestFit="1" customWidth="1"/>
    <col min="3837" max="3837" width="13" customWidth="1"/>
    <col min="3838" max="3838" width="14.42578125" customWidth="1"/>
    <col min="3839" max="3839" width="10.42578125" bestFit="1" customWidth="1"/>
    <col min="3840" max="3840" width="15.85546875" bestFit="1" customWidth="1"/>
    <col min="3841" max="3841" width="13.7109375" bestFit="1" customWidth="1"/>
    <col min="4093" max="4093" width="13" customWidth="1"/>
    <col min="4094" max="4094" width="14.42578125" customWidth="1"/>
    <col min="4095" max="4095" width="10.42578125" bestFit="1" customWidth="1"/>
    <col min="4096" max="4096" width="15.85546875" bestFit="1" customWidth="1"/>
    <col min="4097" max="4097" width="13.7109375" bestFit="1" customWidth="1"/>
    <col min="4349" max="4349" width="13" customWidth="1"/>
    <col min="4350" max="4350" width="14.42578125" customWidth="1"/>
    <col min="4351" max="4351" width="10.42578125" bestFit="1" customWidth="1"/>
    <col min="4352" max="4352" width="15.85546875" bestFit="1" customWidth="1"/>
    <col min="4353" max="4353" width="13.7109375" bestFit="1" customWidth="1"/>
    <col min="4605" max="4605" width="13" customWidth="1"/>
    <col min="4606" max="4606" width="14.42578125" customWidth="1"/>
    <col min="4607" max="4607" width="10.42578125" bestFit="1" customWidth="1"/>
    <col min="4608" max="4608" width="15.85546875" bestFit="1" customWidth="1"/>
    <col min="4609" max="4609" width="13.7109375" bestFit="1" customWidth="1"/>
    <col min="4861" max="4861" width="13" customWidth="1"/>
    <col min="4862" max="4862" width="14.42578125" customWidth="1"/>
    <col min="4863" max="4863" width="10.42578125" bestFit="1" customWidth="1"/>
    <col min="4864" max="4864" width="15.85546875" bestFit="1" customWidth="1"/>
    <col min="4865" max="4865" width="13.7109375" bestFit="1" customWidth="1"/>
    <col min="5117" max="5117" width="13" customWidth="1"/>
    <col min="5118" max="5118" width="14.42578125" customWidth="1"/>
    <col min="5119" max="5119" width="10.42578125" bestFit="1" customWidth="1"/>
    <col min="5120" max="5120" width="15.85546875" bestFit="1" customWidth="1"/>
    <col min="5121" max="5121" width="13.7109375" bestFit="1" customWidth="1"/>
    <col min="5373" max="5373" width="13" customWidth="1"/>
    <col min="5374" max="5374" width="14.42578125" customWidth="1"/>
    <col min="5375" max="5375" width="10.42578125" bestFit="1" customWidth="1"/>
    <col min="5376" max="5376" width="15.85546875" bestFit="1" customWidth="1"/>
    <col min="5377" max="5377" width="13.7109375" bestFit="1" customWidth="1"/>
    <col min="5629" max="5629" width="13" customWidth="1"/>
    <col min="5630" max="5630" width="14.42578125" customWidth="1"/>
    <col min="5631" max="5631" width="10.42578125" bestFit="1" customWidth="1"/>
    <col min="5632" max="5632" width="15.85546875" bestFit="1" customWidth="1"/>
    <col min="5633" max="5633" width="13.7109375" bestFit="1" customWidth="1"/>
    <col min="5885" max="5885" width="13" customWidth="1"/>
    <col min="5886" max="5886" width="14.42578125" customWidth="1"/>
    <col min="5887" max="5887" width="10.42578125" bestFit="1" customWidth="1"/>
    <col min="5888" max="5888" width="15.85546875" bestFit="1" customWidth="1"/>
    <col min="5889" max="5889" width="13.7109375" bestFit="1" customWidth="1"/>
    <col min="6141" max="6141" width="13" customWidth="1"/>
    <col min="6142" max="6142" width="14.42578125" customWidth="1"/>
    <col min="6143" max="6143" width="10.42578125" bestFit="1" customWidth="1"/>
    <col min="6144" max="6144" width="15.85546875" bestFit="1" customWidth="1"/>
    <col min="6145" max="6145" width="13.7109375" bestFit="1" customWidth="1"/>
    <col min="6397" max="6397" width="13" customWidth="1"/>
    <col min="6398" max="6398" width="14.42578125" customWidth="1"/>
    <col min="6399" max="6399" width="10.42578125" bestFit="1" customWidth="1"/>
    <col min="6400" max="6400" width="15.85546875" bestFit="1" customWidth="1"/>
    <col min="6401" max="6401" width="13.7109375" bestFit="1" customWidth="1"/>
    <col min="6653" max="6653" width="13" customWidth="1"/>
    <col min="6654" max="6654" width="14.42578125" customWidth="1"/>
    <col min="6655" max="6655" width="10.42578125" bestFit="1" customWidth="1"/>
    <col min="6656" max="6656" width="15.85546875" bestFit="1" customWidth="1"/>
    <col min="6657" max="6657" width="13.7109375" bestFit="1" customWidth="1"/>
    <col min="6909" max="6909" width="13" customWidth="1"/>
    <col min="6910" max="6910" width="14.42578125" customWidth="1"/>
    <col min="6911" max="6911" width="10.42578125" bestFit="1" customWidth="1"/>
    <col min="6912" max="6912" width="15.85546875" bestFit="1" customWidth="1"/>
    <col min="6913" max="6913" width="13.7109375" bestFit="1" customWidth="1"/>
    <col min="7165" max="7165" width="13" customWidth="1"/>
    <col min="7166" max="7166" width="14.42578125" customWidth="1"/>
    <col min="7167" max="7167" width="10.42578125" bestFit="1" customWidth="1"/>
    <col min="7168" max="7168" width="15.85546875" bestFit="1" customWidth="1"/>
    <col min="7169" max="7169" width="13.7109375" bestFit="1" customWidth="1"/>
    <col min="7421" max="7421" width="13" customWidth="1"/>
    <col min="7422" max="7422" width="14.42578125" customWidth="1"/>
    <col min="7423" max="7423" width="10.42578125" bestFit="1" customWidth="1"/>
    <col min="7424" max="7424" width="15.85546875" bestFit="1" customWidth="1"/>
    <col min="7425" max="7425" width="13.7109375" bestFit="1" customWidth="1"/>
    <col min="7677" max="7677" width="13" customWidth="1"/>
    <col min="7678" max="7678" width="14.42578125" customWidth="1"/>
    <col min="7679" max="7679" width="10.42578125" bestFit="1" customWidth="1"/>
    <col min="7680" max="7680" width="15.85546875" bestFit="1" customWidth="1"/>
    <col min="7681" max="7681" width="13.7109375" bestFit="1" customWidth="1"/>
    <col min="7933" max="7933" width="13" customWidth="1"/>
    <col min="7934" max="7934" width="14.42578125" customWidth="1"/>
    <col min="7935" max="7935" width="10.42578125" bestFit="1" customWidth="1"/>
    <col min="7936" max="7936" width="15.85546875" bestFit="1" customWidth="1"/>
    <col min="7937" max="7937" width="13.7109375" bestFit="1" customWidth="1"/>
    <col min="8189" max="8189" width="13" customWidth="1"/>
    <col min="8190" max="8190" width="14.42578125" customWidth="1"/>
    <col min="8191" max="8191" width="10.42578125" bestFit="1" customWidth="1"/>
    <col min="8192" max="8192" width="15.85546875" bestFit="1" customWidth="1"/>
    <col min="8193" max="8193" width="13.7109375" bestFit="1" customWidth="1"/>
    <col min="8445" max="8445" width="13" customWidth="1"/>
    <col min="8446" max="8446" width="14.42578125" customWidth="1"/>
    <col min="8447" max="8447" width="10.42578125" bestFit="1" customWidth="1"/>
    <col min="8448" max="8448" width="15.85546875" bestFit="1" customWidth="1"/>
    <col min="8449" max="8449" width="13.7109375" bestFit="1" customWidth="1"/>
    <col min="8701" max="8701" width="13" customWidth="1"/>
    <col min="8702" max="8702" width="14.42578125" customWidth="1"/>
    <col min="8703" max="8703" width="10.42578125" bestFit="1" customWidth="1"/>
    <col min="8704" max="8704" width="15.85546875" bestFit="1" customWidth="1"/>
    <col min="8705" max="8705" width="13.7109375" bestFit="1" customWidth="1"/>
    <col min="8957" max="8957" width="13" customWidth="1"/>
    <col min="8958" max="8958" width="14.42578125" customWidth="1"/>
    <col min="8959" max="8959" width="10.42578125" bestFit="1" customWidth="1"/>
    <col min="8960" max="8960" width="15.85546875" bestFit="1" customWidth="1"/>
    <col min="8961" max="8961" width="13.7109375" bestFit="1" customWidth="1"/>
    <col min="9213" max="9213" width="13" customWidth="1"/>
    <col min="9214" max="9214" width="14.42578125" customWidth="1"/>
    <col min="9215" max="9215" width="10.42578125" bestFit="1" customWidth="1"/>
    <col min="9216" max="9216" width="15.85546875" bestFit="1" customWidth="1"/>
    <col min="9217" max="9217" width="13.7109375" bestFit="1" customWidth="1"/>
    <col min="9469" max="9469" width="13" customWidth="1"/>
    <col min="9470" max="9470" width="14.42578125" customWidth="1"/>
    <col min="9471" max="9471" width="10.42578125" bestFit="1" customWidth="1"/>
    <col min="9472" max="9472" width="15.85546875" bestFit="1" customWidth="1"/>
    <col min="9473" max="9473" width="13.7109375" bestFit="1" customWidth="1"/>
    <col min="9725" max="9725" width="13" customWidth="1"/>
    <col min="9726" max="9726" width="14.42578125" customWidth="1"/>
    <col min="9727" max="9727" width="10.42578125" bestFit="1" customWidth="1"/>
    <col min="9728" max="9728" width="15.85546875" bestFit="1" customWidth="1"/>
    <col min="9729" max="9729" width="13.7109375" bestFit="1" customWidth="1"/>
    <col min="9981" max="9981" width="13" customWidth="1"/>
    <col min="9982" max="9982" width="14.42578125" customWidth="1"/>
    <col min="9983" max="9983" width="10.42578125" bestFit="1" customWidth="1"/>
    <col min="9984" max="9984" width="15.85546875" bestFit="1" customWidth="1"/>
    <col min="9985" max="9985" width="13.7109375" bestFit="1" customWidth="1"/>
    <col min="10237" max="10237" width="13" customWidth="1"/>
    <col min="10238" max="10238" width="14.42578125" customWidth="1"/>
    <col min="10239" max="10239" width="10.42578125" bestFit="1" customWidth="1"/>
    <col min="10240" max="10240" width="15.85546875" bestFit="1" customWidth="1"/>
    <col min="10241" max="10241" width="13.7109375" bestFit="1" customWidth="1"/>
    <col min="10493" max="10493" width="13" customWidth="1"/>
    <col min="10494" max="10494" width="14.42578125" customWidth="1"/>
    <col min="10495" max="10495" width="10.42578125" bestFit="1" customWidth="1"/>
    <col min="10496" max="10496" width="15.85546875" bestFit="1" customWidth="1"/>
    <col min="10497" max="10497" width="13.7109375" bestFit="1" customWidth="1"/>
    <col min="10749" max="10749" width="13" customWidth="1"/>
    <col min="10750" max="10750" width="14.42578125" customWidth="1"/>
    <col min="10751" max="10751" width="10.42578125" bestFit="1" customWidth="1"/>
    <col min="10752" max="10752" width="15.85546875" bestFit="1" customWidth="1"/>
    <col min="10753" max="10753" width="13.7109375" bestFit="1" customWidth="1"/>
    <col min="11005" max="11005" width="13" customWidth="1"/>
    <col min="11006" max="11006" width="14.42578125" customWidth="1"/>
    <col min="11007" max="11007" width="10.42578125" bestFit="1" customWidth="1"/>
    <col min="11008" max="11008" width="15.85546875" bestFit="1" customWidth="1"/>
    <col min="11009" max="11009" width="13.7109375" bestFit="1" customWidth="1"/>
    <col min="11261" max="11261" width="13" customWidth="1"/>
    <col min="11262" max="11262" width="14.42578125" customWidth="1"/>
    <col min="11263" max="11263" width="10.42578125" bestFit="1" customWidth="1"/>
    <col min="11264" max="11264" width="15.85546875" bestFit="1" customWidth="1"/>
    <col min="11265" max="11265" width="13.7109375" bestFit="1" customWidth="1"/>
    <col min="11517" max="11517" width="13" customWidth="1"/>
    <col min="11518" max="11518" width="14.42578125" customWidth="1"/>
    <col min="11519" max="11519" width="10.42578125" bestFit="1" customWidth="1"/>
    <col min="11520" max="11520" width="15.85546875" bestFit="1" customWidth="1"/>
    <col min="11521" max="11521" width="13.7109375" bestFit="1" customWidth="1"/>
    <col min="11773" max="11773" width="13" customWidth="1"/>
    <col min="11774" max="11774" width="14.42578125" customWidth="1"/>
    <col min="11775" max="11775" width="10.42578125" bestFit="1" customWidth="1"/>
    <col min="11776" max="11776" width="15.85546875" bestFit="1" customWidth="1"/>
    <col min="11777" max="11777" width="13.7109375" bestFit="1" customWidth="1"/>
    <col min="12029" max="12029" width="13" customWidth="1"/>
    <col min="12030" max="12030" width="14.42578125" customWidth="1"/>
    <col min="12031" max="12031" width="10.42578125" bestFit="1" customWidth="1"/>
    <col min="12032" max="12032" width="15.85546875" bestFit="1" customWidth="1"/>
    <col min="12033" max="12033" width="13.7109375" bestFit="1" customWidth="1"/>
    <col min="12285" max="12285" width="13" customWidth="1"/>
    <col min="12286" max="12286" width="14.42578125" customWidth="1"/>
    <col min="12287" max="12287" width="10.42578125" bestFit="1" customWidth="1"/>
    <col min="12288" max="12288" width="15.85546875" bestFit="1" customWidth="1"/>
    <col min="12289" max="12289" width="13.7109375" bestFit="1" customWidth="1"/>
    <col min="12541" max="12541" width="13" customWidth="1"/>
    <col min="12542" max="12542" width="14.42578125" customWidth="1"/>
    <col min="12543" max="12543" width="10.42578125" bestFit="1" customWidth="1"/>
    <col min="12544" max="12544" width="15.85546875" bestFit="1" customWidth="1"/>
    <col min="12545" max="12545" width="13.7109375" bestFit="1" customWidth="1"/>
    <col min="12797" max="12797" width="13" customWidth="1"/>
    <col min="12798" max="12798" width="14.42578125" customWidth="1"/>
    <col min="12799" max="12799" width="10.42578125" bestFit="1" customWidth="1"/>
    <col min="12800" max="12800" width="15.85546875" bestFit="1" customWidth="1"/>
    <col min="12801" max="12801" width="13.7109375" bestFit="1" customWidth="1"/>
    <col min="13053" max="13053" width="13" customWidth="1"/>
    <col min="13054" max="13054" width="14.42578125" customWidth="1"/>
    <col min="13055" max="13055" width="10.42578125" bestFit="1" customWidth="1"/>
    <col min="13056" max="13056" width="15.85546875" bestFit="1" customWidth="1"/>
    <col min="13057" max="13057" width="13.7109375" bestFit="1" customWidth="1"/>
    <col min="13309" max="13309" width="13" customWidth="1"/>
    <col min="13310" max="13310" width="14.42578125" customWidth="1"/>
    <col min="13311" max="13311" width="10.42578125" bestFit="1" customWidth="1"/>
    <col min="13312" max="13312" width="15.85546875" bestFit="1" customWidth="1"/>
    <col min="13313" max="13313" width="13.7109375" bestFit="1" customWidth="1"/>
    <col min="13565" max="13565" width="13" customWidth="1"/>
    <col min="13566" max="13566" width="14.42578125" customWidth="1"/>
    <col min="13567" max="13567" width="10.42578125" bestFit="1" customWidth="1"/>
    <col min="13568" max="13568" width="15.85546875" bestFit="1" customWidth="1"/>
    <col min="13569" max="13569" width="13.7109375" bestFit="1" customWidth="1"/>
    <col min="13821" max="13821" width="13" customWidth="1"/>
    <col min="13822" max="13822" width="14.42578125" customWidth="1"/>
    <col min="13823" max="13823" width="10.42578125" bestFit="1" customWidth="1"/>
    <col min="13824" max="13824" width="15.85546875" bestFit="1" customWidth="1"/>
    <col min="13825" max="13825" width="13.7109375" bestFit="1" customWidth="1"/>
    <col min="14077" max="14077" width="13" customWidth="1"/>
    <col min="14078" max="14078" width="14.42578125" customWidth="1"/>
    <col min="14079" max="14079" width="10.42578125" bestFit="1" customWidth="1"/>
    <col min="14080" max="14080" width="15.85546875" bestFit="1" customWidth="1"/>
    <col min="14081" max="14081" width="13.7109375" bestFit="1" customWidth="1"/>
    <col min="14333" max="14333" width="13" customWidth="1"/>
    <col min="14334" max="14334" width="14.42578125" customWidth="1"/>
    <col min="14335" max="14335" width="10.42578125" bestFit="1" customWidth="1"/>
    <col min="14336" max="14336" width="15.85546875" bestFit="1" customWidth="1"/>
    <col min="14337" max="14337" width="13.7109375" bestFit="1" customWidth="1"/>
    <col min="14589" max="14589" width="13" customWidth="1"/>
    <col min="14590" max="14590" width="14.42578125" customWidth="1"/>
    <col min="14591" max="14591" width="10.42578125" bestFit="1" customWidth="1"/>
    <col min="14592" max="14592" width="15.85546875" bestFit="1" customWidth="1"/>
    <col min="14593" max="14593" width="13.7109375" bestFit="1" customWidth="1"/>
    <col min="14845" max="14845" width="13" customWidth="1"/>
    <col min="14846" max="14846" width="14.42578125" customWidth="1"/>
    <col min="14847" max="14847" width="10.42578125" bestFit="1" customWidth="1"/>
    <col min="14848" max="14848" width="15.85546875" bestFit="1" customWidth="1"/>
    <col min="14849" max="14849" width="13.7109375" bestFit="1" customWidth="1"/>
    <col min="15101" max="15101" width="13" customWidth="1"/>
    <col min="15102" max="15102" width="14.42578125" customWidth="1"/>
    <col min="15103" max="15103" width="10.42578125" bestFit="1" customWidth="1"/>
    <col min="15104" max="15104" width="15.85546875" bestFit="1" customWidth="1"/>
    <col min="15105" max="15105" width="13.7109375" bestFit="1" customWidth="1"/>
    <col min="15357" max="15357" width="13" customWidth="1"/>
    <col min="15358" max="15358" width="14.42578125" customWidth="1"/>
    <col min="15359" max="15359" width="10.42578125" bestFit="1" customWidth="1"/>
    <col min="15360" max="15360" width="15.85546875" bestFit="1" customWidth="1"/>
    <col min="15361" max="15361" width="13.7109375" bestFit="1" customWidth="1"/>
    <col min="15613" max="15613" width="13" customWidth="1"/>
    <col min="15614" max="15614" width="14.42578125" customWidth="1"/>
    <col min="15615" max="15615" width="10.42578125" bestFit="1" customWidth="1"/>
    <col min="15616" max="15616" width="15.85546875" bestFit="1" customWidth="1"/>
    <col min="15617" max="15617" width="13.7109375" bestFit="1" customWidth="1"/>
    <col min="15869" max="15869" width="13" customWidth="1"/>
    <col min="15870" max="15870" width="14.42578125" customWidth="1"/>
    <col min="15871" max="15871" width="10.42578125" bestFit="1" customWidth="1"/>
    <col min="15872" max="15872" width="15.85546875" bestFit="1" customWidth="1"/>
    <col min="15873" max="15873" width="13.7109375" bestFit="1" customWidth="1"/>
    <col min="16125" max="16125" width="13" customWidth="1"/>
    <col min="16126" max="16126" width="14.42578125" customWidth="1"/>
    <col min="16127" max="16127" width="10.42578125" bestFit="1" customWidth="1"/>
    <col min="16128" max="16128" width="15.85546875" bestFit="1" customWidth="1"/>
    <col min="16129" max="16129" width="13.7109375" bestFit="1" customWidth="1"/>
  </cols>
  <sheetData>
    <row r="1" spans="1:11" x14ac:dyDescent="0.25">
      <c r="A1" s="1017" t="s">
        <v>789</v>
      </c>
      <c r="B1" s="1017"/>
      <c r="C1" s="1017"/>
      <c r="D1" s="1017"/>
      <c r="E1" s="1017"/>
      <c r="F1" s="1017"/>
      <c r="G1" s="1017"/>
      <c r="J1" s="484" t="s">
        <v>913</v>
      </c>
    </row>
    <row r="2" spans="1:11" ht="15.75" thickBot="1" x14ac:dyDescent="0.3"/>
    <row r="3" spans="1:11" ht="15.75" thickBot="1" x14ac:dyDescent="0.3">
      <c r="F3" s="828" t="s">
        <v>906</v>
      </c>
      <c r="G3" s="829"/>
      <c r="H3" s="830"/>
      <c r="I3" s="828" t="s">
        <v>896</v>
      </c>
      <c r="J3" s="829"/>
      <c r="K3" s="830"/>
    </row>
    <row r="4" spans="1:11" ht="15.75" thickBot="1" x14ac:dyDescent="0.3">
      <c r="A4" s="914" t="s">
        <v>7</v>
      </c>
      <c r="B4" s="915"/>
      <c r="C4" s="915"/>
      <c r="D4" s="915"/>
      <c r="E4" s="916"/>
      <c r="F4" s="308" t="s">
        <v>307</v>
      </c>
      <c r="G4" s="308" t="s">
        <v>308</v>
      </c>
      <c r="H4" s="309" t="s">
        <v>182</v>
      </c>
      <c r="I4" s="308" t="s">
        <v>307</v>
      </c>
      <c r="J4" s="308" t="s">
        <v>308</v>
      </c>
      <c r="K4" s="309" t="s">
        <v>182</v>
      </c>
    </row>
    <row r="5" spans="1:11" ht="15.75" thickBot="1" x14ac:dyDescent="0.3">
      <c r="A5" s="917" t="s">
        <v>309</v>
      </c>
      <c r="B5" s="918"/>
      <c r="C5" s="918"/>
      <c r="D5" s="918"/>
      <c r="E5" s="919"/>
      <c r="F5" s="310">
        <v>33516600</v>
      </c>
      <c r="G5" s="310">
        <v>0</v>
      </c>
      <c r="H5" s="310">
        <f t="shared" ref="H5:H12" si="0">F5+G5</f>
        <v>33516600</v>
      </c>
      <c r="I5" s="310">
        <v>33516600</v>
      </c>
      <c r="J5" s="310">
        <v>0</v>
      </c>
      <c r="K5" s="310">
        <f t="shared" ref="K5:K12" si="1">I5+J5</f>
        <v>33516600</v>
      </c>
    </row>
    <row r="6" spans="1:11" ht="15.75" thickBot="1" x14ac:dyDescent="0.3">
      <c r="A6" s="917" t="s">
        <v>310</v>
      </c>
      <c r="B6" s="918"/>
      <c r="C6" s="918"/>
      <c r="D6" s="918"/>
      <c r="E6" s="919"/>
      <c r="F6" s="310">
        <v>972000</v>
      </c>
      <c r="G6" s="310">
        <v>0</v>
      </c>
      <c r="H6" s="310">
        <f t="shared" si="0"/>
        <v>972000</v>
      </c>
      <c r="I6" s="310">
        <v>172000</v>
      </c>
      <c r="J6" s="310">
        <v>0</v>
      </c>
      <c r="K6" s="310">
        <f t="shared" si="1"/>
        <v>172000</v>
      </c>
    </row>
    <row r="7" spans="1:11" ht="15.75" thickBot="1" x14ac:dyDescent="0.3">
      <c r="A7" s="917" t="s">
        <v>311</v>
      </c>
      <c r="B7" s="918"/>
      <c r="C7" s="918"/>
      <c r="D7" s="918"/>
      <c r="E7" s="919"/>
      <c r="F7" s="310">
        <v>1432000</v>
      </c>
      <c r="G7" s="310">
        <v>0</v>
      </c>
      <c r="H7" s="310">
        <f t="shared" si="0"/>
        <v>1432000</v>
      </c>
      <c r="I7" s="310">
        <v>1432000</v>
      </c>
      <c r="J7" s="310">
        <v>0</v>
      </c>
      <c r="K7" s="310">
        <f t="shared" si="1"/>
        <v>1432000</v>
      </c>
    </row>
    <row r="8" spans="1:11" ht="15.75" thickBot="1" x14ac:dyDescent="0.3">
      <c r="A8" s="917" t="s">
        <v>312</v>
      </c>
      <c r="B8" s="918"/>
      <c r="C8" s="918"/>
      <c r="D8" s="918"/>
      <c r="E8" s="919"/>
      <c r="F8" s="310">
        <v>294720</v>
      </c>
      <c r="G8" s="310">
        <v>0</v>
      </c>
      <c r="H8" s="310">
        <f t="shared" si="0"/>
        <v>294720</v>
      </c>
      <c r="I8" s="310">
        <v>294720</v>
      </c>
      <c r="J8" s="310">
        <v>0</v>
      </c>
      <c r="K8" s="310">
        <f t="shared" si="1"/>
        <v>294720</v>
      </c>
    </row>
    <row r="9" spans="1:11" ht="15.75" thickBot="1" x14ac:dyDescent="0.3">
      <c r="A9" s="917" t="s">
        <v>379</v>
      </c>
      <c r="B9" s="918"/>
      <c r="C9" s="918"/>
      <c r="D9" s="918"/>
      <c r="E9" s="919"/>
      <c r="F9" s="310">
        <f>150000+170000</f>
        <v>320000</v>
      </c>
      <c r="G9" s="310">
        <v>0</v>
      </c>
      <c r="H9" s="310">
        <f t="shared" si="0"/>
        <v>320000</v>
      </c>
      <c r="I9" s="310">
        <f>150000+170000</f>
        <v>320000</v>
      </c>
      <c r="J9" s="310">
        <v>0</v>
      </c>
      <c r="K9" s="310">
        <f t="shared" si="1"/>
        <v>320000</v>
      </c>
    </row>
    <row r="10" spans="1:11" s="307" customFormat="1" ht="15.75" thickBot="1" x14ac:dyDescent="0.3">
      <c r="A10" s="923" t="s">
        <v>313</v>
      </c>
      <c r="B10" s="924"/>
      <c r="C10" s="924"/>
      <c r="D10" s="924"/>
      <c r="E10" s="925"/>
      <c r="F10" s="309">
        <f>F5+F6+F7+F8+F9</f>
        <v>36535320</v>
      </c>
      <c r="G10" s="309">
        <v>0</v>
      </c>
      <c r="H10" s="309">
        <f t="shared" si="0"/>
        <v>36535320</v>
      </c>
      <c r="I10" s="309">
        <f>I5+I6+I7+I8+I9</f>
        <v>35735320</v>
      </c>
      <c r="J10" s="309">
        <v>0</v>
      </c>
      <c r="K10" s="309">
        <f t="shared" si="1"/>
        <v>35735320</v>
      </c>
    </row>
    <row r="11" spans="1:11" s="307" customFormat="1" ht="15.75" thickBot="1" x14ac:dyDescent="0.3">
      <c r="A11" s="917" t="s">
        <v>649</v>
      </c>
      <c r="B11" s="918"/>
      <c r="C11" s="918"/>
      <c r="D11" s="918"/>
      <c r="E11" s="919"/>
      <c r="F11" s="423">
        <v>1615000</v>
      </c>
      <c r="G11" s="309">
        <v>0</v>
      </c>
      <c r="H11" s="310">
        <f t="shared" si="0"/>
        <v>1615000</v>
      </c>
      <c r="I11" s="423">
        <v>1615000</v>
      </c>
      <c r="J11" s="309">
        <v>0</v>
      </c>
      <c r="K11" s="310">
        <f t="shared" si="1"/>
        <v>1615000</v>
      </c>
    </row>
    <row r="12" spans="1:11" s="307" customFormat="1" ht="15.75" thickBot="1" x14ac:dyDescent="0.3">
      <c r="A12" s="1011" t="s">
        <v>790</v>
      </c>
      <c r="B12" s="918"/>
      <c r="C12" s="918"/>
      <c r="D12" s="918"/>
      <c r="E12" s="919"/>
      <c r="F12" s="423">
        <v>20000</v>
      </c>
      <c r="G12" s="309">
        <v>0</v>
      </c>
      <c r="H12" s="310">
        <f t="shared" si="0"/>
        <v>20000</v>
      </c>
      <c r="I12" s="423">
        <v>20000</v>
      </c>
      <c r="J12" s="309">
        <v>0</v>
      </c>
      <c r="K12" s="310">
        <f t="shared" si="1"/>
        <v>20000</v>
      </c>
    </row>
    <row r="13" spans="1:11" s="312" customFormat="1" ht="16.5" thickBot="1" x14ac:dyDescent="0.3">
      <c r="A13" s="929" t="s">
        <v>317</v>
      </c>
      <c r="B13" s="930"/>
      <c r="C13" s="930"/>
      <c r="D13" s="930"/>
      <c r="E13" s="931"/>
      <c r="F13" s="311">
        <f>F10+F11+F12</f>
        <v>38170320</v>
      </c>
      <c r="G13" s="311">
        <f>G10</f>
        <v>0</v>
      </c>
      <c r="H13" s="311">
        <f>F13</f>
        <v>38170320</v>
      </c>
      <c r="I13" s="311">
        <f>I10+I11+I12</f>
        <v>37370320</v>
      </c>
      <c r="J13" s="311">
        <f>J10</f>
        <v>0</v>
      </c>
      <c r="K13" s="311">
        <f>I13</f>
        <v>37370320</v>
      </c>
    </row>
    <row r="14" spans="1:11" s="312" customFormat="1" ht="16.5" customHeight="1" thickBot="1" x14ac:dyDescent="0.3">
      <c r="A14" s="938" t="s">
        <v>791</v>
      </c>
      <c r="B14" s="939"/>
      <c r="C14" s="939"/>
      <c r="D14" s="939"/>
      <c r="E14" s="940"/>
      <c r="F14" s="311">
        <v>6942198</v>
      </c>
      <c r="G14" s="311">
        <f>G11</f>
        <v>0</v>
      </c>
      <c r="H14" s="311">
        <f>F14+G14</f>
        <v>6942198</v>
      </c>
      <c r="I14" s="311">
        <v>6445483</v>
      </c>
      <c r="J14" s="311">
        <f>J11</f>
        <v>0</v>
      </c>
      <c r="K14" s="311">
        <f>I14+J14</f>
        <v>6445483</v>
      </c>
    </row>
    <row r="15" spans="1:11" s="312" customFormat="1" ht="57" customHeight="1" thickBot="1" x14ac:dyDescent="0.3">
      <c r="A15" s="1012" t="s">
        <v>792</v>
      </c>
      <c r="B15" s="1013"/>
      <c r="C15" s="1013"/>
      <c r="D15" s="1013"/>
      <c r="E15" s="1014"/>
      <c r="F15" s="311">
        <f t="shared" ref="F15:K15" si="2">F13+F14</f>
        <v>45112518</v>
      </c>
      <c r="G15" s="311">
        <f t="shared" si="2"/>
        <v>0</v>
      </c>
      <c r="H15" s="311">
        <f t="shared" si="2"/>
        <v>45112518</v>
      </c>
      <c r="I15" s="311">
        <f t="shared" si="2"/>
        <v>43815803</v>
      </c>
      <c r="J15" s="311">
        <f t="shared" si="2"/>
        <v>0</v>
      </c>
      <c r="K15" s="311">
        <f t="shared" si="2"/>
        <v>43815803</v>
      </c>
    </row>
    <row r="16" spans="1:11" ht="15.75" thickBot="1" x14ac:dyDescent="0.3">
      <c r="A16" s="917" t="s">
        <v>380</v>
      </c>
      <c r="B16" s="918"/>
      <c r="C16" s="918"/>
      <c r="D16" s="918"/>
      <c r="E16" s="919"/>
      <c r="F16" s="310">
        <v>60686</v>
      </c>
      <c r="G16" s="310">
        <f>F16*5%</f>
        <v>3034.3</v>
      </c>
      <c r="H16" s="310">
        <f>F16+G16</f>
        <v>63720.3</v>
      </c>
      <c r="I16" s="310">
        <v>60686</v>
      </c>
      <c r="J16" s="310">
        <f>I16*5%</f>
        <v>3034.3</v>
      </c>
      <c r="K16" s="310">
        <f>I16+J16</f>
        <v>63720.3</v>
      </c>
    </row>
    <row r="17" spans="1:11" ht="15.75" thickBot="1" x14ac:dyDescent="0.3">
      <c r="A17" s="923" t="s">
        <v>321</v>
      </c>
      <c r="B17" s="924"/>
      <c r="C17" s="924"/>
      <c r="D17" s="924"/>
      <c r="E17" s="925"/>
      <c r="F17" s="309">
        <f t="shared" ref="F17:K17" si="3">F16</f>
        <v>60686</v>
      </c>
      <c r="G17" s="309">
        <f t="shared" si="3"/>
        <v>3034.3</v>
      </c>
      <c r="H17" s="309">
        <f t="shared" si="3"/>
        <v>63720.3</v>
      </c>
      <c r="I17" s="309">
        <f t="shared" si="3"/>
        <v>60686</v>
      </c>
      <c r="J17" s="309">
        <f t="shared" si="3"/>
        <v>3034.3</v>
      </c>
      <c r="K17" s="309">
        <f t="shared" si="3"/>
        <v>63720.3</v>
      </c>
    </row>
    <row r="18" spans="1:11" s="413" customFormat="1" ht="13.5" thickBot="1" x14ac:dyDescent="0.25">
      <c r="A18" s="1011" t="s">
        <v>322</v>
      </c>
      <c r="B18" s="1015"/>
      <c r="C18" s="1015"/>
      <c r="D18" s="1015"/>
      <c r="E18" s="1016"/>
      <c r="F18" s="476">
        <v>555000</v>
      </c>
      <c r="G18" s="476">
        <v>25000</v>
      </c>
      <c r="H18" s="476">
        <f>F18+G18</f>
        <v>580000</v>
      </c>
      <c r="I18" s="476">
        <f>555000+8-67500</f>
        <v>487508</v>
      </c>
      <c r="J18" s="476">
        <v>9584</v>
      </c>
      <c r="K18" s="476">
        <f>I18+J18</f>
        <v>497092</v>
      </c>
    </row>
    <row r="19" spans="1:11" s="413" customFormat="1" ht="13.5" thickBot="1" x14ac:dyDescent="0.25">
      <c r="A19" s="1011" t="s">
        <v>323</v>
      </c>
      <c r="B19" s="1015"/>
      <c r="C19" s="1015"/>
      <c r="D19" s="1015"/>
      <c r="E19" s="1016"/>
      <c r="F19" s="476">
        <v>300000</v>
      </c>
      <c r="G19" s="476">
        <v>81000</v>
      </c>
      <c r="H19" s="476">
        <f>F19+G19</f>
        <v>381000</v>
      </c>
      <c r="I19" s="476">
        <v>300000</v>
      </c>
      <c r="J19" s="476">
        <v>81000</v>
      </c>
      <c r="K19" s="476">
        <f>I19+J19</f>
        <v>381000</v>
      </c>
    </row>
    <row r="20" spans="1:11" s="413" customFormat="1" ht="15.75" thickBot="1" x14ac:dyDescent="0.3">
      <c r="A20" s="917" t="s">
        <v>793</v>
      </c>
      <c r="B20" s="945"/>
      <c r="C20" s="945"/>
      <c r="D20" s="945"/>
      <c r="E20" s="946"/>
      <c r="F20" s="476">
        <v>0</v>
      </c>
      <c r="G20" s="476">
        <v>0</v>
      </c>
      <c r="H20" s="476">
        <f>F20+G20</f>
        <v>0</v>
      </c>
      <c r="I20" s="476">
        <v>0</v>
      </c>
      <c r="J20" s="476">
        <v>0</v>
      </c>
      <c r="K20" s="476">
        <f>I20+J20</f>
        <v>0</v>
      </c>
    </row>
    <row r="21" spans="1:11" s="485" customFormat="1" ht="15.75" thickBot="1" x14ac:dyDescent="0.3">
      <c r="A21" s="917" t="s">
        <v>794</v>
      </c>
      <c r="B21" s="945"/>
      <c r="C21" s="945"/>
      <c r="D21" s="945"/>
      <c r="E21" s="946"/>
      <c r="F21" s="476">
        <v>0</v>
      </c>
      <c r="G21" s="476">
        <v>0</v>
      </c>
      <c r="H21" s="476">
        <f>F21+G21</f>
        <v>0</v>
      </c>
      <c r="I21" s="476">
        <v>0</v>
      </c>
      <c r="J21" s="476">
        <v>0</v>
      </c>
      <c r="K21" s="476">
        <f>I21+J21</f>
        <v>0</v>
      </c>
    </row>
    <row r="22" spans="1:11" s="307" customFormat="1" ht="15.75" thickBot="1" x14ac:dyDescent="0.3">
      <c r="A22" s="923" t="s">
        <v>326</v>
      </c>
      <c r="B22" s="924"/>
      <c r="C22" s="924"/>
      <c r="D22" s="924"/>
      <c r="E22" s="925"/>
      <c r="F22" s="309">
        <f>F18+F19+F20+F21</f>
        <v>855000</v>
      </c>
      <c r="G22" s="309">
        <f t="shared" ref="G22:H22" si="4">G18+G19+G20+G21</f>
        <v>106000</v>
      </c>
      <c r="H22" s="309">
        <f t="shared" si="4"/>
        <v>961000</v>
      </c>
      <c r="I22" s="309">
        <f>I18+I19+I20+I21</f>
        <v>787508</v>
      </c>
      <c r="J22" s="309">
        <f t="shared" ref="J22:K22" si="5">J18+J19+J20+J21</f>
        <v>90584</v>
      </c>
      <c r="K22" s="309">
        <f t="shared" si="5"/>
        <v>878092</v>
      </c>
    </row>
    <row r="23" spans="1:11" s="307" customFormat="1" ht="15.75" thickBot="1" x14ac:dyDescent="0.3">
      <c r="A23" s="923" t="s">
        <v>327</v>
      </c>
      <c r="B23" s="924"/>
      <c r="C23" s="924"/>
      <c r="D23" s="924"/>
      <c r="E23" s="925"/>
      <c r="F23" s="309">
        <f t="shared" ref="F23:K23" si="6">F17+F22</f>
        <v>915686</v>
      </c>
      <c r="G23" s="309">
        <f t="shared" si="6"/>
        <v>109034.3</v>
      </c>
      <c r="H23" s="309">
        <f t="shared" si="6"/>
        <v>1024720.3</v>
      </c>
      <c r="I23" s="309">
        <f t="shared" si="6"/>
        <v>848194</v>
      </c>
      <c r="J23" s="309">
        <f t="shared" si="6"/>
        <v>93618.3</v>
      </c>
      <c r="K23" s="309">
        <f t="shared" si="6"/>
        <v>941812.3</v>
      </c>
    </row>
    <row r="24" spans="1:11" ht="15.75" thickBot="1" x14ac:dyDescent="0.3">
      <c r="A24" s="917" t="s">
        <v>381</v>
      </c>
      <c r="B24" s="918"/>
      <c r="C24" s="918"/>
      <c r="D24" s="918"/>
      <c r="E24" s="919"/>
      <c r="F24" s="310">
        <v>91200</v>
      </c>
      <c r="G24" s="310">
        <f t="shared" ref="G24" si="7">F24*27%</f>
        <v>24624</v>
      </c>
      <c r="H24" s="310">
        <f t="shared" ref="H24:H28" si="8">F24+G24</f>
        <v>115824</v>
      </c>
      <c r="I24" s="310">
        <v>91200</v>
      </c>
      <c r="J24" s="310">
        <f t="shared" ref="J24" si="9">I24*27%</f>
        <v>24624</v>
      </c>
      <c r="K24" s="310">
        <f t="shared" ref="K24:K28" si="10">I24+J24</f>
        <v>115824</v>
      </c>
    </row>
    <row r="25" spans="1:11" ht="15.75" thickBot="1" x14ac:dyDescent="0.3">
      <c r="A25" s="917" t="s">
        <v>382</v>
      </c>
      <c r="B25" s="918"/>
      <c r="C25" s="918"/>
      <c r="D25" s="918"/>
      <c r="E25" s="919"/>
      <c r="F25" s="310">
        <v>438000</v>
      </c>
      <c r="G25" s="310">
        <f>F25*27%</f>
        <v>118260.00000000001</v>
      </c>
      <c r="H25" s="310">
        <f t="shared" si="8"/>
        <v>556260</v>
      </c>
      <c r="I25" s="310">
        <v>438000</v>
      </c>
      <c r="J25" s="310">
        <f>I25*27%</f>
        <v>118260.00000000001</v>
      </c>
      <c r="K25" s="310">
        <f t="shared" si="10"/>
        <v>556260</v>
      </c>
    </row>
    <row r="26" spans="1:11" ht="15.75" thickBot="1" x14ac:dyDescent="0.3">
      <c r="A26" s="917" t="s">
        <v>795</v>
      </c>
      <c r="B26" s="918"/>
      <c r="C26" s="918"/>
      <c r="D26" s="918"/>
      <c r="E26" s="919"/>
      <c r="F26" s="310">
        <v>0</v>
      </c>
      <c r="G26" s="310">
        <v>0</v>
      </c>
      <c r="H26" s="310">
        <f t="shared" si="8"/>
        <v>0</v>
      </c>
      <c r="I26" s="310">
        <v>0</v>
      </c>
      <c r="J26" s="310">
        <v>0</v>
      </c>
      <c r="K26" s="310">
        <f t="shared" si="10"/>
        <v>0</v>
      </c>
    </row>
    <row r="27" spans="1:11" ht="15.75" thickBot="1" x14ac:dyDescent="0.3">
      <c r="A27" s="917" t="s">
        <v>383</v>
      </c>
      <c r="B27" s="918"/>
      <c r="C27" s="918"/>
      <c r="D27" s="918"/>
      <c r="E27" s="919"/>
      <c r="F27" s="310">
        <v>185400</v>
      </c>
      <c r="G27" s="310">
        <f>F27*27%+1</f>
        <v>50059</v>
      </c>
      <c r="H27" s="310">
        <f t="shared" si="8"/>
        <v>235459</v>
      </c>
      <c r="I27" s="310">
        <v>185400</v>
      </c>
      <c r="J27" s="310">
        <f>I27*27%+1</f>
        <v>50059</v>
      </c>
      <c r="K27" s="310">
        <f t="shared" si="10"/>
        <v>235459</v>
      </c>
    </row>
    <row r="28" spans="1:11" ht="15.75" thickBot="1" x14ac:dyDescent="0.3">
      <c r="A28" s="917" t="s">
        <v>650</v>
      </c>
      <c r="B28" s="918"/>
      <c r="C28" s="918"/>
      <c r="D28" s="918"/>
      <c r="E28" s="919"/>
      <c r="F28" s="310">
        <f>28000*12</f>
        <v>336000</v>
      </c>
      <c r="G28" s="310">
        <v>0</v>
      </c>
      <c r="H28" s="310">
        <f t="shared" si="8"/>
        <v>336000</v>
      </c>
      <c r="I28" s="310">
        <f>28000*12</f>
        <v>336000</v>
      </c>
      <c r="J28" s="310">
        <v>0</v>
      </c>
      <c r="K28" s="310">
        <f t="shared" si="10"/>
        <v>336000</v>
      </c>
    </row>
    <row r="29" spans="1:11" ht="15.75" thickBot="1" x14ac:dyDescent="0.3">
      <c r="A29" s="917" t="s">
        <v>651</v>
      </c>
      <c r="B29" s="918"/>
      <c r="C29" s="918"/>
      <c r="D29" s="918"/>
      <c r="E29" s="919"/>
      <c r="F29" s="310">
        <v>144000</v>
      </c>
      <c r="G29" s="310">
        <f t="shared" ref="G29:G30" si="11">F29*27%</f>
        <v>38880</v>
      </c>
      <c r="H29" s="310">
        <f>F29+G29</f>
        <v>182880</v>
      </c>
      <c r="I29" s="310">
        <v>144000</v>
      </c>
      <c r="J29" s="310">
        <f t="shared" ref="J29:J30" si="12">I29*27%</f>
        <v>38880</v>
      </c>
      <c r="K29" s="310">
        <f>I29+J29</f>
        <v>182880</v>
      </c>
    </row>
    <row r="30" spans="1:11" ht="15.75" thickBot="1" x14ac:dyDescent="0.3">
      <c r="A30" s="1011" t="s">
        <v>796</v>
      </c>
      <c r="B30" s="918"/>
      <c r="C30" s="918"/>
      <c r="D30" s="918"/>
      <c r="E30" s="919"/>
      <c r="F30" s="310">
        <v>72000</v>
      </c>
      <c r="G30" s="310">
        <f t="shared" si="11"/>
        <v>19440</v>
      </c>
      <c r="H30" s="310">
        <f>F30+G30</f>
        <v>91440</v>
      </c>
      <c r="I30" s="310">
        <v>72000</v>
      </c>
      <c r="J30" s="310">
        <f t="shared" si="12"/>
        <v>19440</v>
      </c>
      <c r="K30" s="310">
        <f>I30+J30</f>
        <v>91440</v>
      </c>
    </row>
    <row r="31" spans="1:11" s="307" customFormat="1" ht="15.75" thickBot="1" x14ac:dyDescent="0.3">
      <c r="A31" s="917" t="s">
        <v>328</v>
      </c>
      <c r="B31" s="918"/>
      <c r="C31" s="918"/>
      <c r="D31" s="918"/>
      <c r="E31" s="919"/>
      <c r="F31" s="310">
        <v>128832</v>
      </c>
      <c r="G31" s="310">
        <f>F31*5%</f>
        <v>6441.6</v>
      </c>
      <c r="H31" s="310">
        <f t="shared" ref="H31" si="13">F31+G31</f>
        <v>135273.60000000001</v>
      </c>
      <c r="I31" s="310">
        <v>128832</v>
      </c>
      <c r="J31" s="310">
        <f>I31*5%</f>
        <v>6441.6</v>
      </c>
      <c r="K31" s="310">
        <f t="shared" ref="K31" si="14">I31+J31</f>
        <v>135273.60000000001</v>
      </c>
    </row>
    <row r="32" spans="1:11" ht="15.75" thickBot="1" x14ac:dyDescent="0.3">
      <c r="A32" s="923" t="s">
        <v>329</v>
      </c>
      <c r="B32" s="924"/>
      <c r="C32" s="924"/>
      <c r="D32" s="924"/>
      <c r="E32" s="925"/>
      <c r="F32" s="309">
        <f>F24+F25+F27+F28+F29+F31+F26+F30</f>
        <v>1395432</v>
      </c>
      <c r="G32" s="309">
        <f t="shared" ref="G32:H32" si="15">G24+G25+G27+G28+G29+G31+G26</f>
        <v>238264.6</v>
      </c>
      <c r="H32" s="309">
        <f t="shared" si="15"/>
        <v>1561696.6</v>
      </c>
      <c r="I32" s="309">
        <f>I24+I25+I27+I28+I29+I31+I26+I30</f>
        <v>1395432</v>
      </c>
      <c r="J32" s="309">
        <f t="shared" ref="J32:K32" si="16">J24+J25+J27+J28+J29+J31+J26</f>
        <v>238264.6</v>
      </c>
      <c r="K32" s="309">
        <f t="shared" si="16"/>
        <v>1561696.6</v>
      </c>
    </row>
    <row r="33" spans="1:11" s="307" customFormat="1" ht="15.75" thickBot="1" x14ac:dyDescent="0.3">
      <c r="A33" s="917" t="s">
        <v>330</v>
      </c>
      <c r="B33" s="918"/>
      <c r="C33" s="918"/>
      <c r="D33" s="918"/>
      <c r="E33" s="919"/>
      <c r="F33" s="310">
        <v>200000</v>
      </c>
      <c r="G33" s="310">
        <f>F33*27%</f>
        <v>54000</v>
      </c>
      <c r="H33" s="310">
        <f>F33+G33</f>
        <v>254000</v>
      </c>
      <c r="I33" s="310">
        <v>200000</v>
      </c>
      <c r="J33" s="310">
        <f>I33*27%</f>
        <v>54000</v>
      </c>
      <c r="K33" s="310">
        <f>I33+J33</f>
        <v>254000</v>
      </c>
    </row>
    <row r="34" spans="1:11" s="307" customFormat="1" ht="15.75" thickBot="1" x14ac:dyDescent="0.3">
      <c r="A34" s="923" t="s">
        <v>331</v>
      </c>
      <c r="B34" s="924"/>
      <c r="C34" s="924"/>
      <c r="D34" s="924"/>
      <c r="E34" s="925"/>
      <c r="F34" s="309">
        <f t="shared" ref="F34:K34" si="17">F33</f>
        <v>200000</v>
      </c>
      <c r="G34" s="309">
        <f t="shared" si="17"/>
        <v>54000</v>
      </c>
      <c r="H34" s="309">
        <f t="shared" si="17"/>
        <v>254000</v>
      </c>
      <c r="I34" s="309">
        <f t="shared" si="17"/>
        <v>200000</v>
      </c>
      <c r="J34" s="309">
        <f t="shared" si="17"/>
        <v>54000</v>
      </c>
      <c r="K34" s="309">
        <f t="shared" si="17"/>
        <v>254000</v>
      </c>
    </row>
    <row r="35" spans="1:11" ht="15.75" thickBot="1" x14ac:dyDescent="0.3">
      <c r="A35" s="923" t="s">
        <v>332</v>
      </c>
      <c r="B35" s="924"/>
      <c r="C35" s="924"/>
      <c r="D35" s="924"/>
      <c r="E35" s="925"/>
      <c r="F35" s="309">
        <f t="shared" ref="F35:K35" si="18">F34+F32</f>
        <v>1595432</v>
      </c>
      <c r="G35" s="309">
        <f t="shared" si="18"/>
        <v>292264.59999999998</v>
      </c>
      <c r="H35" s="309">
        <f t="shared" si="18"/>
        <v>1815696.6</v>
      </c>
      <c r="I35" s="309">
        <f t="shared" si="18"/>
        <v>1595432</v>
      </c>
      <c r="J35" s="309">
        <f t="shared" si="18"/>
        <v>292264.59999999998</v>
      </c>
      <c r="K35" s="309">
        <f t="shared" si="18"/>
        <v>1815696.6</v>
      </c>
    </row>
    <row r="36" spans="1:11" s="307" customFormat="1" ht="15.75" thickBot="1" x14ac:dyDescent="0.3">
      <c r="A36" s="911" t="s">
        <v>384</v>
      </c>
      <c r="B36" s="912"/>
      <c r="C36" s="912"/>
      <c r="D36" s="912"/>
      <c r="E36" s="913"/>
      <c r="F36" s="310">
        <v>20668</v>
      </c>
      <c r="G36" s="310">
        <v>3828</v>
      </c>
      <c r="H36" s="310">
        <f>F36+G36</f>
        <v>24496</v>
      </c>
      <c r="I36" s="310">
        <v>20668</v>
      </c>
      <c r="J36" s="310">
        <v>3828</v>
      </c>
      <c r="K36" s="310">
        <f>I36+J36</f>
        <v>24496</v>
      </c>
    </row>
    <row r="37" spans="1:11" s="475" customFormat="1" ht="15.75" thickBot="1" x14ac:dyDescent="0.3">
      <c r="A37" s="842" t="s">
        <v>797</v>
      </c>
      <c r="B37" s="843"/>
      <c r="C37" s="843"/>
      <c r="D37" s="843"/>
      <c r="E37" s="844"/>
      <c r="F37" s="476">
        <v>0</v>
      </c>
      <c r="G37" s="476">
        <v>0</v>
      </c>
      <c r="H37" s="310">
        <f>F37+G37</f>
        <v>0</v>
      </c>
      <c r="I37" s="476">
        <v>33000</v>
      </c>
      <c r="J37" s="476">
        <f>I37*27%</f>
        <v>8910</v>
      </c>
      <c r="K37" s="310">
        <f>I37+J37</f>
        <v>41910</v>
      </c>
    </row>
    <row r="38" spans="1:11" s="413" customFormat="1" ht="15.75" thickBot="1" x14ac:dyDescent="0.3">
      <c r="A38" s="959" t="s">
        <v>385</v>
      </c>
      <c r="B38" s="960"/>
      <c r="C38" s="960"/>
      <c r="D38" s="960"/>
      <c r="E38" s="961"/>
      <c r="F38" s="473">
        <f>F36+F37</f>
        <v>20668</v>
      </c>
      <c r="G38" s="473">
        <f t="shared" ref="G38:H38" si="19">G36+G37</f>
        <v>3828</v>
      </c>
      <c r="H38" s="473">
        <f t="shared" si="19"/>
        <v>24496</v>
      </c>
      <c r="I38" s="473">
        <f>I36+I37</f>
        <v>53668</v>
      </c>
      <c r="J38" s="473">
        <f t="shared" ref="J38:K38" si="20">J36+J37</f>
        <v>12738</v>
      </c>
      <c r="K38" s="473">
        <f t="shared" si="20"/>
        <v>66406</v>
      </c>
    </row>
    <row r="39" spans="1:11" ht="15.75" thickBot="1" x14ac:dyDescent="0.3">
      <c r="A39" s="911" t="s">
        <v>334</v>
      </c>
      <c r="B39" s="912"/>
      <c r="C39" s="912"/>
      <c r="D39" s="912"/>
      <c r="E39" s="913"/>
      <c r="F39" s="310">
        <v>50000</v>
      </c>
      <c r="G39" s="310">
        <f>F39*27%</f>
        <v>13500</v>
      </c>
      <c r="H39" s="310">
        <f t="shared" ref="H39:H41" si="21">F39+G39</f>
        <v>63500</v>
      </c>
      <c r="I39" s="310">
        <v>50000</v>
      </c>
      <c r="J39" s="310">
        <f>I39*27%</f>
        <v>13500</v>
      </c>
      <c r="K39" s="310">
        <f t="shared" ref="K39:K51" si="22">I39+J39</f>
        <v>63500</v>
      </c>
    </row>
    <row r="40" spans="1:11" ht="15.75" thickBot="1" x14ac:dyDescent="0.3">
      <c r="A40" s="911" t="s">
        <v>386</v>
      </c>
      <c r="B40" s="912"/>
      <c r="C40" s="912"/>
      <c r="D40" s="912"/>
      <c r="E40" s="913"/>
      <c r="F40" s="310">
        <v>80000</v>
      </c>
      <c r="G40" s="310">
        <v>0</v>
      </c>
      <c r="H40" s="310">
        <f t="shared" si="21"/>
        <v>80000</v>
      </c>
      <c r="I40" s="310">
        <v>80000</v>
      </c>
      <c r="J40" s="310">
        <v>0</v>
      </c>
      <c r="K40" s="310">
        <f t="shared" si="22"/>
        <v>80000</v>
      </c>
    </row>
    <row r="41" spans="1:11" ht="15.75" thickBot="1" x14ac:dyDescent="0.3">
      <c r="A41" s="911" t="s">
        <v>798</v>
      </c>
      <c r="B41" s="912"/>
      <c r="C41" s="912"/>
      <c r="D41" s="912"/>
      <c r="E41" s="913"/>
      <c r="F41" s="310">
        <v>128560</v>
      </c>
      <c r="G41" s="310">
        <v>18900</v>
      </c>
      <c r="H41" s="310">
        <f t="shared" si="21"/>
        <v>147460</v>
      </c>
      <c r="I41" s="310">
        <v>128560</v>
      </c>
      <c r="J41" s="310">
        <v>18900</v>
      </c>
      <c r="K41" s="310">
        <f t="shared" si="22"/>
        <v>147460</v>
      </c>
    </row>
    <row r="42" spans="1:11" ht="15.75" thickBot="1" x14ac:dyDescent="0.3">
      <c r="A42" s="911" t="s">
        <v>909</v>
      </c>
      <c r="B42" s="912"/>
      <c r="C42" s="912"/>
      <c r="D42" s="912"/>
      <c r="E42" s="913"/>
      <c r="F42" s="310"/>
      <c r="G42" s="310"/>
      <c r="H42" s="310"/>
      <c r="I42" s="310">
        <v>67500</v>
      </c>
      <c r="J42" s="310">
        <f>I42*27%</f>
        <v>18225</v>
      </c>
      <c r="K42" s="310">
        <f>I42+J42</f>
        <v>85725</v>
      </c>
    </row>
    <row r="43" spans="1:11" s="307" customFormat="1" ht="15.75" thickBot="1" x14ac:dyDescent="0.3">
      <c r="A43" s="914" t="s">
        <v>799</v>
      </c>
      <c r="B43" s="915"/>
      <c r="C43" s="915"/>
      <c r="D43" s="915"/>
      <c r="E43" s="916"/>
      <c r="F43" s="309">
        <f t="shared" ref="F43:H43" si="23">F40+F41</f>
        <v>208560</v>
      </c>
      <c r="G43" s="309">
        <f t="shared" si="23"/>
        <v>18900</v>
      </c>
      <c r="H43" s="309">
        <f t="shared" si="23"/>
        <v>227460</v>
      </c>
      <c r="I43" s="309">
        <f>I40+I41+I42</f>
        <v>276060</v>
      </c>
      <c r="J43" s="309">
        <f>J40+J41+J42</f>
        <v>37125</v>
      </c>
      <c r="K43" s="309">
        <f t="shared" ref="K43" si="24">K40+K41</f>
        <v>227460</v>
      </c>
    </row>
    <row r="44" spans="1:11" s="475" customFormat="1" ht="15.75" thickBot="1" x14ac:dyDescent="0.3">
      <c r="A44" s="842" t="s">
        <v>387</v>
      </c>
      <c r="B44" s="843"/>
      <c r="C44" s="843"/>
      <c r="D44" s="843"/>
      <c r="E44" s="844"/>
      <c r="F44" s="476">
        <v>530000</v>
      </c>
      <c r="G44" s="476">
        <v>40000</v>
      </c>
      <c r="H44" s="476">
        <f t="shared" ref="H44:H51" si="25">F44+G44</f>
        <v>570000</v>
      </c>
      <c r="I44" s="476">
        <f>530000-33000</f>
        <v>497000</v>
      </c>
      <c r="J44" s="476">
        <v>40000</v>
      </c>
      <c r="K44" s="476">
        <f t="shared" si="22"/>
        <v>537000</v>
      </c>
    </row>
    <row r="45" spans="1:11" s="307" customFormat="1" ht="15.75" thickBot="1" x14ac:dyDescent="0.3">
      <c r="A45" s="911" t="s">
        <v>388</v>
      </c>
      <c r="B45" s="912"/>
      <c r="C45" s="912"/>
      <c r="D45" s="912"/>
      <c r="E45" s="913"/>
      <c r="F45" s="310">
        <v>490000</v>
      </c>
      <c r="G45" s="310">
        <v>0</v>
      </c>
      <c r="H45" s="310">
        <f t="shared" si="25"/>
        <v>490000</v>
      </c>
      <c r="I45" s="310">
        <f>490000+641+531+14827+42+862</f>
        <v>506903</v>
      </c>
      <c r="J45" s="310">
        <v>0</v>
      </c>
      <c r="K45" s="310">
        <f t="shared" si="22"/>
        <v>506903</v>
      </c>
    </row>
    <row r="46" spans="1:11" s="307" customFormat="1" ht="15.75" thickBot="1" x14ac:dyDescent="0.3">
      <c r="A46" s="842" t="s">
        <v>652</v>
      </c>
      <c r="B46" s="912"/>
      <c r="C46" s="912"/>
      <c r="D46" s="912"/>
      <c r="E46" s="913"/>
      <c r="F46" s="310">
        <v>0</v>
      </c>
      <c r="G46" s="310">
        <f>F46*27%</f>
        <v>0</v>
      </c>
      <c r="H46" s="310">
        <f t="shared" si="25"/>
        <v>0</v>
      </c>
      <c r="I46" s="310">
        <v>0</v>
      </c>
      <c r="J46" s="310">
        <f>I46*27%</f>
        <v>0</v>
      </c>
      <c r="K46" s="310">
        <f t="shared" si="22"/>
        <v>0</v>
      </c>
    </row>
    <row r="47" spans="1:11" s="475" customFormat="1" ht="15.75" thickBot="1" x14ac:dyDescent="0.3">
      <c r="A47" s="842" t="s">
        <v>800</v>
      </c>
      <c r="B47" s="843"/>
      <c r="C47" s="843"/>
      <c r="D47" s="843"/>
      <c r="E47" s="844"/>
      <c r="F47" s="476">
        <v>225712</v>
      </c>
      <c r="G47" s="476">
        <v>0</v>
      </c>
      <c r="H47" s="476">
        <f t="shared" si="25"/>
        <v>225712</v>
      </c>
      <c r="I47" s="476">
        <v>225712</v>
      </c>
      <c r="J47" s="476">
        <v>0</v>
      </c>
      <c r="K47" s="476">
        <f t="shared" si="22"/>
        <v>225712</v>
      </c>
    </row>
    <row r="48" spans="1:11" s="475" customFormat="1" ht="15.75" thickBot="1" x14ac:dyDescent="0.3">
      <c r="A48" s="842" t="s">
        <v>801</v>
      </c>
      <c r="B48" s="843"/>
      <c r="C48" s="843"/>
      <c r="D48" s="843"/>
      <c r="E48" s="844"/>
      <c r="F48" s="476">
        <v>34000</v>
      </c>
      <c r="G48" s="476">
        <f>F48*27%</f>
        <v>9180</v>
      </c>
      <c r="H48" s="476">
        <f t="shared" si="25"/>
        <v>43180</v>
      </c>
      <c r="I48" s="476">
        <v>34000</v>
      </c>
      <c r="J48" s="476">
        <f>I48*27%</f>
        <v>9180</v>
      </c>
      <c r="K48" s="476">
        <f t="shared" si="22"/>
        <v>43180</v>
      </c>
    </row>
    <row r="49" spans="1:11" s="475" customFormat="1" ht="15.75" thickBot="1" x14ac:dyDescent="0.3">
      <c r="A49" s="911" t="s">
        <v>802</v>
      </c>
      <c r="B49" s="912"/>
      <c r="C49" s="912"/>
      <c r="D49" s="912"/>
      <c r="E49" s="913"/>
      <c r="F49" s="476">
        <v>350000</v>
      </c>
      <c r="G49" s="476">
        <v>0</v>
      </c>
      <c r="H49" s="476">
        <f t="shared" si="25"/>
        <v>350000</v>
      </c>
      <c r="I49" s="476">
        <v>350000</v>
      </c>
      <c r="J49" s="476">
        <v>0</v>
      </c>
      <c r="K49" s="476">
        <f t="shared" si="22"/>
        <v>350000</v>
      </c>
    </row>
    <row r="50" spans="1:11" s="475" customFormat="1" ht="15.75" thickBot="1" x14ac:dyDescent="0.3">
      <c r="A50" s="842" t="s">
        <v>803</v>
      </c>
      <c r="B50" s="843"/>
      <c r="C50" s="843"/>
      <c r="D50" s="843"/>
      <c r="E50" s="844"/>
      <c r="F50" s="476">
        <v>0</v>
      </c>
      <c r="G50" s="476">
        <v>0</v>
      </c>
      <c r="H50" s="476">
        <f t="shared" si="25"/>
        <v>0</v>
      </c>
      <c r="I50" s="476">
        <v>0</v>
      </c>
      <c r="J50" s="476">
        <v>0</v>
      </c>
      <c r="K50" s="476">
        <f t="shared" si="22"/>
        <v>0</v>
      </c>
    </row>
    <row r="51" spans="1:11" s="475" customFormat="1" ht="15.75" thickBot="1" x14ac:dyDescent="0.3">
      <c r="A51" s="842" t="s">
        <v>804</v>
      </c>
      <c r="B51" s="843"/>
      <c r="C51" s="843"/>
      <c r="D51" s="843"/>
      <c r="E51" s="844"/>
      <c r="F51" s="476">
        <v>20000</v>
      </c>
      <c r="G51" s="476">
        <v>0</v>
      </c>
      <c r="H51" s="476">
        <f t="shared" si="25"/>
        <v>20000</v>
      </c>
      <c r="I51" s="476">
        <v>20000</v>
      </c>
      <c r="J51" s="476">
        <v>0</v>
      </c>
      <c r="K51" s="476">
        <f t="shared" si="22"/>
        <v>20000</v>
      </c>
    </row>
    <row r="52" spans="1:11" ht="15.75" thickBot="1" x14ac:dyDescent="0.3">
      <c r="A52" s="914" t="s">
        <v>342</v>
      </c>
      <c r="B52" s="915"/>
      <c r="C52" s="915"/>
      <c r="D52" s="915"/>
      <c r="E52" s="916"/>
      <c r="F52" s="309">
        <f>SUM(F44:F51)</f>
        <v>1649712</v>
      </c>
      <c r="G52" s="309">
        <f>SUM(G44:G51)</f>
        <v>49180</v>
      </c>
      <c r="H52" s="309">
        <f t="shared" ref="H52" si="26">SUM(H44:H51)</f>
        <v>1698892</v>
      </c>
      <c r="I52" s="309">
        <f>SUM(I44:I51)</f>
        <v>1633615</v>
      </c>
      <c r="J52" s="309">
        <f>SUM(J44:J51)</f>
        <v>49180</v>
      </c>
      <c r="K52" s="309">
        <f t="shared" ref="K52" si="27">SUM(K44:K51)</f>
        <v>1682795</v>
      </c>
    </row>
    <row r="53" spans="1:11" s="307" customFormat="1" ht="15.75" thickBot="1" x14ac:dyDescent="0.3">
      <c r="A53" s="914" t="s">
        <v>343</v>
      </c>
      <c r="B53" s="915"/>
      <c r="C53" s="915"/>
      <c r="D53" s="915"/>
      <c r="E53" s="916"/>
      <c r="F53" s="309">
        <f>F38+F39+F43+F52</f>
        <v>1928940</v>
      </c>
      <c r="G53" s="309">
        <f t="shared" ref="G53:H53" si="28">G38+G39+G40+G52</f>
        <v>66508</v>
      </c>
      <c r="H53" s="309">
        <f t="shared" si="28"/>
        <v>1866888</v>
      </c>
      <c r="I53" s="309">
        <f>I38+I39+I43+I52</f>
        <v>2013343</v>
      </c>
      <c r="J53" s="309">
        <f t="shared" ref="J53:K53" si="29">J38+J39+J40+J52</f>
        <v>75418</v>
      </c>
      <c r="K53" s="309">
        <f t="shared" si="29"/>
        <v>1892701</v>
      </c>
    </row>
    <row r="54" spans="1:11" ht="15.75" thickBot="1" x14ac:dyDescent="0.3">
      <c r="A54" s="911" t="s">
        <v>344</v>
      </c>
      <c r="B54" s="912"/>
      <c r="C54" s="912"/>
      <c r="D54" s="912"/>
      <c r="E54" s="913"/>
      <c r="F54" s="310">
        <v>150000</v>
      </c>
      <c r="G54" s="310">
        <v>0</v>
      </c>
      <c r="H54" s="310">
        <f>F54+G54</f>
        <v>150000</v>
      </c>
      <c r="I54" s="310">
        <v>150000</v>
      </c>
      <c r="J54" s="310">
        <v>0</v>
      </c>
      <c r="K54" s="310">
        <f>I54+J54</f>
        <v>150000</v>
      </c>
    </row>
    <row r="55" spans="1:11" ht="15.75" thickBot="1" x14ac:dyDescent="0.3">
      <c r="A55" s="914" t="s">
        <v>346</v>
      </c>
      <c r="B55" s="915"/>
      <c r="C55" s="915"/>
      <c r="D55" s="915"/>
      <c r="E55" s="916"/>
      <c r="F55" s="309">
        <f t="shared" ref="F55:K55" si="30">F54</f>
        <v>150000</v>
      </c>
      <c r="G55" s="309">
        <f t="shared" si="30"/>
        <v>0</v>
      </c>
      <c r="H55" s="309">
        <f t="shared" si="30"/>
        <v>150000</v>
      </c>
      <c r="I55" s="309">
        <f t="shared" si="30"/>
        <v>150000</v>
      </c>
      <c r="J55" s="309">
        <f t="shared" si="30"/>
        <v>0</v>
      </c>
      <c r="K55" s="309">
        <f t="shared" si="30"/>
        <v>150000</v>
      </c>
    </row>
    <row r="56" spans="1:11" s="475" customFormat="1" ht="15.75" thickBot="1" x14ac:dyDescent="0.3">
      <c r="A56" s="842" t="s">
        <v>347</v>
      </c>
      <c r="B56" s="843"/>
      <c r="C56" s="843"/>
      <c r="D56" s="843"/>
      <c r="E56" s="844"/>
      <c r="F56" s="476">
        <v>0</v>
      </c>
      <c r="G56" s="476">
        <f>G23+G35+G53</f>
        <v>467806.89999999997</v>
      </c>
      <c r="H56" s="476">
        <f t="shared" ref="H56" si="31">G56</f>
        <v>467806.89999999997</v>
      </c>
      <c r="I56" s="476">
        <v>0</v>
      </c>
      <c r="J56" s="476">
        <f>J16+J18+J19+J20+J21+J24+J25+J26+J28+J29+J30+J31+J33+J36+J37+J39+J40+J41+J42+J44+J45+J46+J47+J48+J49+J50+J51</f>
        <v>467806.9</v>
      </c>
      <c r="K56" s="476">
        <f t="shared" ref="K56" si="32">J56</f>
        <v>467806.9</v>
      </c>
    </row>
    <row r="57" spans="1:11" s="307" customFormat="1" ht="15.75" thickBot="1" x14ac:dyDescent="0.3">
      <c r="A57" s="911" t="s">
        <v>350</v>
      </c>
      <c r="B57" s="912"/>
      <c r="C57" s="912"/>
      <c r="D57" s="912"/>
      <c r="E57" s="913"/>
      <c r="F57" s="310">
        <v>50000</v>
      </c>
      <c r="G57" s="310">
        <v>0</v>
      </c>
      <c r="H57" s="310">
        <f>F57+G57</f>
        <v>50000</v>
      </c>
      <c r="I57" s="310">
        <v>50000</v>
      </c>
      <c r="J57" s="310">
        <v>0</v>
      </c>
      <c r="K57" s="310">
        <f>I57+J57</f>
        <v>50000</v>
      </c>
    </row>
    <row r="58" spans="1:11" s="314" customFormat="1" ht="19.5" thickBot="1" x14ac:dyDescent="0.35">
      <c r="A58" s="914" t="s">
        <v>348</v>
      </c>
      <c r="B58" s="915"/>
      <c r="C58" s="915"/>
      <c r="D58" s="915"/>
      <c r="E58" s="916"/>
      <c r="F58" s="309">
        <f>F56+F57</f>
        <v>50000</v>
      </c>
      <c r="G58" s="309">
        <f>G56</f>
        <v>467806.89999999997</v>
      </c>
      <c r="H58" s="309">
        <f>H56+H57</f>
        <v>517806.89999999997</v>
      </c>
      <c r="I58" s="309">
        <f>I56+I57</f>
        <v>50000</v>
      </c>
      <c r="J58" s="309">
        <f>J56</f>
        <v>467806.9</v>
      </c>
      <c r="K58" s="309">
        <f>K56+K57</f>
        <v>517806.9</v>
      </c>
    </row>
    <row r="59" spans="1:11" ht="15.75" thickBot="1" x14ac:dyDescent="0.3">
      <c r="A59" s="914" t="s">
        <v>349</v>
      </c>
      <c r="B59" s="915"/>
      <c r="C59" s="915"/>
      <c r="D59" s="915"/>
      <c r="E59" s="916"/>
      <c r="F59" s="309">
        <f>F23+F35+F53+F55+F58</f>
        <v>4640058</v>
      </c>
      <c r="G59" s="309">
        <f>G58</f>
        <v>467806.89999999997</v>
      </c>
      <c r="H59" s="309">
        <f>F59+G59</f>
        <v>5107864.9000000004</v>
      </c>
      <c r="I59" s="309">
        <f>I23+I35+I53+I55+I58</f>
        <v>4656969</v>
      </c>
      <c r="J59" s="309">
        <f>J58</f>
        <v>467806.9</v>
      </c>
      <c r="K59" s="309">
        <f>I59+J59</f>
        <v>5124775.9000000004</v>
      </c>
    </row>
    <row r="60" spans="1:11" ht="15.75" thickBot="1" x14ac:dyDescent="0.3">
      <c r="A60" s="911" t="s">
        <v>605</v>
      </c>
      <c r="B60" s="912"/>
      <c r="C60" s="912"/>
      <c r="D60" s="912"/>
      <c r="E60" s="913"/>
      <c r="F60" s="310">
        <v>0</v>
      </c>
      <c r="G60" s="310">
        <v>0</v>
      </c>
      <c r="H60" s="310">
        <f>F60+G60</f>
        <v>0</v>
      </c>
      <c r="I60" s="310">
        <v>0</v>
      </c>
      <c r="J60" s="310">
        <v>0</v>
      </c>
      <c r="K60" s="310">
        <f>I60+J60</f>
        <v>0</v>
      </c>
    </row>
    <row r="61" spans="1:11" ht="15.75" thickBot="1" x14ac:dyDescent="0.3">
      <c r="A61" s="911" t="s">
        <v>653</v>
      </c>
      <c r="B61" s="912"/>
      <c r="C61" s="912"/>
      <c r="D61" s="912"/>
      <c r="E61" s="913"/>
      <c r="F61" s="310">
        <v>0</v>
      </c>
      <c r="G61" s="310">
        <v>0</v>
      </c>
      <c r="H61" s="310">
        <f>F61+G61</f>
        <v>0</v>
      </c>
      <c r="I61" s="310">
        <v>0</v>
      </c>
      <c r="J61" s="310">
        <v>0</v>
      </c>
      <c r="K61" s="310">
        <f>I61+J61</f>
        <v>0</v>
      </c>
    </row>
    <row r="62" spans="1:11" ht="15.75" thickBot="1" x14ac:dyDescent="0.3">
      <c r="A62" s="911" t="s">
        <v>805</v>
      </c>
      <c r="B62" s="912"/>
      <c r="C62" s="912"/>
      <c r="D62" s="912"/>
      <c r="E62" s="913"/>
      <c r="F62" s="310">
        <v>0</v>
      </c>
      <c r="G62" s="310">
        <v>0</v>
      </c>
      <c r="H62" s="310">
        <f>F62+G62</f>
        <v>0</v>
      </c>
      <c r="I62" s="310">
        <v>0</v>
      </c>
      <c r="J62" s="310">
        <v>0</v>
      </c>
      <c r="K62" s="310">
        <f>I62+J62</f>
        <v>0</v>
      </c>
    </row>
    <row r="63" spans="1:11" ht="15.75" thickBot="1" x14ac:dyDescent="0.3">
      <c r="A63" s="911" t="s">
        <v>806</v>
      </c>
      <c r="B63" s="912"/>
      <c r="C63" s="912"/>
      <c r="D63" s="912"/>
      <c r="E63" s="913"/>
      <c r="F63" s="310">
        <v>0</v>
      </c>
      <c r="G63" s="310">
        <v>0</v>
      </c>
      <c r="H63" s="310">
        <f t="shared" ref="H63:H64" si="33">F63+G63</f>
        <v>0</v>
      </c>
      <c r="I63" s="310">
        <v>0</v>
      </c>
      <c r="J63" s="310">
        <v>0</v>
      </c>
      <c r="K63" s="310">
        <f t="shared" ref="K63:K64" si="34">I63+J63</f>
        <v>0</v>
      </c>
    </row>
    <row r="64" spans="1:11" ht="15.75" thickBot="1" x14ac:dyDescent="0.3">
      <c r="A64" s="911" t="s">
        <v>807</v>
      </c>
      <c r="B64" s="912"/>
      <c r="C64" s="912"/>
      <c r="D64" s="912"/>
      <c r="E64" s="913"/>
      <c r="F64" s="310">
        <v>0</v>
      </c>
      <c r="G64" s="310">
        <v>0</v>
      </c>
      <c r="H64" s="310">
        <f t="shared" si="33"/>
        <v>0</v>
      </c>
      <c r="I64" s="310">
        <v>0</v>
      </c>
      <c r="J64" s="310">
        <v>0</v>
      </c>
      <c r="K64" s="310">
        <f t="shared" si="34"/>
        <v>0</v>
      </c>
    </row>
    <row r="65" spans="1:12" ht="12.75" customHeight="1" thickBot="1" x14ac:dyDescent="0.3">
      <c r="A65" s="842" t="s">
        <v>808</v>
      </c>
      <c r="B65" s="912"/>
      <c r="C65" s="912"/>
      <c r="D65" s="912"/>
      <c r="E65" s="913"/>
      <c r="F65" s="310">
        <v>157480</v>
      </c>
      <c r="G65" s="310">
        <f>F65*27%</f>
        <v>42519.600000000006</v>
      </c>
      <c r="H65" s="310">
        <f>F65+G65</f>
        <v>199999.6</v>
      </c>
      <c r="I65" s="310">
        <f>157480-I67-I68</f>
        <v>128993</v>
      </c>
      <c r="J65" s="310">
        <f>42520-J68</f>
        <v>39607</v>
      </c>
      <c r="K65" s="310">
        <f>I65+J65</f>
        <v>168600</v>
      </c>
    </row>
    <row r="66" spans="1:12" s="486" customFormat="1" ht="15.75" thickBot="1" x14ac:dyDescent="0.3">
      <c r="A66" s="914" t="s">
        <v>809</v>
      </c>
      <c r="B66" s="915"/>
      <c r="C66" s="915"/>
      <c r="D66" s="915"/>
      <c r="E66" s="916"/>
      <c r="F66" s="427">
        <f t="shared" ref="F66:K66" si="35">F65</f>
        <v>157480</v>
      </c>
      <c r="G66" s="427">
        <f t="shared" si="35"/>
        <v>42519.600000000006</v>
      </c>
      <c r="H66" s="427">
        <f t="shared" si="35"/>
        <v>199999.6</v>
      </c>
      <c r="I66" s="427">
        <f t="shared" si="35"/>
        <v>128993</v>
      </c>
      <c r="J66" s="427">
        <f t="shared" si="35"/>
        <v>39607</v>
      </c>
      <c r="K66" s="427">
        <f t="shared" si="35"/>
        <v>168600</v>
      </c>
    </row>
    <row r="67" spans="1:12" ht="15.75" thickBot="1" x14ac:dyDescent="0.3">
      <c r="A67" s="911" t="s">
        <v>910</v>
      </c>
      <c r="B67" s="912"/>
      <c r="C67" s="912"/>
      <c r="D67" s="912"/>
      <c r="E67" s="913"/>
      <c r="F67" s="310">
        <v>0</v>
      </c>
      <c r="G67" s="310">
        <v>0</v>
      </c>
      <c r="H67" s="310">
        <f>F67+G67</f>
        <v>0</v>
      </c>
      <c r="I67" s="310">
        <v>17700</v>
      </c>
      <c r="J67" s="310">
        <v>0</v>
      </c>
      <c r="K67" s="310">
        <f>I67+J67</f>
        <v>17700</v>
      </c>
    </row>
    <row r="68" spans="1:12" ht="15.75" thickBot="1" x14ac:dyDescent="0.3">
      <c r="A68" s="911" t="s">
        <v>911</v>
      </c>
      <c r="B68" s="912"/>
      <c r="C68" s="912"/>
      <c r="D68" s="912"/>
      <c r="E68" s="913"/>
      <c r="F68" s="310"/>
      <c r="G68" s="310"/>
      <c r="H68" s="310"/>
      <c r="I68" s="310">
        <v>10787</v>
      </c>
      <c r="J68" s="310">
        <v>2913</v>
      </c>
      <c r="K68" s="310">
        <f>I68+J68</f>
        <v>13700</v>
      </c>
    </row>
    <row r="69" spans="1:12" ht="15.75" thickBot="1" x14ac:dyDescent="0.3">
      <c r="A69" s="914" t="s">
        <v>810</v>
      </c>
      <c r="B69" s="915"/>
      <c r="C69" s="915"/>
      <c r="D69" s="915"/>
      <c r="E69" s="916"/>
      <c r="F69" s="309">
        <f>F67</f>
        <v>0</v>
      </c>
      <c r="G69" s="309">
        <f t="shared" ref="G69:H69" si="36">G67</f>
        <v>0</v>
      </c>
      <c r="H69" s="309">
        <f t="shared" si="36"/>
        <v>0</v>
      </c>
      <c r="I69" s="309">
        <f>I67+I68</f>
        <v>28487</v>
      </c>
      <c r="J69" s="309">
        <f>J67+J68</f>
        <v>2913</v>
      </c>
      <c r="K69" s="309">
        <f>K67+K68</f>
        <v>31400</v>
      </c>
    </row>
    <row r="70" spans="1:12" s="307" customFormat="1" ht="15.75" thickBot="1" x14ac:dyDescent="0.3">
      <c r="A70" s="914" t="s">
        <v>654</v>
      </c>
      <c r="B70" s="915"/>
      <c r="C70" s="915"/>
      <c r="D70" s="915"/>
      <c r="E70" s="916"/>
      <c r="F70" s="309">
        <f>F66+F69</f>
        <v>157480</v>
      </c>
      <c r="G70" s="309">
        <f t="shared" ref="G70:H70" si="37">G66+G69</f>
        <v>42519.600000000006</v>
      </c>
      <c r="H70" s="309">
        <f t="shared" si="37"/>
        <v>199999.6</v>
      </c>
      <c r="I70" s="309">
        <f>I66+I69</f>
        <v>157480</v>
      </c>
      <c r="J70" s="309">
        <f t="shared" ref="J70:K70" si="38">J66+J69</f>
        <v>42520</v>
      </c>
      <c r="K70" s="309">
        <f t="shared" si="38"/>
        <v>200000</v>
      </c>
    </row>
    <row r="71" spans="1:12" s="307" customFormat="1" ht="46.5" customHeight="1" thickBot="1" x14ac:dyDescent="0.3">
      <c r="A71" s="1008" t="s">
        <v>912</v>
      </c>
      <c r="B71" s="1009"/>
      <c r="C71" s="1009"/>
      <c r="D71" s="1009"/>
      <c r="E71" s="1010"/>
      <c r="F71" s="310">
        <v>0</v>
      </c>
      <c r="G71" s="309">
        <v>0</v>
      </c>
      <c r="H71" s="309">
        <f>F71+G71</f>
        <v>0</v>
      </c>
      <c r="I71" s="310">
        <v>0</v>
      </c>
      <c r="J71" s="309">
        <v>0</v>
      </c>
      <c r="K71" s="309">
        <f>I71+J71</f>
        <v>0</v>
      </c>
    </row>
    <row r="72" spans="1:12" s="307" customFormat="1" ht="15.75" thickBot="1" x14ac:dyDescent="0.3">
      <c r="A72" s="914" t="s">
        <v>811</v>
      </c>
      <c r="B72" s="915"/>
      <c r="C72" s="915"/>
      <c r="D72" s="915"/>
      <c r="E72" s="916"/>
      <c r="F72" s="309">
        <f>F71</f>
        <v>0</v>
      </c>
      <c r="G72" s="309">
        <v>0</v>
      </c>
      <c r="H72" s="309">
        <f>F72+G72</f>
        <v>0</v>
      </c>
      <c r="I72" s="309">
        <f>I71</f>
        <v>0</v>
      </c>
      <c r="J72" s="309">
        <v>0</v>
      </c>
      <c r="K72" s="309">
        <f>I72+J72</f>
        <v>0</v>
      </c>
    </row>
    <row r="73" spans="1:12" s="139" customFormat="1" ht="19.5" thickBot="1" x14ac:dyDescent="0.35">
      <c r="A73" s="947" t="s">
        <v>389</v>
      </c>
      <c r="B73" s="948"/>
      <c r="C73" s="948"/>
      <c r="D73" s="948"/>
      <c r="E73" s="949"/>
      <c r="F73" s="313">
        <f>F72+F70+F59+F14+F13</f>
        <v>49910056</v>
      </c>
      <c r="G73" s="313">
        <f t="shared" ref="G73" si="39">G72+G70+G59+G14+G13</f>
        <v>510326.5</v>
      </c>
      <c r="H73" s="313">
        <f>H72+H70+H59+H14+H13</f>
        <v>50420382.5</v>
      </c>
      <c r="I73" s="313">
        <f>I72+I70+I59+I14+I13</f>
        <v>48630252</v>
      </c>
      <c r="J73" s="313">
        <f t="shared" ref="J73" si="40">J72+J70+J59+J14+J13</f>
        <v>510326.9</v>
      </c>
      <c r="K73" s="313">
        <f>K72+K70+K59+K14+K13</f>
        <v>49140578.899999999</v>
      </c>
      <c r="L73" s="624"/>
    </row>
    <row r="77" spans="1:12" x14ac:dyDescent="0.25">
      <c r="I77" s="306"/>
    </row>
  </sheetData>
  <mergeCells count="73">
    <mergeCell ref="A1:G1"/>
    <mergeCell ref="A14:E14"/>
    <mergeCell ref="A4:E4"/>
    <mergeCell ref="A5:E5"/>
    <mergeCell ref="A6:E6"/>
    <mergeCell ref="A7:E7"/>
    <mergeCell ref="A8:E8"/>
    <mergeCell ref="A9:E9"/>
    <mergeCell ref="A10:E10"/>
    <mergeCell ref="A11:E11"/>
    <mergeCell ref="A12:E12"/>
    <mergeCell ref="A13:E13"/>
    <mergeCell ref="A38:E38"/>
    <mergeCell ref="A27:E27"/>
    <mergeCell ref="A15:E15"/>
    <mergeCell ref="A16:E16"/>
    <mergeCell ref="A17:E17"/>
    <mergeCell ref="A18:E18"/>
    <mergeCell ref="A19:E19"/>
    <mergeCell ref="A20:E20"/>
    <mergeCell ref="A21:E21"/>
    <mergeCell ref="A22:E22"/>
    <mergeCell ref="A23:E23"/>
    <mergeCell ref="A25:E25"/>
    <mergeCell ref="A26:E26"/>
    <mergeCell ref="A24:E24"/>
    <mergeCell ref="A33:E33"/>
    <mergeCell ref="A34:E34"/>
    <mergeCell ref="A35:E35"/>
    <mergeCell ref="A36:E36"/>
    <mergeCell ref="A37:E37"/>
    <mergeCell ref="A28:E28"/>
    <mergeCell ref="A29:E29"/>
    <mergeCell ref="A30:E30"/>
    <mergeCell ref="A31:E31"/>
    <mergeCell ref="A32:E32"/>
    <mergeCell ref="F3:H3"/>
    <mergeCell ref="A50:E50"/>
    <mergeCell ref="A51:E51"/>
    <mergeCell ref="A52:E52"/>
    <mergeCell ref="A53:E53"/>
    <mergeCell ref="A45:E45"/>
    <mergeCell ref="A46:E46"/>
    <mergeCell ref="A47:E47"/>
    <mergeCell ref="A48:E48"/>
    <mergeCell ref="A49:E49"/>
    <mergeCell ref="A40:E40"/>
    <mergeCell ref="A41:E41"/>
    <mergeCell ref="A42:E42"/>
    <mergeCell ref="A43:E43"/>
    <mergeCell ref="A44:E44"/>
    <mergeCell ref="A39:E39"/>
    <mergeCell ref="A54:E54"/>
    <mergeCell ref="A55:E55"/>
    <mergeCell ref="A56:E56"/>
    <mergeCell ref="A57:E57"/>
    <mergeCell ref="A58:E58"/>
    <mergeCell ref="I3:K3"/>
    <mergeCell ref="A72:E72"/>
    <mergeCell ref="A73:E73"/>
    <mergeCell ref="A69:E69"/>
    <mergeCell ref="A70:E70"/>
    <mergeCell ref="A71:E71"/>
    <mergeCell ref="A64:E64"/>
    <mergeCell ref="A65:E65"/>
    <mergeCell ref="A66:E66"/>
    <mergeCell ref="A67:E67"/>
    <mergeCell ref="A68:E68"/>
    <mergeCell ref="A59:E59"/>
    <mergeCell ref="A60:E60"/>
    <mergeCell ref="A61:E61"/>
    <mergeCell ref="A62:E62"/>
    <mergeCell ref="A63:E63"/>
  </mergeCells>
  <pageMargins left="0.23622047244094491" right="0.23622047244094491" top="0.74803149606299213" bottom="0.74803149606299213" header="0.31496062992125984" footer="0.31496062992125984"/>
  <pageSetup paperSize="9" scale="7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7030A0"/>
  </sheetPr>
  <dimension ref="A1:O22"/>
  <sheetViews>
    <sheetView workbookViewId="0">
      <selection activeCell="G7" sqref="G7:J7"/>
    </sheetView>
  </sheetViews>
  <sheetFormatPr defaultColWidth="9.140625" defaultRowHeight="12.75" x14ac:dyDescent="0.2"/>
  <cols>
    <col min="1" max="3" width="9.140625" style="413"/>
    <col min="4" max="4" width="19.5703125" style="413" customWidth="1"/>
    <col min="5" max="5" width="14" style="413" bestFit="1" customWidth="1"/>
    <col min="6" max="6" width="9.140625" style="413"/>
    <col min="7" max="7" width="15.5703125" style="413" customWidth="1"/>
    <col min="8" max="9" width="9.140625" style="413"/>
    <col min="10" max="10" width="11.140625" style="413" bestFit="1" customWidth="1"/>
    <col min="11" max="11" width="14" style="413" bestFit="1" customWidth="1"/>
    <col min="12" max="16384" width="9.140625" style="413"/>
  </cols>
  <sheetData>
    <row r="1" spans="1:11" x14ac:dyDescent="0.2">
      <c r="G1" s="413" t="s">
        <v>918</v>
      </c>
    </row>
    <row r="2" spans="1:11" x14ac:dyDescent="0.2">
      <c r="B2" s="1018" t="s">
        <v>914</v>
      </c>
      <c r="C2" s="1019"/>
      <c r="D2" s="1019"/>
      <c r="E2" s="1019"/>
    </row>
    <row r="4" spans="1:11" ht="13.5" thickBot="1" x14ac:dyDescent="0.25"/>
    <row r="5" spans="1:11" ht="13.5" thickBot="1" x14ac:dyDescent="0.25">
      <c r="C5" s="828" t="s">
        <v>915</v>
      </c>
      <c r="D5" s="830"/>
      <c r="H5" s="1020" t="s">
        <v>858</v>
      </c>
      <c r="I5" s="1020"/>
      <c r="J5" s="1020"/>
      <c r="K5" s="1020"/>
    </row>
    <row r="6" spans="1:11" ht="15.75" thickBot="1" x14ac:dyDescent="0.3">
      <c r="A6" s="911" t="s">
        <v>596</v>
      </c>
      <c r="B6" s="912"/>
      <c r="C6" s="912"/>
      <c r="D6" s="913"/>
      <c r="E6" s="404" t="s">
        <v>307</v>
      </c>
      <c r="G6" s="911" t="s">
        <v>596</v>
      </c>
      <c r="H6" s="912"/>
      <c r="I6" s="912"/>
      <c r="J6" s="913"/>
      <c r="K6" s="404" t="s">
        <v>307</v>
      </c>
    </row>
    <row r="7" spans="1:11" ht="15.75" thickBot="1" x14ac:dyDescent="0.3">
      <c r="A7" s="911" t="s">
        <v>859</v>
      </c>
      <c r="B7" s="912"/>
      <c r="C7" s="912"/>
      <c r="D7" s="913"/>
      <c r="E7" s="310">
        <v>48315484</v>
      </c>
      <c r="G7" s="911" t="s">
        <v>859</v>
      </c>
      <c r="H7" s="912"/>
      <c r="I7" s="912"/>
      <c r="J7" s="913"/>
      <c r="K7" s="310">
        <v>48315484</v>
      </c>
    </row>
    <row r="8" spans="1:11" ht="15.75" thickBot="1" x14ac:dyDescent="0.3">
      <c r="A8" s="842"/>
      <c r="B8" s="912"/>
      <c r="C8" s="912"/>
      <c r="D8" s="913"/>
      <c r="E8" s="310"/>
      <c r="G8" s="842"/>
      <c r="H8" s="912"/>
      <c r="I8" s="912"/>
      <c r="J8" s="913"/>
      <c r="K8" s="310"/>
    </row>
    <row r="9" spans="1:11" ht="15.75" thickBot="1" x14ac:dyDescent="0.3">
      <c r="A9" s="842" t="s">
        <v>860</v>
      </c>
      <c r="B9" s="912"/>
      <c r="C9" s="912"/>
      <c r="D9" s="913"/>
      <c r="E9" s="310">
        <v>1000000</v>
      </c>
      <c r="G9" s="842" t="s">
        <v>860</v>
      </c>
      <c r="H9" s="912"/>
      <c r="I9" s="912"/>
      <c r="J9" s="913"/>
      <c r="K9" s="310">
        <v>1000000</v>
      </c>
    </row>
    <row r="10" spans="1:11" ht="15.75" thickBot="1" x14ac:dyDescent="0.3">
      <c r="A10" s="842" t="s">
        <v>861</v>
      </c>
      <c r="B10" s="912"/>
      <c r="C10" s="912"/>
      <c r="D10" s="913"/>
      <c r="E10" s="310">
        <f>E12+E11</f>
        <v>106406</v>
      </c>
      <c r="G10" s="842" t="s">
        <v>861</v>
      </c>
      <c r="H10" s="912"/>
      <c r="I10" s="912"/>
      <c r="J10" s="913"/>
      <c r="K10" s="310">
        <f>K12+K11</f>
        <v>106406</v>
      </c>
    </row>
    <row r="11" spans="1:11" ht="15.75" thickBot="1" x14ac:dyDescent="0.3">
      <c r="A11" s="911" t="s">
        <v>597</v>
      </c>
      <c r="B11" s="912"/>
      <c r="C11" s="912"/>
      <c r="D11" s="913"/>
      <c r="E11" s="405">
        <v>57525</v>
      </c>
      <c r="G11" s="911" t="s">
        <v>597</v>
      </c>
      <c r="H11" s="912"/>
      <c r="I11" s="912"/>
      <c r="J11" s="913"/>
      <c r="K11" s="405">
        <v>57525</v>
      </c>
    </row>
    <row r="12" spans="1:11" ht="15.75" thickBot="1" x14ac:dyDescent="0.3">
      <c r="A12" s="911" t="s">
        <v>598</v>
      </c>
      <c r="B12" s="912"/>
      <c r="C12" s="912"/>
      <c r="D12" s="913"/>
      <c r="E12" s="405">
        <v>48881</v>
      </c>
      <c r="G12" s="911" t="s">
        <v>598</v>
      </c>
      <c r="H12" s="912"/>
      <c r="I12" s="912"/>
      <c r="J12" s="913"/>
      <c r="K12" s="405">
        <v>48881</v>
      </c>
    </row>
    <row r="13" spans="1:11" ht="15.75" thickBot="1" x14ac:dyDescent="0.3">
      <c r="A13" s="911" t="s">
        <v>916</v>
      </c>
      <c r="B13" s="912"/>
      <c r="C13" s="912"/>
      <c r="D13" s="913"/>
      <c r="E13" s="405">
        <v>50</v>
      </c>
      <c r="G13" s="540"/>
      <c r="H13" s="541"/>
      <c r="I13" s="541"/>
      <c r="J13" s="542"/>
      <c r="K13" s="405"/>
    </row>
    <row r="14" spans="1:11" ht="15.75" thickBot="1" x14ac:dyDescent="0.3">
      <c r="A14" s="842" t="s">
        <v>917</v>
      </c>
      <c r="B14" s="912"/>
      <c r="C14" s="912"/>
      <c r="D14" s="913"/>
      <c r="E14" s="405">
        <v>121233</v>
      </c>
      <c r="G14" s="540"/>
      <c r="H14" s="541"/>
      <c r="I14" s="541"/>
      <c r="J14" s="542"/>
      <c r="K14" s="405"/>
    </row>
    <row r="15" spans="1:11" ht="19.5" thickBot="1" x14ac:dyDescent="0.35">
      <c r="A15" s="947" t="s">
        <v>599</v>
      </c>
      <c r="B15" s="948"/>
      <c r="C15" s="948"/>
      <c r="D15" s="949"/>
      <c r="E15" s="313">
        <f>E14+E9+E7</f>
        <v>49436717</v>
      </c>
      <c r="G15" s="947" t="s">
        <v>599</v>
      </c>
      <c r="H15" s="948"/>
      <c r="I15" s="948"/>
      <c r="J15" s="949"/>
      <c r="K15" s="313">
        <f>K7+K9+K10+K8</f>
        <v>49421890</v>
      </c>
    </row>
    <row r="16" spans="1:11" ht="15" x14ac:dyDescent="0.25">
      <c r="A16"/>
      <c r="B16"/>
      <c r="C16"/>
      <c r="D16"/>
      <c r="E16" s="306"/>
      <c r="G16"/>
      <c r="H16"/>
      <c r="I16"/>
      <c r="J16"/>
      <c r="K16" s="306"/>
    </row>
    <row r="17" spans="1:15" ht="15.75" thickBot="1" x14ac:dyDescent="0.3">
      <c r="A17"/>
      <c r="B17"/>
      <c r="C17"/>
      <c r="D17"/>
      <c r="E17" s="306"/>
      <c r="G17"/>
      <c r="H17"/>
      <c r="I17"/>
      <c r="J17"/>
      <c r="K17" s="306"/>
    </row>
    <row r="18" spans="1:15" ht="16.5" thickBot="1" x14ac:dyDescent="0.3">
      <c r="A18"/>
      <c r="B18"/>
      <c r="C18"/>
      <c r="D18" s="397" t="s">
        <v>600</v>
      </c>
      <c r="E18" s="311">
        <v>49140579</v>
      </c>
      <c r="G18"/>
      <c r="H18"/>
      <c r="I18"/>
      <c r="J18" s="397" t="s">
        <v>600</v>
      </c>
      <c r="K18" s="311">
        <v>50420383</v>
      </c>
    </row>
    <row r="19" spans="1:15" ht="15" x14ac:dyDescent="0.25">
      <c r="A19"/>
      <c r="B19"/>
      <c r="C19"/>
      <c r="D19"/>
      <c r="E19" s="306"/>
      <c r="G19"/>
      <c r="H19"/>
      <c r="I19"/>
      <c r="J19"/>
      <c r="K19" s="306"/>
      <c r="O19" s="484"/>
    </row>
    <row r="20" spans="1:15" ht="15.75" thickBot="1" x14ac:dyDescent="0.3">
      <c r="A20"/>
      <c r="B20"/>
      <c r="C20"/>
      <c r="D20"/>
      <c r="E20" s="306"/>
      <c r="G20"/>
      <c r="H20"/>
      <c r="I20"/>
      <c r="J20"/>
      <c r="K20" s="306"/>
    </row>
    <row r="21" spans="1:15" ht="16.5" thickBot="1" x14ac:dyDescent="0.3">
      <c r="A21"/>
      <c r="B21"/>
      <c r="C21"/>
      <c r="D21" s="397" t="s">
        <v>601</v>
      </c>
      <c r="E21" s="311">
        <f>E15-E18</f>
        <v>296138</v>
      </c>
      <c r="G21"/>
      <c r="H21"/>
      <c r="I21"/>
      <c r="J21" s="397" t="s">
        <v>601</v>
      </c>
      <c r="K21" s="311">
        <f>K15-K18</f>
        <v>-998493</v>
      </c>
    </row>
    <row r="22" spans="1:15" ht="15" x14ac:dyDescent="0.25">
      <c r="A22"/>
      <c r="B22"/>
      <c r="C22"/>
      <c r="D22"/>
      <c r="E22" s="306"/>
      <c r="G22"/>
      <c r="H22"/>
      <c r="I22"/>
      <c r="J22"/>
      <c r="K22" s="306"/>
    </row>
  </sheetData>
  <mergeCells count="21">
    <mergeCell ref="B2:E2"/>
    <mergeCell ref="C5:D5"/>
    <mergeCell ref="G6:J6"/>
    <mergeCell ref="G7:J7"/>
    <mergeCell ref="A6:D6"/>
    <mergeCell ref="A7:D7"/>
    <mergeCell ref="H5:K5"/>
    <mergeCell ref="G8:J8"/>
    <mergeCell ref="A9:D9"/>
    <mergeCell ref="G9:J9"/>
    <mergeCell ref="A10:D10"/>
    <mergeCell ref="G10:J10"/>
    <mergeCell ref="A8:D8"/>
    <mergeCell ref="A14:D14"/>
    <mergeCell ref="A15:D15"/>
    <mergeCell ref="G15:J15"/>
    <mergeCell ref="A13:D13"/>
    <mergeCell ref="A11:D11"/>
    <mergeCell ref="G11:J11"/>
    <mergeCell ref="A12:D12"/>
    <mergeCell ref="G12:J12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K107"/>
  <sheetViews>
    <sheetView tabSelected="1" topLeftCell="D1" workbookViewId="0">
      <selection activeCell="I19" sqref="I19"/>
    </sheetView>
  </sheetViews>
  <sheetFormatPr defaultRowHeight="15.75" x14ac:dyDescent="0.25"/>
  <cols>
    <col min="1" max="1" width="6" style="2" customWidth="1"/>
    <col min="2" max="2" width="5.140625" style="1" customWidth="1"/>
    <col min="3" max="3" width="59.85546875" style="1" customWidth="1"/>
    <col min="4" max="4" width="21.28515625" style="2" bestFit="1" customWidth="1"/>
    <col min="5" max="5" width="19.140625" style="2" bestFit="1" customWidth="1"/>
    <col min="6" max="6" width="17.7109375" style="2" bestFit="1" customWidth="1"/>
    <col min="7" max="7" width="14.85546875" style="11" bestFit="1" customWidth="1"/>
    <col min="8" max="8" width="19.140625" bestFit="1" customWidth="1"/>
    <col min="9" max="9" width="20" bestFit="1" customWidth="1"/>
    <col min="10" max="10" width="17.7109375" bestFit="1" customWidth="1"/>
  </cols>
  <sheetData>
    <row r="1" spans="1:11" ht="18.75" x14ac:dyDescent="0.3">
      <c r="A1" s="708" t="s">
        <v>705</v>
      </c>
      <c r="B1" s="709"/>
      <c r="C1" s="709"/>
      <c r="D1" s="709"/>
      <c r="E1" s="709"/>
      <c r="F1" s="709"/>
    </row>
    <row r="2" spans="1:11" x14ac:dyDescent="0.25">
      <c r="A2" s="672"/>
      <c r="B2" s="672"/>
      <c r="C2" s="672"/>
      <c r="D2" s="672"/>
      <c r="E2" s="672"/>
      <c r="F2" s="672"/>
    </row>
    <row r="3" spans="1:11" x14ac:dyDescent="0.25">
      <c r="A3" s="710" t="s">
        <v>3</v>
      </c>
      <c r="B3" s="710"/>
      <c r="C3" s="710"/>
      <c r="D3" s="710"/>
      <c r="E3" s="710"/>
      <c r="F3" s="710"/>
    </row>
    <row r="4" spans="1:11" x14ac:dyDescent="0.25">
      <c r="A4" s="672" t="s">
        <v>4</v>
      </c>
      <c r="B4" s="672"/>
      <c r="C4" s="672"/>
      <c r="D4" s="672"/>
      <c r="E4" s="672"/>
      <c r="F4" s="672"/>
    </row>
    <row r="5" spans="1:11" ht="16.5" thickBot="1" x14ac:dyDescent="0.3">
      <c r="A5" s="711" t="s">
        <v>5</v>
      </c>
      <c r="B5" s="711"/>
      <c r="C5" s="711"/>
      <c r="D5" s="711"/>
      <c r="E5" s="711"/>
      <c r="F5" s="711"/>
    </row>
    <row r="6" spans="1:11" ht="12.75" customHeight="1" x14ac:dyDescent="0.25">
      <c r="A6" s="712" t="s">
        <v>6</v>
      </c>
      <c r="B6" s="715" t="s">
        <v>7</v>
      </c>
      <c r="C6" s="715"/>
      <c r="D6" s="718" t="s">
        <v>8</v>
      </c>
      <c r="E6" s="720" t="s">
        <v>9</v>
      </c>
      <c r="F6" s="720" t="s">
        <v>10</v>
      </c>
      <c r="G6" s="704" t="s">
        <v>11</v>
      </c>
      <c r="H6" s="718" t="s">
        <v>8</v>
      </c>
      <c r="I6" s="720" t="s">
        <v>9</v>
      </c>
      <c r="J6" s="720" t="s">
        <v>10</v>
      </c>
      <c r="K6" s="704" t="s">
        <v>11</v>
      </c>
    </row>
    <row r="7" spans="1:11" ht="21.75" customHeight="1" x14ac:dyDescent="0.25">
      <c r="A7" s="713"/>
      <c r="B7" s="716"/>
      <c r="C7" s="716"/>
      <c r="D7" s="719"/>
      <c r="E7" s="721"/>
      <c r="F7" s="721"/>
      <c r="G7" s="705"/>
      <c r="H7" s="719"/>
      <c r="I7" s="721"/>
      <c r="J7" s="721"/>
      <c r="K7" s="705"/>
    </row>
    <row r="8" spans="1:11" ht="15.75" customHeight="1" thickBot="1" x14ac:dyDescent="0.3">
      <c r="A8" s="714"/>
      <c r="B8" s="717"/>
      <c r="C8" s="717"/>
      <c r="D8" s="706" t="s">
        <v>706</v>
      </c>
      <c r="E8" s="706"/>
      <c r="F8" s="706"/>
      <c r="G8" s="12"/>
      <c r="H8" s="706" t="s">
        <v>864</v>
      </c>
      <c r="I8" s="706"/>
      <c r="J8" s="706"/>
      <c r="K8" s="12"/>
    </row>
    <row r="9" spans="1:11" x14ac:dyDescent="0.25">
      <c r="A9" s="13"/>
      <c r="B9" s="707" t="s">
        <v>12</v>
      </c>
      <c r="C9" s="707"/>
      <c r="D9" s="14"/>
      <c r="E9" s="15"/>
      <c r="F9" s="14"/>
      <c r="G9" s="16"/>
      <c r="H9" s="14"/>
      <c r="I9" s="15"/>
      <c r="J9" s="14"/>
      <c r="K9" s="16"/>
    </row>
    <row r="10" spans="1:11" ht="15.75" customHeight="1" x14ac:dyDescent="0.25">
      <c r="A10" s="9">
        <v>1</v>
      </c>
      <c r="B10" s="689" t="s">
        <v>13</v>
      </c>
      <c r="C10" s="689"/>
      <c r="D10" s="17">
        <v>123581666</v>
      </c>
      <c r="E10" s="17">
        <v>123581666</v>
      </c>
      <c r="F10" s="18">
        <f>'[1]11'!F10+'[1]13'!F10+'[1]15'!F10</f>
        <v>0</v>
      </c>
      <c r="G10" s="19"/>
      <c r="H10" s="17">
        <v>124621103</v>
      </c>
      <c r="I10" s="17">
        <v>124621103</v>
      </c>
      <c r="J10" s="18">
        <f>'[1]11'!J10+'[1]13'!J10+'[1]15'!J10</f>
        <v>0</v>
      </c>
      <c r="K10" s="19"/>
    </row>
    <row r="11" spans="1:11" ht="15.75" customHeight="1" x14ac:dyDescent="0.25">
      <c r="A11" s="9">
        <v>2</v>
      </c>
      <c r="B11" s="689" t="s">
        <v>14</v>
      </c>
      <c r="C11" s="689"/>
      <c r="D11" s="17">
        <v>22751012</v>
      </c>
      <c r="E11" s="17">
        <v>22751012</v>
      </c>
      <c r="F11" s="18">
        <f>'[1]11'!F11+'[1]13'!F11+'[1]15'!F11</f>
        <v>0</v>
      </c>
      <c r="G11" s="19"/>
      <c r="H11" s="17">
        <v>21372322</v>
      </c>
      <c r="I11" s="17">
        <v>21372322</v>
      </c>
      <c r="J11" s="18">
        <f>'[1]11'!J11+'[1]13'!J11+'[1]15'!J11</f>
        <v>0</v>
      </c>
      <c r="K11" s="19"/>
    </row>
    <row r="12" spans="1:11" ht="15.75" customHeight="1" x14ac:dyDescent="0.25">
      <c r="A12" s="9">
        <v>3</v>
      </c>
      <c r="B12" s="689" t="s">
        <v>15</v>
      </c>
      <c r="C12" s="689"/>
      <c r="D12" s="17">
        <v>82049134</v>
      </c>
      <c r="E12" s="17">
        <v>82049134</v>
      </c>
      <c r="F12" s="18">
        <f>'[1]11'!F12+'[1]13'!F12+'[1]15'!F12</f>
        <v>0</v>
      </c>
      <c r="G12" s="20"/>
      <c r="H12" s="17">
        <v>119569374</v>
      </c>
      <c r="I12" s="17">
        <v>119569374</v>
      </c>
      <c r="J12" s="18">
        <f>'[1]11'!J12+'[1]13'!J12+'[1]15'!J12</f>
        <v>0</v>
      </c>
      <c r="K12" s="20"/>
    </row>
    <row r="13" spans="1:11" ht="15.75" customHeight="1" x14ac:dyDescent="0.25">
      <c r="A13" s="9" t="s">
        <v>16</v>
      </c>
      <c r="B13" s="689" t="s">
        <v>17</v>
      </c>
      <c r="C13" s="689"/>
      <c r="D13" s="17">
        <f t="shared" ref="D13:D17" si="0">SUM(E13:G13)</f>
        <v>0</v>
      </c>
      <c r="E13" s="17">
        <f>'[1]11'!E13+'[1]13'!E13+'[1]15'!E13</f>
        <v>0</v>
      </c>
      <c r="F13" s="18">
        <f>'[1]11'!F13+'[1]13'!F13+'[1]15'!F13</f>
        <v>0</v>
      </c>
      <c r="G13" s="21"/>
      <c r="H13" s="17">
        <f t="shared" ref="H13" si="1">SUM(I13:K13)</f>
        <v>0</v>
      </c>
      <c r="I13" s="17">
        <f>'[1]11'!I13+'[1]13'!I13+'[1]15'!I13</f>
        <v>0</v>
      </c>
      <c r="J13" s="18">
        <f>'[1]11'!J13+'[1]13'!J13+'[1]15'!J13</f>
        <v>0</v>
      </c>
      <c r="K13" s="21"/>
    </row>
    <row r="14" spans="1:11" x14ac:dyDescent="0.25">
      <c r="A14" s="9" t="s">
        <v>18</v>
      </c>
      <c r="B14" s="695" t="s">
        <v>19</v>
      </c>
      <c r="C14" s="695"/>
      <c r="D14" s="17">
        <f>D15+D16+D17+D18</f>
        <v>32067719</v>
      </c>
      <c r="E14" s="22">
        <f>+E15+E16+E17+E18</f>
        <v>12575495</v>
      </c>
      <c r="F14" s="23">
        <f>+F15+F16+F17+F18+F19</f>
        <v>19492224</v>
      </c>
      <c r="G14" s="24"/>
      <c r="H14" s="17">
        <f>H15+H16+H17+H18</f>
        <v>31133519</v>
      </c>
      <c r="I14" s="22">
        <f>+I15+I16+I17+I18</f>
        <v>12391295</v>
      </c>
      <c r="J14" s="23">
        <f>+J15+J16+J17+J18+J19</f>
        <v>18742224</v>
      </c>
      <c r="K14" s="24"/>
    </row>
    <row r="15" spans="1:11" x14ac:dyDescent="0.25">
      <c r="A15" s="9" t="s">
        <v>20</v>
      </c>
      <c r="B15" s="696"/>
      <c r="C15" s="696"/>
      <c r="D15" s="17">
        <f t="shared" si="0"/>
        <v>0</v>
      </c>
      <c r="E15" s="17">
        <f>'[1]11'!E15+'[1]13'!E15+'[1]15'!E15</f>
        <v>0</v>
      </c>
      <c r="F15" s="18">
        <f>'[1]11'!F15+'[1]13'!F15+'[1]15'!F15</f>
        <v>0</v>
      </c>
      <c r="G15" s="21"/>
      <c r="H15" s="17">
        <f t="shared" ref="H15" si="2">SUM(I15:K15)</f>
        <v>0</v>
      </c>
      <c r="I15" s="17">
        <f>'[1]11'!I15+'[1]13'!I15+'[1]15'!I15</f>
        <v>0</v>
      </c>
      <c r="J15" s="18">
        <f>'[1]11'!J15+'[1]13'!J15+'[1]15'!J15</f>
        <v>0</v>
      </c>
      <c r="K15" s="21"/>
    </row>
    <row r="16" spans="1:11" x14ac:dyDescent="0.25">
      <c r="A16" s="9" t="s">
        <v>21</v>
      </c>
      <c r="B16" s="696" t="s">
        <v>22</v>
      </c>
      <c r="C16" s="696"/>
      <c r="D16" s="17">
        <v>18646719</v>
      </c>
      <c r="E16" s="17">
        <v>8175495</v>
      </c>
      <c r="F16" s="18">
        <v>10471224</v>
      </c>
      <c r="G16" s="21"/>
      <c r="H16" s="17">
        <f>I16+J16</f>
        <v>17712519</v>
      </c>
      <c r="I16" s="17">
        <v>7991295</v>
      </c>
      <c r="J16" s="18">
        <v>9721224</v>
      </c>
      <c r="K16" s="21"/>
    </row>
    <row r="17" spans="1:11" x14ac:dyDescent="0.25">
      <c r="A17" s="9"/>
      <c r="B17" s="697"/>
      <c r="C17" s="698"/>
      <c r="D17" s="17">
        <f t="shared" si="0"/>
        <v>0</v>
      </c>
      <c r="E17" s="17">
        <f>'[1]11'!E17+'[1]13'!E17+'[1]15'!E17</f>
        <v>0</v>
      </c>
      <c r="F17" s="18">
        <f>'[1]11'!F17+'[1]13'!F17+'[1]15'!F17</f>
        <v>0</v>
      </c>
      <c r="G17" s="21"/>
      <c r="H17" s="17">
        <f t="shared" ref="H17" si="3">SUM(I17:K17)</f>
        <v>0</v>
      </c>
      <c r="I17" s="17">
        <f>'[1]11'!I17+'[1]13'!I17+'[1]15'!I17</f>
        <v>0</v>
      </c>
      <c r="J17" s="18">
        <f>'[1]11'!J17+'[1]13'!J17+'[1]15'!J17</f>
        <v>0</v>
      </c>
      <c r="K17" s="21"/>
    </row>
    <row r="18" spans="1:11" ht="15.75" customHeight="1" x14ac:dyDescent="0.25">
      <c r="A18" s="9" t="s">
        <v>23</v>
      </c>
      <c r="B18" s="699" t="s">
        <v>24</v>
      </c>
      <c r="C18" s="699"/>
      <c r="D18" s="17">
        <v>13421000</v>
      </c>
      <c r="E18" s="17">
        <v>4400000</v>
      </c>
      <c r="F18" s="18">
        <v>9021000</v>
      </c>
      <c r="G18" s="21"/>
      <c r="H18" s="17">
        <v>13421000</v>
      </c>
      <c r="I18" s="17">
        <v>4400000</v>
      </c>
      <c r="J18" s="18">
        <v>9021000</v>
      </c>
      <c r="K18" s="21"/>
    </row>
    <row r="19" spans="1:11" ht="15.75" customHeight="1" x14ac:dyDescent="0.25">
      <c r="A19" s="9" t="s">
        <v>25</v>
      </c>
      <c r="B19" s="689"/>
      <c r="C19" s="689"/>
      <c r="D19" s="23"/>
      <c r="E19" s="23">
        <v>0</v>
      </c>
      <c r="F19" s="18">
        <f>'[1]11'!F19+'[1]13'!F19+'[1]15'!F19</f>
        <v>0</v>
      </c>
      <c r="G19" s="21"/>
      <c r="H19" s="23"/>
      <c r="I19" s="23">
        <v>0</v>
      </c>
      <c r="J19" s="18">
        <f>'[1]11'!J19+'[1]13'!J19+'[1]15'!J19</f>
        <v>0</v>
      </c>
      <c r="K19" s="21"/>
    </row>
    <row r="20" spans="1:11" ht="15.75" customHeight="1" x14ac:dyDescent="0.25">
      <c r="A20" s="9"/>
      <c r="B20" s="689" t="s">
        <v>26</v>
      </c>
      <c r="C20" s="689"/>
      <c r="D20" s="23">
        <v>0</v>
      </c>
      <c r="E20" s="17">
        <v>0</v>
      </c>
      <c r="F20" s="18">
        <v>0</v>
      </c>
      <c r="G20" s="21"/>
      <c r="H20" s="23">
        <v>0</v>
      </c>
      <c r="I20" s="17">
        <v>0</v>
      </c>
      <c r="J20" s="18">
        <v>0</v>
      </c>
      <c r="K20" s="21"/>
    </row>
    <row r="21" spans="1:11" ht="15.75" customHeight="1" x14ac:dyDescent="0.25">
      <c r="A21" s="9"/>
      <c r="B21" s="700" t="s">
        <v>27</v>
      </c>
      <c r="C21" s="701"/>
      <c r="D21" s="25">
        <v>402885678</v>
      </c>
      <c r="E21" s="17">
        <v>402885678</v>
      </c>
      <c r="F21" s="18">
        <f>'[1]15'!F22</f>
        <v>0</v>
      </c>
      <c r="G21" s="21"/>
      <c r="H21" s="25">
        <v>0</v>
      </c>
      <c r="I21" s="17">
        <v>0</v>
      </c>
      <c r="J21" s="18">
        <f>'[1]15'!J22</f>
        <v>0</v>
      </c>
      <c r="K21" s="21"/>
    </row>
    <row r="22" spans="1:11" s="29" customFormat="1" ht="15.75" customHeight="1" x14ac:dyDescent="0.25">
      <c r="A22" s="26" t="s">
        <v>1</v>
      </c>
      <c r="B22" s="702" t="s">
        <v>28</v>
      </c>
      <c r="C22" s="703"/>
      <c r="D22" s="27">
        <f>D10+D11+D12+D14+D19+D21+D20</f>
        <v>663335209</v>
      </c>
      <c r="E22" s="27">
        <f t="shared" ref="E22:F22" si="4">E10+E11+E12+E14+E19+E21+E20</f>
        <v>643842985</v>
      </c>
      <c r="F22" s="27">
        <f t="shared" si="4"/>
        <v>19492224</v>
      </c>
      <c r="G22" s="28"/>
      <c r="H22" s="27">
        <f>H10+H11+H12+H14+H19+H21+H20</f>
        <v>296696318</v>
      </c>
      <c r="I22" s="27">
        <f t="shared" ref="I22:J22" si="5">I10+I11+I12+I14+I19+I21+I20</f>
        <v>277954094</v>
      </c>
      <c r="J22" s="27">
        <f t="shared" si="5"/>
        <v>18742224</v>
      </c>
      <c r="K22" s="28"/>
    </row>
    <row r="23" spans="1:11" x14ac:dyDescent="0.25">
      <c r="A23" s="9" t="s">
        <v>29</v>
      </c>
      <c r="B23" s="689" t="s">
        <v>30</v>
      </c>
      <c r="C23" s="689"/>
      <c r="D23" s="17">
        <v>920189</v>
      </c>
      <c r="E23" s="17">
        <v>920189</v>
      </c>
      <c r="F23" s="18">
        <f>'[1]15'!F24</f>
        <v>0</v>
      </c>
      <c r="G23" s="19"/>
      <c r="H23" s="17">
        <v>273541455</v>
      </c>
      <c r="I23" s="17">
        <v>273541455</v>
      </c>
      <c r="J23" s="18">
        <f>'[1]15'!J24</f>
        <v>0</v>
      </c>
      <c r="K23" s="19"/>
    </row>
    <row r="24" spans="1:11" ht="15.75" customHeight="1" x14ac:dyDescent="0.25">
      <c r="A24" s="9" t="s">
        <v>31</v>
      </c>
      <c r="B24" s="689" t="s">
        <v>32</v>
      </c>
      <c r="C24" s="689"/>
      <c r="D24" s="17">
        <v>0</v>
      </c>
      <c r="E24" s="17">
        <v>0</v>
      </c>
      <c r="F24" s="18">
        <f>'[1]11'!F24+'[1]13'!F24+'[1]15'!F25</f>
        <v>0</v>
      </c>
      <c r="G24" s="19"/>
      <c r="H24" s="17">
        <v>242449142</v>
      </c>
      <c r="I24" s="17">
        <v>242449142</v>
      </c>
      <c r="J24" s="18">
        <f>'[1]11'!J24+'[1]13'!J24+'[1]15'!J25</f>
        <v>0</v>
      </c>
      <c r="K24" s="19"/>
    </row>
    <row r="25" spans="1:11" ht="15.75" customHeight="1" x14ac:dyDescent="0.25">
      <c r="A25" s="9" t="s">
        <v>33</v>
      </c>
      <c r="B25" s="689" t="s">
        <v>34</v>
      </c>
      <c r="C25" s="689"/>
      <c r="D25" s="17">
        <v>0</v>
      </c>
      <c r="E25" s="17"/>
      <c r="F25" s="18">
        <v>0</v>
      </c>
      <c r="G25" s="19"/>
      <c r="H25" s="17">
        <v>0</v>
      </c>
      <c r="I25" s="17"/>
      <c r="J25" s="18">
        <v>0</v>
      </c>
      <c r="K25" s="19"/>
    </row>
    <row r="26" spans="1:11" s="29" customFormat="1" ht="18.75" x14ac:dyDescent="0.25">
      <c r="A26" s="26" t="s">
        <v>35</v>
      </c>
      <c r="B26" s="690" t="s">
        <v>36</v>
      </c>
      <c r="C26" s="690"/>
      <c r="D26" s="30">
        <f>+D23+D24+D25</f>
        <v>920189</v>
      </c>
      <c r="E26" s="30">
        <f>+E23+E24+E25</f>
        <v>920189</v>
      </c>
      <c r="F26" s="30">
        <f>+F23+F24+F25</f>
        <v>0</v>
      </c>
      <c r="G26" s="31"/>
      <c r="H26" s="30">
        <f>+H23+H24+H25</f>
        <v>515990597</v>
      </c>
      <c r="I26" s="30">
        <f>+I23+I24+I25</f>
        <v>515990597</v>
      </c>
      <c r="J26" s="30">
        <f>+J23+J24+J25</f>
        <v>0</v>
      </c>
      <c r="K26" s="31"/>
    </row>
    <row r="27" spans="1:11" x14ac:dyDescent="0.25">
      <c r="A27" s="9" t="s">
        <v>37</v>
      </c>
      <c r="B27" s="689"/>
      <c r="C27" s="689"/>
      <c r="D27" s="25">
        <v>0</v>
      </c>
      <c r="E27" s="32">
        <v>0</v>
      </c>
      <c r="F27" s="18"/>
      <c r="G27" s="19"/>
      <c r="H27" s="25">
        <v>0</v>
      </c>
      <c r="I27" s="32">
        <v>0</v>
      </c>
      <c r="J27" s="18"/>
      <c r="K27" s="19"/>
    </row>
    <row r="28" spans="1:11" x14ac:dyDescent="0.25">
      <c r="A28" s="9" t="s">
        <v>38</v>
      </c>
      <c r="B28" s="691" t="s">
        <v>819</v>
      </c>
      <c r="C28" s="691"/>
      <c r="D28" s="33">
        <v>6152289</v>
      </c>
      <c r="E28" s="34">
        <v>6152289</v>
      </c>
      <c r="F28" s="18">
        <v>0</v>
      </c>
      <c r="G28" s="19"/>
      <c r="H28" s="33">
        <v>6159578</v>
      </c>
      <c r="I28" s="34">
        <v>6159578</v>
      </c>
      <c r="J28" s="18">
        <v>0</v>
      </c>
      <c r="K28" s="19"/>
    </row>
    <row r="29" spans="1:11" ht="19.5" customHeight="1" x14ac:dyDescent="0.25">
      <c r="A29" s="9" t="s">
        <v>39</v>
      </c>
      <c r="B29" s="691" t="s">
        <v>865</v>
      </c>
      <c r="C29" s="691"/>
      <c r="D29" s="33"/>
      <c r="E29" s="35"/>
      <c r="F29" s="18">
        <f>+D29+E29</f>
        <v>0</v>
      </c>
      <c r="G29" s="19"/>
      <c r="H29" s="33">
        <v>977540</v>
      </c>
      <c r="I29" s="33">
        <v>977540</v>
      </c>
      <c r="J29" s="18">
        <v>0</v>
      </c>
      <c r="K29" s="19"/>
    </row>
    <row r="30" spans="1:11" ht="20.25" x14ac:dyDescent="0.3">
      <c r="A30" s="36" t="s">
        <v>40</v>
      </c>
      <c r="B30" s="692" t="s">
        <v>41</v>
      </c>
      <c r="C30" s="692"/>
      <c r="D30" s="37">
        <f t="shared" ref="D30:K30" si="6">+D22+D26+D27+D28+D29</f>
        <v>670407687</v>
      </c>
      <c r="E30" s="38">
        <f t="shared" si="6"/>
        <v>650915463</v>
      </c>
      <c r="F30" s="38">
        <f t="shared" si="6"/>
        <v>19492224</v>
      </c>
      <c r="G30" s="39">
        <f t="shared" si="6"/>
        <v>0</v>
      </c>
      <c r="H30" s="37">
        <f t="shared" si="6"/>
        <v>819824033</v>
      </c>
      <c r="I30" s="37">
        <f t="shared" si="6"/>
        <v>801081809</v>
      </c>
      <c r="J30" s="38">
        <f t="shared" si="6"/>
        <v>18742224</v>
      </c>
      <c r="K30" s="39">
        <f t="shared" si="6"/>
        <v>0</v>
      </c>
    </row>
    <row r="31" spans="1:11" x14ac:dyDescent="0.25">
      <c r="A31" s="40"/>
      <c r="B31" s="693"/>
      <c r="C31" s="693"/>
      <c r="D31" s="41"/>
      <c r="E31" s="42"/>
      <c r="F31" s="43"/>
      <c r="G31" s="44"/>
      <c r="H31" s="41"/>
      <c r="I31" s="42"/>
      <c r="J31" s="43"/>
      <c r="K31" s="44"/>
    </row>
    <row r="32" spans="1:11" x14ac:dyDescent="0.25">
      <c r="A32" s="9"/>
      <c r="B32" s="694" t="s">
        <v>42</v>
      </c>
      <c r="C32" s="694"/>
      <c r="D32" s="45"/>
      <c r="E32" s="46"/>
      <c r="F32" s="45"/>
      <c r="G32" s="47"/>
      <c r="H32" s="45"/>
      <c r="I32" s="46"/>
      <c r="J32" s="45"/>
      <c r="K32" s="47"/>
    </row>
    <row r="33" spans="1:11" x14ac:dyDescent="0.25">
      <c r="A33" s="9" t="s">
        <v>43</v>
      </c>
      <c r="B33" s="683" t="s">
        <v>44</v>
      </c>
      <c r="C33" s="683"/>
      <c r="D33" s="48">
        <v>16373216</v>
      </c>
      <c r="E33" s="48">
        <v>16373216</v>
      </c>
      <c r="F33" s="49">
        <f>'[1]11'!F32+'[1]13'!F32+'[1]15'!F34</f>
        <v>0</v>
      </c>
      <c r="G33" s="50"/>
      <c r="H33" s="48">
        <v>17447242</v>
      </c>
      <c r="I33" s="48">
        <v>17447242</v>
      </c>
      <c r="J33" s="49">
        <f>'[1]11'!J32+'[1]13'!J32+'[1]15'!J34</f>
        <v>0</v>
      </c>
      <c r="K33" s="50"/>
    </row>
    <row r="34" spans="1:11" x14ac:dyDescent="0.25">
      <c r="A34" s="9" t="s">
        <v>45</v>
      </c>
      <c r="B34" s="683" t="s">
        <v>46</v>
      </c>
      <c r="C34" s="683"/>
      <c r="D34" s="48">
        <f>D35+D36+D37</f>
        <v>44385000</v>
      </c>
      <c r="E34" s="48">
        <f>E35+E36+E37</f>
        <v>44385000</v>
      </c>
      <c r="F34" s="49">
        <f>SUM(F35:F37)</f>
        <v>0</v>
      </c>
      <c r="G34" s="50"/>
      <c r="H34" s="48">
        <f>H35+H36+H37</f>
        <v>38885000</v>
      </c>
      <c r="I34" s="48">
        <f>I35+I36+I37</f>
        <v>38885000</v>
      </c>
      <c r="J34" s="49">
        <f>SUM(J35:J37)</f>
        <v>0</v>
      </c>
      <c r="K34" s="50"/>
    </row>
    <row r="35" spans="1:11" x14ac:dyDescent="0.25">
      <c r="A35" s="9"/>
      <c r="B35" s="51" t="s">
        <v>47</v>
      </c>
      <c r="C35" s="52" t="s">
        <v>48</v>
      </c>
      <c r="D35" s="48">
        <v>40500000</v>
      </c>
      <c r="E35" s="48">
        <v>40500000</v>
      </c>
      <c r="F35" s="49">
        <f>'[1]11'!F34+'[1]13'!F34+'[1]15'!F36</f>
        <v>0</v>
      </c>
      <c r="G35" s="50"/>
      <c r="H35" s="48">
        <v>38300000</v>
      </c>
      <c r="I35" s="48">
        <v>38300000</v>
      </c>
      <c r="J35" s="49">
        <f>'[1]11'!J34+'[1]13'!J34+'[1]15'!J36</f>
        <v>0</v>
      </c>
      <c r="K35" s="50"/>
    </row>
    <row r="36" spans="1:11" x14ac:dyDescent="0.25">
      <c r="A36" s="9"/>
      <c r="B36" s="51" t="s">
        <v>49</v>
      </c>
      <c r="C36" s="52" t="s">
        <v>50</v>
      </c>
      <c r="D36" s="48">
        <v>3300000</v>
      </c>
      <c r="E36" s="48">
        <v>3300000</v>
      </c>
      <c r="F36" s="49">
        <f>'[1]11'!F35+'[1]13'!F35+'[1]15'!F37</f>
        <v>0</v>
      </c>
      <c r="G36" s="50"/>
      <c r="H36" s="48">
        <v>0</v>
      </c>
      <c r="I36" s="48">
        <v>0</v>
      </c>
      <c r="J36" s="49">
        <f>'[1]11'!J35+'[1]13'!J35+'[1]15'!J37</f>
        <v>0</v>
      </c>
      <c r="K36" s="50"/>
    </row>
    <row r="37" spans="1:11" x14ac:dyDescent="0.25">
      <c r="A37" s="9"/>
      <c r="B37" s="51" t="s">
        <v>51</v>
      </c>
      <c r="C37" s="52" t="s">
        <v>52</v>
      </c>
      <c r="D37" s="48">
        <v>585000</v>
      </c>
      <c r="E37" s="48">
        <v>585000</v>
      </c>
      <c r="F37" s="49">
        <f>'[1]11'!F36+'[1]13'!F36+'[1]15'!F38</f>
        <v>0</v>
      </c>
      <c r="G37" s="50"/>
      <c r="H37" s="48">
        <v>585000</v>
      </c>
      <c r="I37" s="48">
        <v>585000</v>
      </c>
      <c r="J37" s="49">
        <f>'[1]11'!J36+'[1]13'!J36+'[1]15'!J38</f>
        <v>0</v>
      </c>
      <c r="K37" s="50"/>
    </row>
    <row r="38" spans="1:11" x14ac:dyDescent="0.25">
      <c r="A38" s="9" t="s">
        <v>53</v>
      </c>
      <c r="B38" s="683" t="s">
        <v>54</v>
      </c>
      <c r="C38" s="683"/>
      <c r="D38" s="53">
        <f>D39+D40+D41</f>
        <v>153807216</v>
      </c>
      <c r="E38" s="53">
        <f>E39+E40+E41</f>
        <v>153807216</v>
      </c>
      <c r="F38" s="54">
        <f>SUM(F39:F41)</f>
        <v>0</v>
      </c>
      <c r="G38" s="50"/>
      <c r="H38" s="53">
        <f>H39+H40+H41</f>
        <v>153807216</v>
      </c>
      <c r="I38" s="53">
        <f>I39+I40+I41</f>
        <v>153807216</v>
      </c>
      <c r="J38" s="54">
        <f>SUM(J39:J41)</f>
        <v>0</v>
      </c>
      <c r="K38" s="50"/>
    </row>
    <row r="39" spans="1:11" x14ac:dyDescent="0.25">
      <c r="A39" s="9"/>
      <c r="B39" s="55" t="s">
        <v>55</v>
      </c>
      <c r="C39" s="56" t="s">
        <v>56</v>
      </c>
      <c r="D39" s="53">
        <v>153807216</v>
      </c>
      <c r="E39" s="53">
        <v>153807216</v>
      </c>
      <c r="F39" s="49">
        <f>'[1]11'!F38+'[1]13'!F38+'[1]15'!F40</f>
        <v>0</v>
      </c>
      <c r="G39" s="50"/>
      <c r="H39" s="53">
        <v>153807216</v>
      </c>
      <c r="I39" s="53">
        <v>153807216</v>
      </c>
      <c r="J39" s="49">
        <f>'[1]11'!J38+'[1]13'!J38+'[1]15'!J40</f>
        <v>0</v>
      </c>
      <c r="K39" s="50"/>
    </row>
    <row r="40" spans="1:11" x14ac:dyDescent="0.25">
      <c r="A40" s="9"/>
      <c r="B40" s="55" t="s">
        <v>57</v>
      </c>
      <c r="C40" s="56" t="s">
        <v>58</v>
      </c>
      <c r="D40" s="53">
        <f t="shared" ref="D40:E40" si="7">SUM(E40:G40)</f>
        <v>0</v>
      </c>
      <c r="E40" s="53">
        <f t="shared" si="7"/>
        <v>0</v>
      </c>
      <c r="F40" s="49">
        <f>'[1]11'!F39+'[1]13'!F39+'[1]15'!F41</f>
        <v>0</v>
      </c>
      <c r="G40" s="50"/>
      <c r="H40" s="53">
        <f t="shared" ref="H40" si="8">SUM(I40:K40)</f>
        <v>0</v>
      </c>
      <c r="I40" s="53">
        <f t="shared" ref="I40" si="9">SUM(J40:L40)</f>
        <v>0</v>
      </c>
      <c r="J40" s="49">
        <f>'[1]11'!J39+'[1]13'!J39+'[1]15'!J41</f>
        <v>0</v>
      </c>
      <c r="K40" s="50"/>
    </row>
    <row r="41" spans="1:11" x14ac:dyDescent="0.25">
      <c r="A41" s="9"/>
      <c r="B41" s="55" t="s">
        <v>59</v>
      </c>
      <c r="C41" s="56" t="s">
        <v>60</v>
      </c>
      <c r="D41" s="53">
        <v>0</v>
      </c>
      <c r="E41" s="53">
        <v>0</v>
      </c>
      <c r="F41" s="49">
        <f>'[1]11'!F40+'[1]13'!F40+'[1]15'!F42</f>
        <v>0</v>
      </c>
      <c r="G41" s="50"/>
      <c r="H41" s="53">
        <v>0</v>
      </c>
      <c r="I41" s="53">
        <v>0</v>
      </c>
      <c r="J41" s="49">
        <f>'[1]11'!J40+'[1]13'!J40+'[1]15'!J42</f>
        <v>0</v>
      </c>
      <c r="K41" s="50"/>
    </row>
    <row r="42" spans="1:11" x14ac:dyDescent="0.25">
      <c r="A42" s="9" t="s">
        <v>16</v>
      </c>
      <c r="B42" s="683" t="s">
        <v>61</v>
      </c>
      <c r="C42" s="683"/>
      <c r="D42" s="53">
        <f>SUM(D43:D46)</f>
        <v>12232078</v>
      </c>
      <c r="E42" s="53">
        <f>SUM(E43:E46)</f>
        <v>12232078</v>
      </c>
      <c r="F42" s="49">
        <f>SUM(F43:F46)</f>
        <v>0</v>
      </c>
      <c r="G42" s="50"/>
      <c r="H42" s="53">
        <f>SUM(H43:H46)</f>
        <v>28955571</v>
      </c>
      <c r="I42" s="53">
        <f>SUM(I43:I46)</f>
        <v>28955571</v>
      </c>
      <c r="J42" s="49">
        <f>SUM(J43:J46)</f>
        <v>0</v>
      </c>
      <c r="K42" s="50"/>
    </row>
    <row r="43" spans="1:11" x14ac:dyDescent="0.25">
      <c r="A43" s="9"/>
      <c r="B43" s="55" t="s">
        <v>62</v>
      </c>
      <c r="C43" s="57" t="s">
        <v>63</v>
      </c>
      <c r="D43" s="53">
        <v>11232078</v>
      </c>
      <c r="E43" s="53">
        <v>11232078</v>
      </c>
      <c r="F43" s="49">
        <f>'[1]11'!F42+'[1]13'!F42+'[1]15'!F44</f>
        <v>0</v>
      </c>
      <c r="G43" s="50"/>
      <c r="H43" s="53">
        <v>27515666</v>
      </c>
      <c r="I43" s="53">
        <v>27515666</v>
      </c>
      <c r="J43" s="49">
        <f>'[1]11'!J42+'[1]13'!J42+'[1]15'!J44</f>
        <v>0</v>
      </c>
      <c r="K43" s="50"/>
    </row>
    <row r="44" spans="1:11" x14ac:dyDescent="0.25">
      <c r="A44" s="9"/>
      <c r="B44" s="55" t="s">
        <v>64</v>
      </c>
      <c r="C44" s="56" t="s">
        <v>65</v>
      </c>
      <c r="D44" s="53"/>
      <c r="E44" s="53"/>
      <c r="F44" s="49">
        <f>'[1]11'!F43+'[1]13'!F43+'[1]15'!F45</f>
        <v>0</v>
      </c>
      <c r="G44" s="50"/>
      <c r="H44" s="53">
        <v>23905</v>
      </c>
      <c r="I44" s="53">
        <v>23905</v>
      </c>
      <c r="J44" s="49">
        <f>'[1]11'!J43+'[1]13'!J43+'[1]15'!J45</f>
        <v>0</v>
      </c>
      <c r="K44" s="50"/>
    </row>
    <row r="45" spans="1:11" x14ac:dyDescent="0.25">
      <c r="A45" s="9"/>
      <c r="B45" s="55" t="s">
        <v>66</v>
      </c>
      <c r="C45" s="56" t="s">
        <v>67</v>
      </c>
      <c r="D45" s="53">
        <v>1000000</v>
      </c>
      <c r="E45" s="53">
        <v>1000000</v>
      </c>
      <c r="F45" s="49">
        <f>'[1]11'!F44+'[1]13'!F44+'[1]15'!F46</f>
        <v>0</v>
      </c>
      <c r="G45" s="50"/>
      <c r="H45" s="53">
        <v>1416000</v>
      </c>
      <c r="I45" s="53">
        <v>1416000</v>
      </c>
      <c r="J45" s="49">
        <f>'[1]11'!J44+'[1]13'!J44+'[1]15'!J46</f>
        <v>0</v>
      </c>
      <c r="K45" s="50"/>
    </row>
    <row r="46" spans="1:11" x14ac:dyDescent="0.25">
      <c r="A46" s="9"/>
      <c r="B46" s="55" t="s">
        <v>68</v>
      </c>
      <c r="C46" s="56" t="s">
        <v>69</v>
      </c>
      <c r="D46" s="53"/>
      <c r="E46" s="53"/>
      <c r="F46" s="49">
        <f>'[1]11'!F45+'[1]13'!F45+'[1]15'!F47</f>
        <v>0</v>
      </c>
      <c r="G46" s="50"/>
      <c r="H46" s="53"/>
      <c r="I46" s="53"/>
      <c r="J46" s="49">
        <f>'[1]11'!J45+'[1]13'!J45+'[1]15'!J47</f>
        <v>0</v>
      </c>
      <c r="K46" s="50"/>
    </row>
    <row r="47" spans="1:11" ht="18.75" x14ac:dyDescent="0.3">
      <c r="A47" s="26" t="s">
        <v>1</v>
      </c>
      <c r="B47" s="686" t="s">
        <v>70</v>
      </c>
      <c r="C47" s="686"/>
      <c r="D47" s="58">
        <f>D42+D38+D33+D34</f>
        <v>226797510</v>
      </c>
      <c r="E47" s="58">
        <f>E42+E38+E33+E34</f>
        <v>226797510</v>
      </c>
      <c r="F47" s="58">
        <f>+F33+F34+F38+F42</f>
        <v>0</v>
      </c>
      <c r="G47" s="59">
        <f>+G33+G34+G38+G42</f>
        <v>0</v>
      </c>
      <c r="H47" s="58">
        <f>H42+H38+H33+H34</f>
        <v>239095029</v>
      </c>
      <c r="I47" s="58">
        <f>I42+I38+I33+I34</f>
        <v>239095029</v>
      </c>
      <c r="J47" s="58">
        <f>+J33+J34+J38+J42</f>
        <v>0</v>
      </c>
      <c r="K47" s="59">
        <f>+K33+K34+K38+K42</f>
        <v>0</v>
      </c>
    </row>
    <row r="48" spans="1:11" x14ac:dyDescent="0.25">
      <c r="A48" s="9" t="s">
        <v>18</v>
      </c>
      <c r="B48" s="683" t="s">
        <v>71</v>
      </c>
      <c r="C48" s="683"/>
      <c r="D48" s="49">
        <f>SUM(D49:D50)</f>
        <v>7867898</v>
      </c>
      <c r="E48" s="49">
        <f>SUM(E49:E50)</f>
        <v>7867898</v>
      </c>
      <c r="F48" s="49">
        <f>SUM(F49:F50)</f>
        <v>0</v>
      </c>
      <c r="G48" s="50"/>
      <c r="H48" s="49">
        <f>SUM(H49:H50)</f>
        <v>7867898</v>
      </c>
      <c r="I48" s="49">
        <f>SUM(I49:I50)</f>
        <v>7867898</v>
      </c>
      <c r="J48" s="49">
        <f>SUM(J49:J50)</f>
        <v>0</v>
      </c>
      <c r="K48" s="50"/>
    </row>
    <row r="49" spans="1:11" x14ac:dyDescent="0.25">
      <c r="A49" s="9"/>
      <c r="B49" s="55" t="s">
        <v>72</v>
      </c>
      <c r="C49" s="56" t="s">
        <v>73</v>
      </c>
      <c r="D49" s="53">
        <v>3518600</v>
      </c>
      <c r="E49" s="53">
        <v>3518600</v>
      </c>
      <c r="F49" s="49">
        <f>'[1]11'!F48+'[1]13'!F48+'[1]15'!F50</f>
        <v>0</v>
      </c>
      <c r="G49" s="50"/>
      <c r="H49" s="53">
        <v>3518600</v>
      </c>
      <c r="I49" s="53">
        <v>3518600</v>
      </c>
      <c r="J49" s="49">
        <f>'[1]11'!J48+'[1]13'!J48+'[1]15'!J50</f>
        <v>0</v>
      </c>
      <c r="K49" s="50"/>
    </row>
    <row r="50" spans="1:11" x14ac:dyDescent="0.25">
      <c r="A50" s="9"/>
      <c r="B50" s="55" t="s">
        <v>74</v>
      </c>
      <c r="C50" s="56" t="s">
        <v>75</v>
      </c>
      <c r="D50" s="53">
        <v>4349298</v>
      </c>
      <c r="E50" s="53">
        <v>4349298</v>
      </c>
      <c r="F50" s="49">
        <f>'[1]11'!F49+'[1]13'!F49+'[1]15'!F51</f>
        <v>0</v>
      </c>
      <c r="G50" s="50"/>
      <c r="H50" s="53">
        <v>4349298</v>
      </c>
      <c r="I50" s="53">
        <v>4349298</v>
      </c>
      <c r="J50" s="49">
        <f>'[1]11'!J49+'[1]13'!J49+'[1]15'!J51</f>
        <v>0</v>
      </c>
      <c r="K50" s="50"/>
    </row>
    <row r="51" spans="1:11" x14ac:dyDescent="0.25">
      <c r="A51" s="9" t="s">
        <v>29</v>
      </c>
      <c r="B51" s="683" t="s">
        <v>76</v>
      </c>
      <c r="C51" s="683"/>
      <c r="D51" s="53">
        <f>SUM(D52:D53)</f>
        <v>0</v>
      </c>
      <c r="E51" s="53">
        <f>SUM(E52:E53)</f>
        <v>0</v>
      </c>
      <c r="F51" s="54">
        <f>SUM(D51:D51)</f>
        <v>0</v>
      </c>
      <c r="G51" s="50"/>
      <c r="H51" s="53">
        <f>SUM(H52:H53)</f>
        <v>0</v>
      </c>
      <c r="I51" s="53">
        <f>SUM(I52:I53)</f>
        <v>0</v>
      </c>
      <c r="J51" s="54">
        <f>SUM(H51:H51)</f>
        <v>0</v>
      </c>
      <c r="K51" s="50"/>
    </row>
    <row r="52" spans="1:11" x14ac:dyDescent="0.25">
      <c r="A52" s="9"/>
      <c r="B52" s="55" t="s">
        <v>77</v>
      </c>
      <c r="C52" s="56" t="s">
        <v>78</v>
      </c>
      <c r="D52" s="53"/>
      <c r="E52" s="53"/>
      <c r="F52" s="49">
        <f>'[1]11'!F51+'[1]13'!F51+'[1]15'!F53</f>
        <v>0</v>
      </c>
      <c r="G52" s="50"/>
      <c r="H52" s="53"/>
      <c r="I52" s="53"/>
      <c r="J52" s="49">
        <f>'[1]11'!J51+'[1]13'!J51+'[1]15'!J53</f>
        <v>0</v>
      </c>
      <c r="K52" s="50"/>
    </row>
    <row r="53" spans="1:11" x14ac:dyDescent="0.25">
      <c r="A53" s="9"/>
      <c r="B53" s="55" t="s">
        <v>79</v>
      </c>
      <c r="C53" s="56" t="s">
        <v>80</v>
      </c>
      <c r="D53" s="53">
        <v>0</v>
      </c>
      <c r="E53" s="53">
        <v>0</v>
      </c>
      <c r="F53" s="49">
        <f>'[1]11'!F52+'[1]13'!F52+'[1]15'!F54</f>
        <v>0</v>
      </c>
      <c r="G53" s="50"/>
      <c r="H53" s="53">
        <v>0</v>
      </c>
      <c r="I53" s="53">
        <v>0</v>
      </c>
      <c r="J53" s="49">
        <f>'[1]11'!J52+'[1]13'!J52+'[1]15'!J54</f>
        <v>0</v>
      </c>
      <c r="K53" s="50"/>
    </row>
    <row r="54" spans="1:11" x14ac:dyDescent="0.25">
      <c r="A54" s="9" t="s">
        <v>31</v>
      </c>
      <c r="B54" s="683" t="s">
        <v>81</v>
      </c>
      <c r="C54" s="683"/>
      <c r="D54" s="53">
        <f>SUM(D55:D57)</f>
        <v>32488107</v>
      </c>
      <c r="E54" s="53">
        <f>SUM(E55:E57)</f>
        <v>32488107</v>
      </c>
      <c r="F54" s="54">
        <f>SUM(F55:F57)</f>
        <v>0</v>
      </c>
      <c r="G54" s="50"/>
      <c r="H54" s="53">
        <f>SUM(H55:H57)</f>
        <v>165026453</v>
      </c>
      <c r="I54" s="53">
        <f>SUM(I55:I57)</f>
        <v>165026453</v>
      </c>
      <c r="J54" s="54">
        <f>SUM(J55:J57)</f>
        <v>0</v>
      </c>
      <c r="K54" s="50"/>
    </row>
    <row r="55" spans="1:11" x14ac:dyDescent="0.25">
      <c r="A55" s="9"/>
      <c r="B55" s="55" t="s">
        <v>82</v>
      </c>
      <c r="C55" s="56" t="s">
        <v>83</v>
      </c>
      <c r="D55" s="53">
        <v>32488107</v>
      </c>
      <c r="E55" s="53">
        <v>32488107</v>
      </c>
      <c r="F55" s="49">
        <f>'[1]11'!F54+'[1]13'!F54+'[1]15'!F56</f>
        <v>0</v>
      </c>
      <c r="G55" s="50"/>
      <c r="H55" s="53">
        <v>165026453</v>
      </c>
      <c r="I55" s="53">
        <v>165026453</v>
      </c>
      <c r="J55" s="49">
        <f>'[1]11'!J54+'[1]13'!J54+'[1]15'!J56</f>
        <v>0</v>
      </c>
      <c r="K55" s="50"/>
    </row>
    <row r="56" spans="1:11" x14ac:dyDescent="0.25">
      <c r="A56" s="9"/>
      <c r="B56" s="55" t="s">
        <v>84</v>
      </c>
      <c r="C56" s="56" t="s">
        <v>85</v>
      </c>
      <c r="D56" s="53">
        <v>0</v>
      </c>
      <c r="E56" s="53">
        <v>0</v>
      </c>
      <c r="F56" s="49">
        <f>'[1]11'!F55+'[1]13'!F55+'[1]15'!F57</f>
        <v>0</v>
      </c>
      <c r="G56" s="50"/>
      <c r="H56" s="53">
        <v>0</v>
      </c>
      <c r="I56" s="53">
        <v>0</v>
      </c>
      <c r="J56" s="49">
        <f>'[1]11'!J55+'[1]13'!J55+'[1]15'!J57</f>
        <v>0</v>
      </c>
      <c r="K56" s="50"/>
    </row>
    <row r="57" spans="1:11" x14ac:dyDescent="0.25">
      <c r="A57" s="9"/>
      <c r="B57" s="55" t="s">
        <v>86</v>
      </c>
      <c r="C57" s="56" t="s">
        <v>87</v>
      </c>
      <c r="D57" s="53"/>
      <c r="E57" s="53"/>
      <c r="F57" s="49">
        <f>'[1]11'!F56+'[1]13'!F56+'[1]15'!F58</f>
        <v>0</v>
      </c>
      <c r="G57" s="50"/>
      <c r="H57" s="53"/>
      <c r="I57" s="53"/>
      <c r="J57" s="49">
        <f>'[1]11'!J56+'[1]13'!J56+'[1]15'!J58</f>
        <v>0</v>
      </c>
      <c r="K57" s="50"/>
    </row>
    <row r="58" spans="1:11" ht="18.75" x14ac:dyDescent="0.3">
      <c r="A58" s="26" t="s">
        <v>35</v>
      </c>
      <c r="B58" s="686" t="s">
        <v>88</v>
      </c>
      <c r="C58" s="686"/>
      <c r="D58" s="58">
        <f>D48+D51+D54</f>
        <v>40356005</v>
      </c>
      <c r="E58" s="58">
        <f>E48+E51+E54</f>
        <v>40356005</v>
      </c>
      <c r="F58" s="58">
        <f>+F48+F51+F54</f>
        <v>0</v>
      </c>
      <c r="G58" s="59">
        <f>+G48+G51+G54</f>
        <v>0</v>
      </c>
      <c r="H58" s="58">
        <f>H48+H51+H54</f>
        <v>172894351</v>
      </c>
      <c r="I58" s="58">
        <f>I48+I51+I54</f>
        <v>172894351</v>
      </c>
      <c r="J58" s="58">
        <f>+J48+J51+J54</f>
        <v>0</v>
      </c>
      <c r="K58" s="59">
        <f>+K48+K51+K54</f>
        <v>0</v>
      </c>
    </row>
    <row r="59" spans="1:11" x14ac:dyDescent="0.25">
      <c r="A59" s="26" t="s">
        <v>37</v>
      </c>
      <c r="B59" s="687" t="s">
        <v>89</v>
      </c>
      <c r="C59" s="687"/>
      <c r="D59" s="60"/>
      <c r="E59" s="60"/>
      <c r="F59" s="61"/>
      <c r="G59" s="62"/>
      <c r="H59" s="60">
        <v>1000000</v>
      </c>
      <c r="I59" s="60">
        <v>1000000</v>
      </c>
      <c r="J59" s="61"/>
      <c r="K59" s="62"/>
    </row>
    <row r="60" spans="1:11" x14ac:dyDescent="0.25">
      <c r="A60" s="26" t="s">
        <v>38</v>
      </c>
      <c r="B60" s="687" t="s">
        <v>90</v>
      </c>
      <c r="C60" s="687"/>
      <c r="D60" s="60"/>
      <c r="E60" s="60"/>
      <c r="F60" s="61"/>
      <c r="G60" s="62"/>
      <c r="H60" s="60"/>
      <c r="I60" s="60"/>
      <c r="J60" s="61"/>
      <c r="K60" s="62"/>
    </row>
    <row r="61" spans="1:11" ht="20.25" x14ac:dyDescent="0.3">
      <c r="A61" s="36" t="s">
        <v>91</v>
      </c>
      <c r="B61" s="688" t="s">
        <v>92</v>
      </c>
      <c r="C61" s="688"/>
      <c r="D61" s="63">
        <f>D47+D58</f>
        <v>267153515</v>
      </c>
      <c r="E61" s="63">
        <f>E47+E58</f>
        <v>267153515</v>
      </c>
      <c r="F61" s="64">
        <f>+F47+F58+F59+F60</f>
        <v>0</v>
      </c>
      <c r="G61" s="65">
        <f>+G47+G58+G59+G60</f>
        <v>0</v>
      </c>
      <c r="H61" s="63">
        <f>H47+H58+H59</f>
        <v>412989380</v>
      </c>
      <c r="I61" s="63">
        <f>I47+I58+I59</f>
        <v>412989380</v>
      </c>
      <c r="J61" s="64">
        <f>+J47+J58+J59+J60</f>
        <v>0</v>
      </c>
      <c r="K61" s="65">
        <f>+K47+K58+K59+K60</f>
        <v>0</v>
      </c>
    </row>
    <row r="62" spans="1:11" ht="18.75" x14ac:dyDescent="0.3">
      <c r="A62" s="36"/>
      <c r="B62" s="680" t="s">
        <v>93</v>
      </c>
      <c r="C62" s="680"/>
      <c r="D62" s="66">
        <f>+D30-D61</f>
        <v>403254172</v>
      </c>
      <c r="E62" s="66">
        <f>+E30-E61</f>
        <v>383761948</v>
      </c>
      <c r="F62" s="66">
        <f>F30-F61</f>
        <v>19492224</v>
      </c>
      <c r="G62" s="67">
        <f>+G30-G61</f>
        <v>0</v>
      </c>
      <c r="H62" s="66">
        <f>+H30-H61</f>
        <v>406834653</v>
      </c>
      <c r="I62" s="66">
        <f>+I30-I61</f>
        <v>388092429</v>
      </c>
      <c r="J62" s="66">
        <f>J30-J61</f>
        <v>18742224</v>
      </c>
      <c r="K62" s="67">
        <f>+K30-K61</f>
        <v>0</v>
      </c>
    </row>
    <row r="63" spans="1:11" ht="18.75" x14ac:dyDescent="0.3">
      <c r="A63" s="36"/>
      <c r="B63" s="687" t="s">
        <v>94</v>
      </c>
      <c r="C63" s="687"/>
      <c r="D63" s="66"/>
      <c r="E63" s="66"/>
      <c r="F63" s="66">
        <f>+'[1]11'!F62+'[1]13'!F62</f>
        <v>0</v>
      </c>
      <c r="G63" s="67"/>
      <c r="H63" s="66"/>
      <c r="I63" s="66"/>
      <c r="J63" s="66">
        <f>+'[1]11'!J62+'[1]13'!J62</f>
        <v>0</v>
      </c>
      <c r="K63" s="67"/>
    </row>
    <row r="64" spans="1:11" x14ac:dyDescent="0.25">
      <c r="A64" s="26" t="s">
        <v>39</v>
      </c>
      <c r="B64" s="687" t="s">
        <v>95</v>
      </c>
      <c r="C64" s="687"/>
      <c r="D64" s="25">
        <f>D65+D66</f>
        <v>403254172</v>
      </c>
      <c r="E64" s="25">
        <f>E65+E66</f>
        <v>403254172</v>
      </c>
      <c r="F64" s="25">
        <f>SUM(F65:F66)</f>
        <v>0</v>
      </c>
      <c r="G64" s="21"/>
      <c r="H64" s="25">
        <f>H65+H66</f>
        <v>406827364</v>
      </c>
      <c r="I64" s="25">
        <f>I65+I66</f>
        <v>406827364</v>
      </c>
      <c r="J64" s="25">
        <f>SUM(J65:J66)</f>
        <v>0</v>
      </c>
      <c r="K64" s="21"/>
    </row>
    <row r="65" spans="1:11" ht="18.75" x14ac:dyDescent="0.25">
      <c r="A65" s="36"/>
      <c r="B65" s="68" t="s">
        <v>43</v>
      </c>
      <c r="C65" s="56" t="s">
        <v>96</v>
      </c>
      <c r="D65" s="25">
        <v>21049429</v>
      </c>
      <c r="E65" s="25">
        <v>21049429</v>
      </c>
      <c r="F65" s="25">
        <f>'[1]11'!F64+'[1]13'!F64+'[1]15'!F66</f>
        <v>0</v>
      </c>
      <c r="G65" s="69"/>
      <c r="H65" s="25">
        <v>24622621</v>
      </c>
      <c r="I65" s="25">
        <v>24622621</v>
      </c>
      <c r="J65" s="25">
        <f>'[1]11'!J64+'[1]13'!J64+'[1]15'!J66</f>
        <v>0</v>
      </c>
      <c r="K65" s="69"/>
    </row>
    <row r="66" spans="1:11" ht="18.75" x14ac:dyDescent="0.25">
      <c r="A66" s="36"/>
      <c r="B66" s="68" t="s">
        <v>45</v>
      </c>
      <c r="C66" s="56" t="s">
        <v>97</v>
      </c>
      <c r="D66" s="25">
        <v>382204743</v>
      </c>
      <c r="E66" s="25">
        <v>382204743</v>
      </c>
      <c r="F66" s="18"/>
      <c r="G66" s="69"/>
      <c r="H66" s="25">
        <v>382204743</v>
      </c>
      <c r="I66" s="25">
        <v>382204743</v>
      </c>
      <c r="J66" s="18"/>
      <c r="K66" s="69"/>
    </row>
    <row r="67" spans="1:11" ht="18.75" customHeight="1" x14ac:dyDescent="0.3">
      <c r="A67" s="36" t="s">
        <v>98</v>
      </c>
      <c r="B67" s="685" t="s">
        <v>99</v>
      </c>
      <c r="C67" s="685"/>
      <c r="D67" s="66">
        <f>D64</f>
        <v>403254172</v>
      </c>
      <c r="E67" s="66">
        <f>E64</f>
        <v>403254172</v>
      </c>
      <c r="F67" s="66">
        <f>+F64</f>
        <v>0</v>
      </c>
      <c r="G67" s="69"/>
      <c r="H67" s="66">
        <f>H64</f>
        <v>406827364</v>
      </c>
      <c r="I67" s="66">
        <f>I64</f>
        <v>406827364</v>
      </c>
      <c r="J67" s="66">
        <f>+J64</f>
        <v>0</v>
      </c>
      <c r="K67" s="69"/>
    </row>
    <row r="68" spans="1:11" ht="18.75" x14ac:dyDescent="0.3">
      <c r="A68" s="9" t="s">
        <v>100</v>
      </c>
      <c r="B68" s="678" t="s">
        <v>101</v>
      </c>
      <c r="C68" s="682"/>
      <c r="D68" s="66"/>
      <c r="E68" s="66"/>
      <c r="F68" s="72">
        <f>SUM(D68:E68)</f>
        <v>0</v>
      </c>
      <c r="G68" s="73"/>
      <c r="H68" s="66"/>
      <c r="I68" s="66"/>
      <c r="J68" s="72">
        <f>SUM(H68:I68)</f>
        <v>0</v>
      </c>
      <c r="K68" s="73"/>
    </row>
    <row r="69" spans="1:11" ht="18.75" x14ac:dyDescent="0.3">
      <c r="A69" s="9" t="s">
        <v>102</v>
      </c>
      <c r="B69" s="683" t="s">
        <v>103</v>
      </c>
      <c r="C69" s="683"/>
      <c r="D69" s="66">
        <f>SUM(D70:D73)</f>
        <v>0</v>
      </c>
      <c r="E69" s="66">
        <f>SUM(E70:E73)</f>
        <v>0</v>
      </c>
      <c r="F69" s="72">
        <f>SUM(D69:E69)</f>
        <v>0</v>
      </c>
      <c r="G69" s="73"/>
      <c r="H69" s="66">
        <f>SUM(H70:H73)</f>
        <v>0</v>
      </c>
      <c r="I69" s="66">
        <f>SUM(I70:I73)</f>
        <v>0</v>
      </c>
      <c r="J69" s="72">
        <f>SUM(H69:I69)</f>
        <v>0</v>
      </c>
      <c r="K69" s="73"/>
    </row>
    <row r="70" spans="1:11" ht="18.75" x14ac:dyDescent="0.3">
      <c r="A70" s="9"/>
      <c r="B70" s="55" t="s">
        <v>43</v>
      </c>
      <c r="C70" s="56" t="s">
        <v>104</v>
      </c>
      <c r="D70" s="74"/>
      <c r="E70" s="74"/>
      <c r="F70" s="76">
        <f>SUM(D70:E70)</f>
        <v>0</v>
      </c>
      <c r="G70" s="73"/>
      <c r="H70" s="74"/>
      <c r="I70" s="74"/>
      <c r="J70" s="76">
        <f>SUM(H70:I70)</f>
        <v>0</v>
      </c>
      <c r="K70" s="73"/>
    </row>
    <row r="71" spans="1:11" ht="18.75" x14ac:dyDescent="0.3">
      <c r="A71" s="9"/>
      <c r="B71" s="55" t="s">
        <v>45</v>
      </c>
      <c r="C71" s="56" t="s">
        <v>105</v>
      </c>
      <c r="D71" s="66"/>
      <c r="E71" s="66"/>
      <c r="F71" s="72">
        <f>SUM(D71:E71)</f>
        <v>0</v>
      </c>
      <c r="G71" s="73"/>
      <c r="H71" s="66"/>
      <c r="I71" s="66"/>
      <c r="J71" s="72">
        <f>SUM(H71:I71)</f>
        <v>0</v>
      </c>
      <c r="K71" s="73"/>
    </row>
    <row r="72" spans="1:11" ht="18.75" x14ac:dyDescent="0.3">
      <c r="A72" s="9"/>
      <c r="B72" s="55" t="s">
        <v>53</v>
      </c>
      <c r="C72" s="56" t="s">
        <v>106</v>
      </c>
      <c r="D72" s="74"/>
      <c r="E72" s="74"/>
      <c r="F72" s="72"/>
      <c r="G72" s="73"/>
      <c r="H72" s="74"/>
      <c r="I72" s="74"/>
      <c r="J72" s="72"/>
      <c r="K72" s="73"/>
    </row>
    <row r="73" spans="1:11" ht="18.75" x14ac:dyDescent="0.3">
      <c r="A73" s="9"/>
      <c r="B73" s="55" t="s">
        <v>16</v>
      </c>
      <c r="C73" s="56" t="s">
        <v>107</v>
      </c>
      <c r="D73" s="74"/>
      <c r="E73" s="74"/>
      <c r="F73" s="72"/>
      <c r="G73" s="73"/>
      <c r="H73" s="74"/>
      <c r="I73" s="74"/>
      <c r="J73" s="72"/>
      <c r="K73" s="73"/>
    </row>
    <row r="74" spans="1:11" ht="18.75" x14ac:dyDescent="0.3">
      <c r="A74" s="9"/>
      <c r="B74" s="55"/>
      <c r="C74" s="678" t="s">
        <v>866</v>
      </c>
      <c r="D74" s="679"/>
      <c r="E74" s="74"/>
      <c r="F74" s="72"/>
      <c r="G74" s="73"/>
      <c r="H74" s="74">
        <v>7289</v>
      </c>
      <c r="I74" s="74">
        <v>7289</v>
      </c>
      <c r="J74" s="72"/>
      <c r="K74" s="73"/>
    </row>
    <row r="75" spans="1:11" ht="35.25" customHeight="1" x14ac:dyDescent="0.3">
      <c r="A75" s="36" t="s">
        <v>108</v>
      </c>
      <c r="B75" s="684" t="s">
        <v>109</v>
      </c>
      <c r="C75" s="684"/>
      <c r="D75" s="66">
        <f>+D68+D69</f>
        <v>0</v>
      </c>
      <c r="E75" s="66">
        <f>+E68+E69</f>
        <v>0</v>
      </c>
      <c r="F75" s="72">
        <f>SUM(D75:E75)</f>
        <v>0</v>
      </c>
      <c r="G75" s="73"/>
      <c r="H75" s="66">
        <f>+H68+H69</f>
        <v>0</v>
      </c>
      <c r="I75" s="66">
        <f>+I68+I69</f>
        <v>0</v>
      </c>
      <c r="J75" s="72">
        <f>SUM(H75:I75)</f>
        <v>0</v>
      </c>
      <c r="K75" s="73"/>
    </row>
    <row r="76" spans="1:11" ht="18.75" x14ac:dyDescent="0.3">
      <c r="A76" s="36" t="s">
        <v>110</v>
      </c>
      <c r="B76" s="680" t="s">
        <v>111</v>
      </c>
      <c r="C76" s="680"/>
      <c r="D76" s="66">
        <f>+D67+D75</f>
        <v>403254172</v>
      </c>
      <c r="E76" s="66">
        <f>+E67+E75</f>
        <v>403254172</v>
      </c>
      <c r="F76" s="71">
        <f>+F67+F75</f>
        <v>0</v>
      </c>
      <c r="G76" s="73"/>
      <c r="H76" s="66">
        <f>+H67+H75+H74</f>
        <v>406834653</v>
      </c>
      <c r="I76" s="66">
        <f>+I67+I75+I74</f>
        <v>406834653</v>
      </c>
      <c r="J76" s="71">
        <f>+J67+J75</f>
        <v>0</v>
      </c>
      <c r="K76" s="73"/>
    </row>
    <row r="77" spans="1:11" ht="18.75" x14ac:dyDescent="0.3">
      <c r="A77" s="9" t="s">
        <v>112</v>
      </c>
      <c r="B77" s="683" t="s">
        <v>113</v>
      </c>
      <c r="C77" s="683"/>
      <c r="D77" s="66"/>
      <c r="E77" s="66"/>
      <c r="F77" s="72"/>
      <c r="G77" s="73"/>
      <c r="H77" s="66"/>
      <c r="I77" s="66"/>
      <c r="J77" s="72"/>
      <c r="K77" s="73"/>
    </row>
    <row r="78" spans="1:11" ht="18.75" x14ac:dyDescent="0.3">
      <c r="A78" s="9" t="s">
        <v>114</v>
      </c>
      <c r="B78" s="683" t="s">
        <v>115</v>
      </c>
      <c r="C78" s="683"/>
      <c r="D78" s="74">
        <f>SUM(D79:D81)</f>
        <v>0</v>
      </c>
      <c r="E78" s="74">
        <f>SUM(E79:E81)</f>
        <v>0</v>
      </c>
      <c r="F78" s="76">
        <f>SUM(D78:E78)</f>
        <v>0</v>
      </c>
      <c r="G78" s="73"/>
      <c r="H78" s="74">
        <f>SUM(H79:H81)</f>
        <v>0</v>
      </c>
      <c r="I78" s="74">
        <f>SUM(I79:I81)</f>
        <v>0</v>
      </c>
      <c r="J78" s="76">
        <f>SUM(H78:I78)</f>
        <v>0</v>
      </c>
      <c r="K78" s="73"/>
    </row>
    <row r="79" spans="1:11" ht="18.75" x14ac:dyDescent="0.3">
      <c r="A79" s="9"/>
      <c r="B79" s="55" t="s">
        <v>43</v>
      </c>
      <c r="C79" s="56" t="s">
        <v>116</v>
      </c>
      <c r="D79" s="74"/>
      <c r="E79" s="74"/>
      <c r="F79" s="76">
        <f>SUM(D79:E79)</f>
        <v>0</v>
      </c>
      <c r="G79" s="73"/>
      <c r="H79" s="74"/>
      <c r="I79" s="74"/>
      <c r="J79" s="76">
        <f>SUM(H79:I79)</f>
        <v>0</v>
      </c>
      <c r="K79" s="73"/>
    </row>
    <row r="80" spans="1:11" ht="18.75" x14ac:dyDescent="0.3">
      <c r="A80" s="9"/>
      <c r="B80" s="55" t="s">
        <v>45</v>
      </c>
      <c r="C80" s="56" t="s">
        <v>117</v>
      </c>
      <c r="D80" s="74"/>
      <c r="E80" s="74"/>
      <c r="F80" s="76">
        <f>SUM(D80:E80)</f>
        <v>0</v>
      </c>
      <c r="G80" s="73"/>
      <c r="H80" s="74"/>
      <c r="I80" s="74"/>
      <c r="J80" s="76">
        <f>SUM(H80:I80)</f>
        <v>0</v>
      </c>
      <c r="K80" s="73"/>
    </row>
    <row r="81" spans="1:11" ht="18.75" x14ac:dyDescent="0.3">
      <c r="A81" s="9"/>
      <c r="B81" s="55" t="s">
        <v>53</v>
      </c>
      <c r="C81" s="56" t="s">
        <v>118</v>
      </c>
      <c r="D81" s="74"/>
      <c r="E81" s="74"/>
      <c r="F81" s="76">
        <f>SUM(D81:E81)</f>
        <v>0</v>
      </c>
      <c r="G81" s="73"/>
      <c r="H81" s="74"/>
      <c r="I81" s="74"/>
      <c r="J81" s="76">
        <f>SUM(H81:I81)</f>
        <v>0</v>
      </c>
      <c r="K81" s="73"/>
    </row>
    <row r="82" spans="1:11" ht="18.75" x14ac:dyDescent="0.3">
      <c r="A82" s="9" t="s">
        <v>119</v>
      </c>
      <c r="D82" s="74"/>
      <c r="E82" s="74"/>
      <c r="F82" s="77"/>
      <c r="G82" s="73"/>
      <c r="H82" s="74"/>
      <c r="I82" s="74"/>
      <c r="J82" s="77"/>
      <c r="K82" s="73"/>
    </row>
    <row r="83" spans="1:11" ht="18.75" x14ac:dyDescent="0.3">
      <c r="A83" s="36" t="s">
        <v>120</v>
      </c>
      <c r="B83" s="680" t="s">
        <v>121</v>
      </c>
      <c r="C83" s="680"/>
      <c r="D83" s="66">
        <f>+D77+D78+D82</f>
        <v>0</v>
      </c>
      <c r="E83" s="66">
        <f>+E77+E78+E82</f>
        <v>0</v>
      </c>
      <c r="F83" s="71">
        <f>+F77+F78</f>
        <v>0</v>
      </c>
      <c r="G83" s="73"/>
      <c r="H83" s="66">
        <f>+H77+H78+H82</f>
        <v>0</v>
      </c>
      <c r="I83" s="66">
        <f>+I77+I78+I82</f>
        <v>0</v>
      </c>
      <c r="J83" s="71">
        <f>+J77+J78</f>
        <v>0</v>
      </c>
      <c r="K83" s="73"/>
    </row>
    <row r="84" spans="1:11" ht="18.75" x14ac:dyDescent="0.3">
      <c r="A84" s="78" t="s">
        <v>122</v>
      </c>
      <c r="B84" s="681" t="s">
        <v>123</v>
      </c>
      <c r="C84" s="681"/>
      <c r="D84" s="79">
        <f>+D30+D83</f>
        <v>670407687</v>
      </c>
      <c r="E84" s="79">
        <f>+E30+E83</f>
        <v>650915463</v>
      </c>
      <c r="F84" s="79">
        <f>F30+G30+F83</f>
        <v>19492224</v>
      </c>
      <c r="G84" s="80">
        <f>+G30+G83</f>
        <v>0</v>
      </c>
      <c r="H84" s="79">
        <f>+H30+H83</f>
        <v>819824033</v>
      </c>
      <c r="I84" s="79">
        <f>+I30+I83</f>
        <v>801081809</v>
      </c>
      <c r="J84" s="79">
        <f t="shared" ref="J84" si="10">+J30+J83</f>
        <v>18742224</v>
      </c>
      <c r="K84" s="80">
        <f>+K30+K83</f>
        <v>0</v>
      </c>
    </row>
    <row r="85" spans="1:11" ht="19.5" thickBot="1" x14ac:dyDescent="0.35">
      <c r="A85" s="81" t="s">
        <v>124</v>
      </c>
      <c r="B85" s="82" t="s">
        <v>125</v>
      </c>
      <c r="C85" s="82"/>
      <c r="D85" s="83">
        <f>+D61+D76+D63</f>
        <v>670407687</v>
      </c>
      <c r="E85" s="83">
        <f>+E61+E76+E63</f>
        <v>670407687</v>
      </c>
      <c r="F85" s="83">
        <f>+F61+F76+F63</f>
        <v>0</v>
      </c>
      <c r="G85" s="84">
        <f>+G61+G76</f>
        <v>0</v>
      </c>
      <c r="H85" s="83">
        <f>+H61+H76+H63</f>
        <v>819824033</v>
      </c>
      <c r="I85" s="83">
        <f>+I61+I76+I63</f>
        <v>819824033</v>
      </c>
      <c r="J85" s="83">
        <f>+J61+J76+J63</f>
        <v>0</v>
      </c>
      <c r="K85" s="84">
        <f>+K61+K76</f>
        <v>0</v>
      </c>
    </row>
    <row r="86" spans="1:11" x14ac:dyDescent="0.25">
      <c r="B86" s="85"/>
      <c r="C86" s="85"/>
      <c r="D86" s="87">
        <f>D85-D84</f>
        <v>0</v>
      </c>
      <c r="E86" s="87">
        <f t="shared" ref="E86:J86" si="11">E85-E84</f>
        <v>19492224</v>
      </c>
      <c r="F86" s="87">
        <f t="shared" si="11"/>
        <v>-19492224</v>
      </c>
      <c r="G86" s="87">
        <f t="shared" si="11"/>
        <v>0</v>
      </c>
      <c r="H86" s="87">
        <f t="shared" si="11"/>
        <v>0</v>
      </c>
      <c r="I86" s="87">
        <f t="shared" si="11"/>
        <v>18742224</v>
      </c>
      <c r="J86" s="87">
        <f t="shared" si="11"/>
        <v>-18742224</v>
      </c>
    </row>
    <row r="87" spans="1:11" hidden="1" x14ac:dyDescent="0.25">
      <c r="B87" s="85"/>
      <c r="C87" s="85"/>
      <c r="D87" s="87">
        <f>+D85-D84</f>
        <v>0</v>
      </c>
      <c r="E87" s="87">
        <f>+E85-E84</f>
        <v>19492224</v>
      </c>
      <c r="F87" s="87">
        <f>+F85-F84</f>
        <v>-19492224</v>
      </c>
      <c r="G87" s="87">
        <f>+G85-G84</f>
        <v>0</v>
      </c>
    </row>
    <row r="88" spans="1:11" x14ac:dyDescent="0.25">
      <c r="B88" s="85"/>
      <c r="C88" s="85"/>
      <c r="D88" s="86"/>
      <c r="E88" s="86"/>
      <c r="F88" s="86"/>
    </row>
    <row r="89" spans="1:11" x14ac:dyDescent="0.25">
      <c r="B89" s="85"/>
      <c r="C89" s="85"/>
      <c r="D89" s="86"/>
      <c r="E89" s="86"/>
      <c r="F89" s="86"/>
    </row>
    <row r="90" spans="1:11" x14ac:dyDescent="0.25">
      <c r="B90" s="85"/>
      <c r="C90" s="85"/>
      <c r="D90" s="86"/>
      <c r="E90" s="86"/>
      <c r="F90" s="86"/>
    </row>
    <row r="91" spans="1:11" x14ac:dyDescent="0.25">
      <c r="B91" s="85"/>
      <c r="C91" s="85"/>
      <c r="D91" s="86"/>
      <c r="E91" s="86"/>
      <c r="F91" s="86"/>
    </row>
    <row r="92" spans="1:11" x14ac:dyDescent="0.25">
      <c r="B92" s="85"/>
      <c r="C92" s="85"/>
      <c r="D92" s="86"/>
      <c r="E92" s="86"/>
      <c r="F92" s="86"/>
    </row>
    <row r="93" spans="1:11" x14ac:dyDescent="0.25">
      <c r="B93" s="85"/>
      <c r="C93" s="85"/>
      <c r="D93" s="86"/>
      <c r="E93" s="86"/>
      <c r="F93" s="86"/>
    </row>
    <row r="94" spans="1:11" x14ac:dyDescent="0.25">
      <c r="B94" s="85"/>
      <c r="C94" s="85"/>
      <c r="D94" s="86"/>
      <c r="E94" s="86"/>
      <c r="F94" s="86"/>
    </row>
    <row r="95" spans="1:11" x14ac:dyDescent="0.25">
      <c r="B95" s="85"/>
      <c r="C95" s="85"/>
      <c r="D95" s="86"/>
      <c r="E95" s="86"/>
      <c r="F95" s="86"/>
    </row>
    <row r="96" spans="1:11" x14ac:dyDescent="0.25">
      <c r="B96" s="85"/>
      <c r="C96" s="85"/>
      <c r="D96" s="86"/>
      <c r="E96" s="86"/>
      <c r="F96" s="86"/>
    </row>
    <row r="97" spans="2:6" x14ac:dyDescent="0.25">
      <c r="B97" s="85"/>
      <c r="C97" s="85"/>
      <c r="D97" s="86"/>
      <c r="E97" s="86"/>
      <c r="F97" s="86"/>
    </row>
    <row r="98" spans="2:6" x14ac:dyDescent="0.25">
      <c r="B98" s="85"/>
      <c r="C98" s="85"/>
      <c r="D98" s="86"/>
      <c r="E98" s="86"/>
      <c r="F98" s="86"/>
    </row>
    <row r="99" spans="2:6" x14ac:dyDescent="0.25">
      <c r="B99" s="85"/>
      <c r="C99" s="85"/>
      <c r="D99" s="86"/>
      <c r="E99" s="86"/>
      <c r="F99" s="86"/>
    </row>
    <row r="100" spans="2:6" x14ac:dyDescent="0.25">
      <c r="B100" s="85"/>
      <c r="C100" s="85"/>
      <c r="D100" s="86"/>
      <c r="E100" s="86"/>
      <c r="F100" s="86"/>
    </row>
    <row r="101" spans="2:6" x14ac:dyDescent="0.25">
      <c r="B101" s="85"/>
      <c r="C101" s="85"/>
      <c r="D101" s="86"/>
      <c r="E101" s="86"/>
      <c r="F101" s="86"/>
    </row>
    <row r="102" spans="2:6" x14ac:dyDescent="0.25">
      <c r="B102" s="85"/>
      <c r="C102" s="85"/>
      <c r="D102" s="86"/>
      <c r="E102" s="86"/>
      <c r="F102" s="86"/>
    </row>
    <row r="103" spans="2:6" x14ac:dyDescent="0.25">
      <c r="B103" s="85"/>
      <c r="C103" s="85"/>
      <c r="D103" s="86"/>
      <c r="E103" s="86"/>
      <c r="F103" s="86"/>
    </row>
    <row r="104" spans="2:6" x14ac:dyDescent="0.25">
      <c r="B104" s="85"/>
      <c r="C104" s="85"/>
      <c r="D104" s="86"/>
      <c r="E104" s="86"/>
      <c r="F104" s="86"/>
    </row>
    <row r="105" spans="2:6" x14ac:dyDescent="0.25">
      <c r="B105" s="85"/>
      <c r="C105" s="85"/>
      <c r="D105" s="86"/>
      <c r="E105" s="86"/>
      <c r="F105" s="86"/>
    </row>
    <row r="106" spans="2:6" x14ac:dyDescent="0.25">
      <c r="B106" s="85"/>
      <c r="C106" s="85"/>
      <c r="D106" s="86"/>
      <c r="E106" s="86"/>
      <c r="F106" s="86"/>
    </row>
    <row r="107" spans="2:6" x14ac:dyDescent="0.25">
      <c r="B107" s="85"/>
      <c r="C107" s="85"/>
      <c r="D107" s="86"/>
      <c r="E107" s="86"/>
      <c r="F107" s="86"/>
    </row>
  </sheetData>
  <mergeCells count="66">
    <mergeCell ref="H6:H7"/>
    <mergeCell ref="I6:I7"/>
    <mergeCell ref="J6:J7"/>
    <mergeCell ref="K6:K7"/>
    <mergeCell ref="H8:J8"/>
    <mergeCell ref="B12:C12"/>
    <mergeCell ref="A1:F1"/>
    <mergeCell ref="A2:F2"/>
    <mergeCell ref="A3:F3"/>
    <mergeCell ref="A4:F4"/>
    <mergeCell ref="A5:F5"/>
    <mergeCell ref="A6:A8"/>
    <mergeCell ref="B6:C8"/>
    <mergeCell ref="D6:D7"/>
    <mergeCell ref="E6:E7"/>
    <mergeCell ref="F6:F7"/>
    <mergeCell ref="G6:G7"/>
    <mergeCell ref="D8:F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42:C42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8:C38"/>
    <mergeCell ref="B67:C67"/>
    <mergeCell ref="B47:C47"/>
    <mergeCell ref="B48:C48"/>
    <mergeCell ref="B51:C51"/>
    <mergeCell ref="B54:C54"/>
    <mergeCell ref="B58:C58"/>
    <mergeCell ref="B59:C59"/>
    <mergeCell ref="B60:C60"/>
    <mergeCell ref="B61:C61"/>
    <mergeCell ref="B62:C62"/>
    <mergeCell ref="B63:C63"/>
    <mergeCell ref="B64:C64"/>
    <mergeCell ref="C74:D74"/>
    <mergeCell ref="B83:C83"/>
    <mergeCell ref="B84:C84"/>
    <mergeCell ref="B68:C68"/>
    <mergeCell ref="B69:C69"/>
    <mergeCell ref="B75:C75"/>
    <mergeCell ref="B76:C76"/>
    <mergeCell ref="B77:C77"/>
    <mergeCell ref="B78:C78"/>
  </mergeCells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7030A0"/>
  </sheetPr>
  <dimension ref="A1:O22"/>
  <sheetViews>
    <sheetView topLeftCell="B4" workbookViewId="0">
      <selection activeCell="P16" sqref="P16"/>
    </sheetView>
  </sheetViews>
  <sheetFormatPr defaultRowHeight="15" x14ac:dyDescent="0.25"/>
  <cols>
    <col min="1" max="1" width="39" bestFit="1" customWidth="1"/>
    <col min="2" max="2" width="12" bestFit="1" customWidth="1"/>
    <col min="3" max="13" width="9.85546875" bestFit="1" customWidth="1"/>
    <col min="14" max="14" width="11.85546875" bestFit="1" customWidth="1"/>
    <col min="15" max="15" width="8.42578125" bestFit="1" customWidth="1"/>
  </cols>
  <sheetData>
    <row r="1" spans="1:15" ht="15.75" x14ac:dyDescent="0.25">
      <c r="A1" s="1006" t="s">
        <v>788</v>
      </c>
      <c r="B1" s="1006"/>
      <c r="C1" s="1006"/>
      <c r="D1" s="1006"/>
      <c r="E1" s="1006"/>
      <c r="F1" s="1006"/>
      <c r="G1" s="1006"/>
      <c r="H1" s="1006"/>
      <c r="I1" s="1006"/>
      <c r="J1" s="1006"/>
      <c r="K1" s="1006"/>
      <c r="L1" s="1006"/>
      <c r="M1" s="1006"/>
      <c r="N1" s="1006"/>
    </row>
    <row r="2" spans="1:15" ht="15.75" x14ac:dyDescent="0.25">
      <c r="A2" s="1006" t="s">
        <v>271</v>
      </c>
      <c r="B2" s="1006"/>
      <c r="C2" s="1006"/>
      <c r="D2" s="1006"/>
      <c r="E2" s="1006"/>
      <c r="F2" s="1006"/>
      <c r="G2" s="1006"/>
      <c r="H2" s="1006"/>
      <c r="I2" s="1006"/>
      <c r="J2" s="1006"/>
      <c r="K2" s="1006"/>
      <c r="L2" s="1006"/>
      <c r="M2" s="1006"/>
      <c r="N2" s="1006"/>
    </row>
    <row r="3" spans="1:15" ht="15" customHeight="1" x14ac:dyDescent="0.25">
      <c r="A3" s="1007" t="s">
        <v>655</v>
      </c>
      <c r="B3" s="1007"/>
      <c r="C3" s="1007"/>
      <c r="D3" s="1007"/>
      <c r="E3" s="1007"/>
      <c r="F3" s="1007"/>
      <c r="G3" s="1007"/>
      <c r="H3" s="1007"/>
      <c r="I3" s="1007"/>
      <c r="J3" s="1007"/>
      <c r="K3" s="1007"/>
      <c r="L3" s="1007"/>
      <c r="M3" s="1007"/>
      <c r="N3" s="1007"/>
    </row>
    <row r="4" spans="1:15" ht="15" customHeight="1" x14ac:dyDescent="0.25">
      <c r="A4" s="1007"/>
      <c r="B4" s="1007"/>
      <c r="C4" s="1007"/>
      <c r="D4" s="1007"/>
      <c r="E4" s="1007"/>
      <c r="F4" s="1007"/>
      <c r="G4" s="1007"/>
      <c r="H4" s="1007"/>
      <c r="I4" s="1007"/>
      <c r="J4" s="1007"/>
      <c r="K4" s="1007"/>
      <c r="L4" s="1007"/>
      <c r="M4" s="1007"/>
      <c r="N4" s="1007"/>
    </row>
    <row r="5" spans="1:15" ht="15.75" x14ac:dyDescent="0.25">
      <c r="A5" s="421"/>
      <c r="B5" s="421"/>
      <c r="C5" s="421"/>
      <c r="D5" s="421"/>
      <c r="E5" s="421"/>
      <c r="F5" s="421"/>
      <c r="G5" s="421"/>
      <c r="H5" s="421"/>
      <c r="I5" s="421"/>
      <c r="J5" s="421"/>
      <c r="K5" s="421"/>
      <c r="L5" s="421"/>
      <c r="M5" s="1007" t="s">
        <v>355</v>
      </c>
      <c r="N5" s="1007"/>
    </row>
    <row r="6" spans="1:15" ht="15.75" x14ac:dyDescent="0.25">
      <c r="A6" s="316" t="s">
        <v>7</v>
      </c>
      <c r="B6" s="317" t="s">
        <v>356</v>
      </c>
      <c r="C6" s="317" t="s">
        <v>357</v>
      </c>
      <c r="D6" s="317" t="s">
        <v>358</v>
      </c>
      <c r="E6" s="317" t="s">
        <v>359</v>
      </c>
      <c r="F6" s="317" t="s">
        <v>360</v>
      </c>
      <c r="G6" s="317" t="s">
        <v>361</v>
      </c>
      <c r="H6" s="317" t="s">
        <v>362</v>
      </c>
      <c r="I6" s="317" t="s">
        <v>363</v>
      </c>
      <c r="J6" s="317" t="s">
        <v>364</v>
      </c>
      <c r="K6" s="317" t="s">
        <v>365</v>
      </c>
      <c r="L6" s="317" t="s">
        <v>366</v>
      </c>
      <c r="M6" s="317" t="s">
        <v>367</v>
      </c>
      <c r="N6" s="316" t="s">
        <v>368</v>
      </c>
    </row>
    <row r="7" spans="1:15" x14ac:dyDescent="0.25">
      <c r="A7" s="318" t="s">
        <v>13</v>
      </c>
      <c r="B7" s="319">
        <v>3180</v>
      </c>
      <c r="C7" s="319">
        <v>3180</v>
      </c>
      <c r="D7" s="319">
        <v>3181</v>
      </c>
      <c r="E7" s="319">
        <v>3181</v>
      </c>
      <c r="F7" s="319">
        <v>3181</v>
      </c>
      <c r="G7" s="319">
        <v>3181</v>
      </c>
      <c r="H7" s="319">
        <v>3181</v>
      </c>
      <c r="I7" s="319">
        <v>3181</v>
      </c>
      <c r="J7" s="319">
        <v>3181</v>
      </c>
      <c r="K7" s="319">
        <v>3181</v>
      </c>
      <c r="L7" s="319">
        <v>3181</v>
      </c>
      <c r="M7" s="319">
        <v>3181</v>
      </c>
      <c r="N7" s="321">
        <f t="shared" ref="N7:N12" si="0">SUM(B7:M7)</f>
        <v>38170</v>
      </c>
      <c r="O7">
        <v>37370</v>
      </c>
    </row>
    <row r="8" spans="1:15" x14ac:dyDescent="0.25">
      <c r="A8" s="318" t="s">
        <v>369</v>
      </c>
      <c r="B8" s="319">
        <v>578</v>
      </c>
      <c r="C8" s="319">
        <v>578</v>
      </c>
      <c r="D8" s="319">
        <v>578</v>
      </c>
      <c r="E8" s="319">
        <v>578</v>
      </c>
      <c r="F8" s="319">
        <v>578</v>
      </c>
      <c r="G8" s="319">
        <v>578</v>
      </c>
      <c r="H8" s="319">
        <v>579</v>
      </c>
      <c r="I8" s="319">
        <v>579</v>
      </c>
      <c r="J8" s="319">
        <v>579</v>
      </c>
      <c r="K8" s="319">
        <v>579</v>
      </c>
      <c r="L8" s="319">
        <v>579</v>
      </c>
      <c r="M8" s="319">
        <v>579</v>
      </c>
      <c r="N8" s="321">
        <f t="shared" si="0"/>
        <v>6942</v>
      </c>
      <c r="O8">
        <v>6445</v>
      </c>
    </row>
    <row r="9" spans="1:15" x14ac:dyDescent="0.25">
      <c r="A9" s="318" t="s">
        <v>15</v>
      </c>
      <c r="B9" s="319">
        <v>425</v>
      </c>
      <c r="C9" s="319">
        <v>425</v>
      </c>
      <c r="D9" s="319">
        <v>425</v>
      </c>
      <c r="E9" s="319">
        <v>425</v>
      </c>
      <c r="F9" s="319">
        <v>426</v>
      </c>
      <c r="G9" s="319">
        <v>426</v>
      </c>
      <c r="H9" s="319">
        <v>426</v>
      </c>
      <c r="I9" s="319">
        <v>426</v>
      </c>
      <c r="J9" s="319">
        <v>426</v>
      </c>
      <c r="K9" s="319">
        <v>426</v>
      </c>
      <c r="L9" s="319">
        <v>426</v>
      </c>
      <c r="M9" s="319">
        <v>426</v>
      </c>
      <c r="N9" s="321">
        <f t="shared" si="0"/>
        <v>5108</v>
      </c>
      <c r="O9">
        <v>5125</v>
      </c>
    </row>
    <row r="10" spans="1:15" x14ac:dyDescent="0.25">
      <c r="A10" s="318" t="s">
        <v>370</v>
      </c>
      <c r="B10" s="320"/>
      <c r="C10" s="320"/>
      <c r="D10" s="320"/>
      <c r="E10" s="320"/>
      <c r="F10" s="320"/>
      <c r="G10" s="320"/>
      <c r="H10" s="320"/>
      <c r="I10" s="320"/>
      <c r="J10" s="320"/>
      <c r="K10" s="320"/>
      <c r="L10" s="320"/>
      <c r="M10" s="320"/>
      <c r="N10" s="321">
        <f t="shared" si="0"/>
        <v>0</v>
      </c>
    </row>
    <row r="11" spans="1:15" x14ac:dyDescent="0.25">
      <c r="A11" s="318" t="s">
        <v>371</v>
      </c>
      <c r="B11" s="320"/>
      <c r="C11" s="320"/>
      <c r="D11" s="320"/>
      <c r="E11" s="320"/>
      <c r="F11" s="320"/>
      <c r="G11" s="320"/>
      <c r="H11" s="320"/>
      <c r="I11" s="320"/>
      <c r="J11" s="320"/>
      <c r="K11" s="320"/>
      <c r="L11" s="320"/>
      <c r="M11" s="320"/>
      <c r="N11" s="321">
        <f t="shared" si="0"/>
        <v>0</v>
      </c>
    </row>
    <row r="12" spans="1:15" x14ac:dyDescent="0.25">
      <c r="A12" s="318" t="s">
        <v>372</v>
      </c>
      <c r="B12" s="320"/>
      <c r="C12" s="320">
        <v>22</v>
      </c>
      <c r="D12" s="320">
        <v>14</v>
      </c>
      <c r="E12" s="320"/>
      <c r="F12" s="320"/>
      <c r="G12" s="320">
        <v>164</v>
      </c>
      <c r="H12" s="320"/>
      <c r="I12" s="320"/>
      <c r="J12" s="320"/>
      <c r="K12" s="320"/>
      <c r="L12" s="320"/>
      <c r="M12" s="320"/>
      <c r="N12" s="321">
        <f t="shared" si="0"/>
        <v>200</v>
      </c>
      <c r="O12">
        <v>200</v>
      </c>
    </row>
    <row r="13" spans="1:15" x14ac:dyDescent="0.25">
      <c r="A13" s="318" t="s">
        <v>220</v>
      </c>
      <c r="B13" s="320"/>
      <c r="C13" s="320"/>
      <c r="D13" s="320"/>
      <c r="E13" s="320"/>
      <c r="F13" s="320"/>
      <c r="G13" s="320"/>
      <c r="H13" s="320"/>
      <c r="I13" s="320"/>
      <c r="J13" s="320"/>
      <c r="K13" s="320"/>
      <c r="L13" s="320"/>
      <c r="M13" s="320"/>
      <c r="N13" s="321"/>
    </row>
    <row r="14" spans="1:15" s="29" customFormat="1" ht="12.75" x14ac:dyDescent="0.2">
      <c r="A14" s="322" t="s">
        <v>373</v>
      </c>
      <c r="B14" s="328">
        <f>SUM(B7:B13)</f>
        <v>4183</v>
      </c>
      <c r="C14" s="328">
        <f t="shared" ref="C14:M14" si="1">SUM(C7:C13)</f>
        <v>4205</v>
      </c>
      <c r="D14" s="328">
        <f t="shared" si="1"/>
        <v>4198</v>
      </c>
      <c r="E14" s="328">
        <f t="shared" si="1"/>
        <v>4184</v>
      </c>
      <c r="F14" s="328">
        <f t="shared" si="1"/>
        <v>4185</v>
      </c>
      <c r="G14" s="328">
        <f t="shared" si="1"/>
        <v>4349</v>
      </c>
      <c r="H14" s="328">
        <f t="shared" si="1"/>
        <v>4186</v>
      </c>
      <c r="I14" s="328">
        <f t="shared" si="1"/>
        <v>4186</v>
      </c>
      <c r="J14" s="328">
        <f t="shared" si="1"/>
        <v>4186</v>
      </c>
      <c r="K14" s="328">
        <f t="shared" si="1"/>
        <v>4186</v>
      </c>
      <c r="L14" s="328">
        <f t="shared" si="1"/>
        <v>4186</v>
      </c>
      <c r="M14" s="328">
        <f t="shared" si="1"/>
        <v>4186</v>
      </c>
      <c r="N14" s="321">
        <f>SUM(N7:N13)</f>
        <v>50420</v>
      </c>
      <c r="O14" s="330">
        <f>SUM(O7:O13)</f>
        <v>49140</v>
      </c>
    </row>
    <row r="15" spans="1:15" x14ac:dyDescent="0.25">
      <c r="A15" s="323"/>
      <c r="B15" s="324"/>
      <c r="C15" s="324"/>
      <c r="D15" s="324"/>
      <c r="E15" s="324"/>
      <c r="F15" s="324"/>
      <c r="G15" s="324"/>
      <c r="H15" s="324"/>
      <c r="I15" s="324"/>
      <c r="J15" s="324"/>
      <c r="K15" s="324"/>
      <c r="L15" s="324"/>
      <c r="M15" s="324"/>
      <c r="N15" s="325"/>
    </row>
    <row r="16" spans="1:15" x14ac:dyDescent="0.25">
      <c r="A16" s="318" t="s">
        <v>374</v>
      </c>
      <c r="B16" s="320">
        <f>+O16/12</f>
        <v>0.16666666666666666</v>
      </c>
      <c r="C16" s="320"/>
      <c r="D16" s="320"/>
      <c r="E16" s="320"/>
      <c r="F16" s="320"/>
      <c r="G16" s="320">
        <v>2</v>
      </c>
      <c r="H16" s="320"/>
      <c r="I16" s="320"/>
      <c r="J16" s="320"/>
      <c r="K16" s="320"/>
      <c r="L16" s="320"/>
      <c r="M16" s="320"/>
      <c r="N16" s="321">
        <f t="shared" ref="N16:N22" si="2">SUM(B16:M16)</f>
        <v>2.1666666666666665</v>
      </c>
      <c r="O16">
        <v>2</v>
      </c>
    </row>
    <row r="17" spans="1:15" x14ac:dyDescent="0.25">
      <c r="A17" s="318" t="s">
        <v>46</v>
      </c>
      <c r="B17" s="320">
        <f>+O17/12</f>
        <v>0</v>
      </c>
      <c r="C17" s="320"/>
      <c r="D17" s="320"/>
      <c r="E17" s="320"/>
      <c r="F17" s="320"/>
      <c r="G17" s="320"/>
      <c r="H17" s="320"/>
      <c r="I17" s="320"/>
      <c r="J17" s="320"/>
      <c r="K17" s="320"/>
      <c r="L17" s="320"/>
      <c r="M17" s="320"/>
      <c r="N17" s="321">
        <f t="shared" si="2"/>
        <v>0</v>
      </c>
    </row>
    <row r="18" spans="1:15" x14ac:dyDescent="0.25">
      <c r="A18" s="326" t="s">
        <v>375</v>
      </c>
      <c r="B18" s="319">
        <v>4192</v>
      </c>
      <c r="C18" s="319">
        <v>4192</v>
      </c>
      <c r="D18" s="319">
        <v>4193</v>
      </c>
      <c r="E18" s="319">
        <v>4193</v>
      </c>
      <c r="F18" s="319">
        <v>4193</v>
      </c>
      <c r="G18" s="319">
        <v>4193</v>
      </c>
      <c r="H18" s="319">
        <v>3977</v>
      </c>
      <c r="I18" s="319">
        <v>3977</v>
      </c>
      <c r="J18" s="319">
        <v>3977</v>
      </c>
      <c r="K18" s="319">
        <v>3977</v>
      </c>
      <c r="L18" s="319">
        <v>3977</v>
      </c>
      <c r="M18" s="319">
        <v>3976</v>
      </c>
      <c r="N18" s="321">
        <f t="shared" si="2"/>
        <v>49017</v>
      </c>
      <c r="O18">
        <v>49017</v>
      </c>
    </row>
    <row r="19" spans="1:15" x14ac:dyDescent="0.25">
      <c r="A19" s="318" t="s">
        <v>376</v>
      </c>
      <c r="B19" s="320"/>
      <c r="C19" s="320"/>
      <c r="D19" s="320"/>
      <c r="E19" s="320"/>
      <c r="F19" s="320"/>
      <c r="G19" s="320"/>
      <c r="H19" s="320"/>
      <c r="I19" s="320"/>
      <c r="J19" s="320"/>
      <c r="K19" s="320"/>
      <c r="L19" s="320"/>
      <c r="M19" s="320"/>
      <c r="N19" s="321">
        <f t="shared" si="2"/>
        <v>0</v>
      </c>
    </row>
    <row r="20" spans="1:15" x14ac:dyDescent="0.25">
      <c r="A20" s="318" t="s">
        <v>71</v>
      </c>
      <c r="B20" s="320">
        <f>+O20/12</f>
        <v>0</v>
      </c>
      <c r="C20" s="320"/>
      <c r="D20" s="320"/>
      <c r="E20" s="320"/>
      <c r="F20" s="320"/>
      <c r="G20" s="320"/>
      <c r="H20" s="320"/>
      <c r="I20" s="320"/>
      <c r="J20" s="320"/>
      <c r="K20" s="320"/>
      <c r="L20" s="320"/>
      <c r="M20" s="320"/>
      <c r="N20" s="321">
        <f t="shared" si="2"/>
        <v>0</v>
      </c>
    </row>
    <row r="21" spans="1:15" x14ac:dyDescent="0.25">
      <c r="A21" s="318" t="s">
        <v>95</v>
      </c>
      <c r="B21" s="320"/>
      <c r="C21" s="320">
        <v>121</v>
      </c>
      <c r="D21" s="320"/>
      <c r="E21" s="320"/>
      <c r="F21" s="320"/>
      <c r="G21" s="320"/>
      <c r="H21" s="320"/>
      <c r="I21" s="320"/>
      <c r="J21" s="320"/>
      <c r="K21" s="320"/>
      <c r="L21" s="320"/>
      <c r="M21" s="320"/>
      <c r="N21" s="331">
        <f t="shared" si="2"/>
        <v>121</v>
      </c>
      <c r="O21">
        <v>121</v>
      </c>
    </row>
    <row r="22" spans="1:15" s="29" customFormat="1" ht="14.25" x14ac:dyDescent="0.2">
      <c r="A22" s="327" t="s">
        <v>377</v>
      </c>
      <c r="B22" s="328">
        <f>+B16+B17+B18+B19+B20+B21</f>
        <v>4192.166666666667</v>
      </c>
      <c r="C22" s="328">
        <f>+C16+C17+C18+C19+C20+C21</f>
        <v>4313</v>
      </c>
      <c r="D22" s="328">
        <f t="shared" ref="D22:L22" si="3">+D16+D17+D18+D19+D20+D21</f>
        <v>4193</v>
      </c>
      <c r="E22" s="328">
        <f t="shared" si="3"/>
        <v>4193</v>
      </c>
      <c r="F22" s="328">
        <f t="shared" si="3"/>
        <v>4193</v>
      </c>
      <c r="G22" s="328">
        <f t="shared" si="3"/>
        <v>4195</v>
      </c>
      <c r="H22" s="328">
        <f t="shared" si="3"/>
        <v>3977</v>
      </c>
      <c r="I22" s="328">
        <f t="shared" si="3"/>
        <v>3977</v>
      </c>
      <c r="J22" s="328">
        <f t="shared" si="3"/>
        <v>3977</v>
      </c>
      <c r="K22" s="328">
        <f t="shared" si="3"/>
        <v>3977</v>
      </c>
      <c r="L22" s="328">
        <f t="shared" si="3"/>
        <v>3977</v>
      </c>
      <c r="M22" s="328">
        <f>SUM(M16:M20)+M21</f>
        <v>3976</v>
      </c>
      <c r="N22" s="321">
        <f t="shared" si="2"/>
        <v>49140.166666666672</v>
      </c>
      <c r="O22" s="29">
        <f>O16+O17+O18+O19+O20+O21</f>
        <v>49140</v>
      </c>
    </row>
  </sheetData>
  <mergeCells count="4">
    <mergeCell ref="A1:N1"/>
    <mergeCell ref="A2:N2"/>
    <mergeCell ref="A3:N4"/>
    <mergeCell ref="M5:N5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7030A0"/>
  </sheetPr>
  <dimension ref="A1:E88"/>
  <sheetViews>
    <sheetView topLeftCell="A4" workbookViewId="0">
      <selection activeCell="G8" sqref="G8"/>
    </sheetView>
  </sheetViews>
  <sheetFormatPr defaultRowHeight="15" x14ac:dyDescent="0.25"/>
  <cols>
    <col min="3" max="3" width="54.85546875" bestFit="1" customWidth="1"/>
    <col min="4" max="4" width="24.5703125" customWidth="1"/>
    <col min="5" max="5" width="23.85546875" customWidth="1"/>
    <col min="259" max="259" width="54.85546875" bestFit="1" customWidth="1"/>
    <col min="260" max="260" width="24.5703125" customWidth="1"/>
    <col min="261" max="261" width="23.85546875" customWidth="1"/>
    <col min="515" max="515" width="54.85546875" bestFit="1" customWidth="1"/>
    <col min="516" max="516" width="24.5703125" customWidth="1"/>
    <col min="517" max="517" width="23.85546875" customWidth="1"/>
    <col min="771" max="771" width="54.85546875" bestFit="1" customWidth="1"/>
    <col min="772" max="772" width="24.5703125" customWidth="1"/>
    <col min="773" max="773" width="23.85546875" customWidth="1"/>
    <col min="1027" max="1027" width="54.85546875" bestFit="1" customWidth="1"/>
    <col min="1028" max="1028" width="24.5703125" customWidth="1"/>
    <col min="1029" max="1029" width="23.85546875" customWidth="1"/>
    <col min="1283" max="1283" width="54.85546875" bestFit="1" customWidth="1"/>
    <col min="1284" max="1284" width="24.5703125" customWidth="1"/>
    <col min="1285" max="1285" width="23.85546875" customWidth="1"/>
    <col min="1539" max="1539" width="54.85546875" bestFit="1" customWidth="1"/>
    <col min="1540" max="1540" width="24.5703125" customWidth="1"/>
    <col min="1541" max="1541" width="23.85546875" customWidth="1"/>
    <col min="1795" max="1795" width="54.85546875" bestFit="1" customWidth="1"/>
    <col min="1796" max="1796" width="24.5703125" customWidth="1"/>
    <col min="1797" max="1797" width="23.85546875" customWidth="1"/>
    <col min="2051" max="2051" width="54.85546875" bestFit="1" customWidth="1"/>
    <col min="2052" max="2052" width="24.5703125" customWidth="1"/>
    <col min="2053" max="2053" width="23.85546875" customWidth="1"/>
    <col min="2307" max="2307" width="54.85546875" bestFit="1" customWidth="1"/>
    <col min="2308" max="2308" width="24.5703125" customWidth="1"/>
    <col min="2309" max="2309" width="23.85546875" customWidth="1"/>
    <col min="2563" max="2563" width="54.85546875" bestFit="1" customWidth="1"/>
    <col min="2564" max="2564" width="24.5703125" customWidth="1"/>
    <col min="2565" max="2565" width="23.85546875" customWidth="1"/>
    <col min="2819" max="2819" width="54.85546875" bestFit="1" customWidth="1"/>
    <col min="2820" max="2820" width="24.5703125" customWidth="1"/>
    <col min="2821" max="2821" width="23.85546875" customWidth="1"/>
    <col min="3075" max="3075" width="54.85546875" bestFit="1" customWidth="1"/>
    <col min="3076" max="3076" width="24.5703125" customWidth="1"/>
    <col min="3077" max="3077" width="23.85546875" customWidth="1"/>
    <col min="3331" max="3331" width="54.85546875" bestFit="1" customWidth="1"/>
    <col min="3332" max="3332" width="24.5703125" customWidth="1"/>
    <col min="3333" max="3333" width="23.85546875" customWidth="1"/>
    <col min="3587" max="3587" width="54.85546875" bestFit="1" customWidth="1"/>
    <col min="3588" max="3588" width="24.5703125" customWidth="1"/>
    <col min="3589" max="3589" width="23.85546875" customWidth="1"/>
    <col min="3843" max="3843" width="54.85546875" bestFit="1" customWidth="1"/>
    <col min="3844" max="3844" width="24.5703125" customWidth="1"/>
    <col min="3845" max="3845" width="23.85546875" customWidth="1"/>
    <col min="4099" max="4099" width="54.85546875" bestFit="1" customWidth="1"/>
    <col min="4100" max="4100" width="24.5703125" customWidth="1"/>
    <col min="4101" max="4101" width="23.85546875" customWidth="1"/>
    <col min="4355" max="4355" width="54.85546875" bestFit="1" customWidth="1"/>
    <col min="4356" max="4356" width="24.5703125" customWidth="1"/>
    <col min="4357" max="4357" width="23.85546875" customWidth="1"/>
    <col min="4611" max="4611" width="54.85546875" bestFit="1" customWidth="1"/>
    <col min="4612" max="4612" width="24.5703125" customWidth="1"/>
    <col min="4613" max="4613" width="23.85546875" customWidth="1"/>
    <col min="4867" max="4867" width="54.85546875" bestFit="1" customWidth="1"/>
    <col min="4868" max="4868" width="24.5703125" customWidth="1"/>
    <col min="4869" max="4869" width="23.85546875" customWidth="1"/>
    <col min="5123" max="5123" width="54.85546875" bestFit="1" customWidth="1"/>
    <col min="5124" max="5124" width="24.5703125" customWidth="1"/>
    <col min="5125" max="5125" width="23.85546875" customWidth="1"/>
    <col min="5379" max="5379" width="54.85546875" bestFit="1" customWidth="1"/>
    <col min="5380" max="5380" width="24.5703125" customWidth="1"/>
    <col min="5381" max="5381" width="23.85546875" customWidth="1"/>
    <col min="5635" max="5635" width="54.85546875" bestFit="1" customWidth="1"/>
    <col min="5636" max="5636" width="24.5703125" customWidth="1"/>
    <col min="5637" max="5637" width="23.85546875" customWidth="1"/>
    <col min="5891" max="5891" width="54.85546875" bestFit="1" customWidth="1"/>
    <col min="5892" max="5892" width="24.5703125" customWidth="1"/>
    <col min="5893" max="5893" width="23.85546875" customWidth="1"/>
    <col min="6147" max="6147" width="54.85546875" bestFit="1" customWidth="1"/>
    <col min="6148" max="6148" width="24.5703125" customWidth="1"/>
    <col min="6149" max="6149" width="23.85546875" customWidth="1"/>
    <col min="6403" max="6403" width="54.85546875" bestFit="1" customWidth="1"/>
    <col min="6404" max="6404" width="24.5703125" customWidth="1"/>
    <col min="6405" max="6405" width="23.85546875" customWidth="1"/>
    <col min="6659" max="6659" width="54.85546875" bestFit="1" customWidth="1"/>
    <col min="6660" max="6660" width="24.5703125" customWidth="1"/>
    <col min="6661" max="6661" width="23.85546875" customWidth="1"/>
    <col min="6915" max="6915" width="54.85546875" bestFit="1" customWidth="1"/>
    <col min="6916" max="6916" width="24.5703125" customWidth="1"/>
    <col min="6917" max="6917" width="23.85546875" customWidth="1"/>
    <col min="7171" max="7171" width="54.85546875" bestFit="1" customWidth="1"/>
    <col min="7172" max="7172" width="24.5703125" customWidth="1"/>
    <col min="7173" max="7173" width="23.85546875" customWidth="1"/>
    <col min="7427" max="7427" width="54.85546875" bestFit="1" customWidth="1"/>
    <col min="7428" max="7428" width="24.5703125" customWidth="1"/>
    <col min="7429" max="7429" width="23.85546875" customWidth="1"/>
    <col min="7683" max="7683" width="54.85546875" bestFit="1" customWidth="1"/>
    <col min="7684" max="7684" width="24.5703125" customWidth="1"/>
    <col min="7685" max="7685" width="23.85546875" customWidth="1"/>
    <col min="7939" max="7939" width="54.85546875" bestFit="1" customWidth="1"/>
    <col min="7940" max="7940" width="24.5703125" customWidth="1"/>
    <col min="7941" max="7941" width="23.85546875" customWidth="1"/>
    <col min="8195" max="8195" width="54.85546875" bestFit="1" customWidth="1"/>
    <col min="8196" max="8196" width="24.5703125" customWidth="1"/>
    <col min="8197" max="8197" width="23.85546875" customWidth="1"/>
    <col min="8451" max="8451" width="54.85546875" bestFit="1" customWidth="1"/>
    <col min="8452" max="8452" width="24.5703125" customWidth="1"/>
    <col min="8453" max="8453" width="23.85546875" customWidth="1"/>
    <col min="8707" max="8707" width="54.85546875" bestFit="1" customWidth="1"/>
    <col min="8708" max="8708" width="24.5703125" customWidth="1"/>
    <col min="8709" max="8709" width="23.85546875" customWidth="1"/>
    <col min="8963" max="8963" width="54.85546875" bestFit="1" customWidth="1"/>
    <col min="8964" max="8964" width="24.5703125" customWidth="1"/>
    <col min="8965" max="8965" width="23.85546875" customWidth="1"/>
    <col min="9219" max="9219" width="54.85546875" bestFit="1" customWidth="1"/>
    <col min="9220" max="9220" width="24.5703125" customWidth="1"/>
    <col min="9221" max="9221" width="23.85546875" customWidth="1"/>
    <col min="9475" max="9475" width="54.85546875" bestFit="1" customWidth="1"/>
    <col min="9476" max="9476" width="24.5703125" customWidth="1"/>
    <col min="9477" max="9477" width="23.85546875" customWidth="1"/>
    <col min="9731" max="9731" width="54.85546875" bestFit="1" customWidth="1"/>
    <col min="9732" max="9732" width="24.5703125" customWidth="1"/>
    <col min="9733" max="9733" width="23.85546875" customWidth="1"/>
    <col min="9987" max="9987" width="54.85546875" bestFit="1" customWidth="1"/>
    <col min="9988" max="9988" width="24.5703125" customWidth="1"/>
    <col min="9989" max="9989" width="23.85546875" customWidth="1"/>
    <col min="10243" max="10243" width="54.85546875" bestFit="1" customWidth="1"/>
    <col min="10244" max="10244" width="24.5703125" customWidth="1"/>
    <col min="10245" max="10245" width="23.85546875" customWidth="1"/>
    <col min="10499" max="10499" width="54.85546875" bestFit="1" customWidth="1"/>
    <col min="10500" max="10500" width="24.5703125" customWidth="1"/>
    <col min="10501" max="10501" width="23.85546875" customWidth="1"/>
    <col min="10755" max="10755" width="54.85546875" bestFit="1" customWidth="1"/>
    <col min="10756" max="10756" width="24.5703125" customWidth="1"/>
    <col min="10757" max="10757" width="23.85546875" customWidth="1"/>
    <col min="11011" max="11011" width="54.85546875" bestFit="1" customWidth="1"/>
    <col min="11012" max="11012" width="24.5703125" customWidth="1"/>
    <col min="11013" max="11013" width="23.85546875" customWidth="1"/>
    <col min="11267" max="11267" width="54.85546875" bestFit="1" customWidth="1"/>
    <col min="11268" max="11268" width="24.5703125" customWidth="1"/>
    <col min="11269" max="11269" width="23.85546875" customWidth="1"/>
    <col min="11523" max="11523" width="54.85546875" bestFit="1" customWidth="1"/>
    <col min="11524" max="11524" width="24.5703125" customWidth="1"/>
    <col min="11525" max="11525" width="23.85546875" customWidth="1"/>
    <col min="11779" max="11779" width="54.85546875" bestFit="1" customWidth="1"/>
    <col min="11780" max="11780" width="24.5703125" customWidth="1"/>
    <col min="11781" max="11781" width="23.85546875" customWidth="1"/>
    <col min="12035" max="12035" width="54.85546875" bestFit="1" customWidth="1"/>
    <col min="12036" max="12036" width="24.5703125" customWidth="1"/>
    <col min="12037" max="12037" width="23.85546875" customWidth="1"/>
    <col min="12291" max="12291" width="54.85546875" bestFit="1" customWidth="1"/>
    <col min="12292" max="12292" width="24.5703125" customWidth="1"/>
    <col min="12293" max="12293" width="23.85546875" customWidth="1"/>
    <col min="12547" max="12547" width="54.85546875" bestFit="1" customWidth="1"/>
    <col min="12548" max="12548" width="24.5703125" customWidth="1"/>
    <col min="12549" max="12549" width="23.85546875" customWidth="1"/>
    <col min="12803" max="12803" width="54.85546875" bestFit="1" customWidth="1"/>
    <col min="12804" max="12804" width="24.5703125" customWidth="1"/>
    <col min="12805" max="12805" width="23.85546875" customWidth="1"/>
    <col min="13059" max="13059" width="54.85546875" bestFit="1" customWidth="1"/>
    <col min="13060" max="13060" width="24.5703125" customWidth="1"/>
    <col min="13061" max="13061" width="23.85546875" customWidth="1"/>
    <col min="13315" max="13315" width="54.85546875" bestFit="1" customWidth="1"/>
    <col min="13316" max="13316" width="24.5703125" customWidth="1"/>
    <col min="13317" max="13317" width="23.85546875" customWidth="1"/>
    <col min="13571" max="13571" width="54.85546875" bestFit="1" customWidth="1"/>
    <col min="13572" max="13572" width="24.5703125" customWidth="1"/>
    <col min="13573" max="13573" width="23.85546875" customWidth="1"/>
    <col min="13827" max="13827" width="54.85546875" bestFit="1" customWidth="1"/>
    <col min="13828" max="13828" width="24.5703125" customWidth="1"/>
    <col min="13829" max="13829" width="23.85546875" customWidth="1"/>
    <col min="14083" max="14083" width="54.85546875" bestFit="1" customWidth="1"/>
    <col min="14084" max="14084" width="24.5703125" customWidth="1"/>
    <col min="14085" max="14085" width="23.85546875" customWidth="1"/>
    <col min="14339" max="14339" width="54.85546875" bestFit="1" customWidth="1"/>
    <col min="14340" max="14340" width="24.5703125" customWidth="1"/>
    <col min="14341" max="14341" width="23.85546875" customWidth="1"/>
    <col min="14595" max="14595" width="54.85546875" bestFit="1" customWidth="1"/>
    <col min="14596" max="14596" width="24.5703125" customWidth="1"/>
    <col min="14597" max="14597" width="23.85546875" customWidth="1"/>
    <col min="14851" max="14851" width="54.85546875" bestFit="1" customWidth="1"/>
    <col min="14852" max="14852" width="24.5703125" customWidth="1"/>
    <col min="14853" max="14853" width="23.85546875" customWidth="1"/>
    <col min="15107" max="15107" width="54.85546875" bestFit="1" customWidth="1"/>
    <col min="15108" max="15108" width="24.5703125" customWidth="1"/>
    <col min="15109" max="15109" width="23.85546875" customWidth="1"/>
    <col min="15363" max="15363" width="54.85546875" bestFit="1" customWidth="1"/>
    <col min="15364" max="15364" width="24.5703125" customWidth="1"/>
    <col min="15365" max="15365" width="23.85546875" customWidth="1"/>
    <col min="15619" max="15619" width="54.85546875" bestFit="1" customWidth="1"/>
    <col min="15620" max="15620" width="24.5703125" customWidth="1"/>
    <col min="15621" max="15621" width="23.85546875" customWidth="1"/>
    <col min="15875" max="15875" width="54.85546875" bestFit="1" customWidth="1"/>
    <col min="15876" max="15876" width="24.5703125" customWidth="1"/>
    <col min="15877" max="15877" width="23.85546875" customWidth="1"/>
    <col min="16131" max="16131" width="54.85546875" bestFit="1" customWidth="1"/>
    <col min="16132" max="16132" width="24.5703125" customWidth="1"/>
    <col min="16133" max="16133" width="23.85546875" customWidth="1"/>
  </cols>
  <sheetData>
    <row r="1" spans="1:5" ht="18.75" customHeight="1" x14ac:dyDescent="0.25">
      <c r="A1" s="708" t="s">
        <v>822</v>
      </c>
      <c r="B1" s="708"/>
      <c r="C1" s="708"/>
    </row>
    <row r="2" spans="1:5" ht="15.75" customHeight="1" x14ac:dyDescent="0.25">
      <c r="A2" s="708"/>
      <c r="B2" s="708"/>
      <c r="C2" s="708"/>
    </row>
    <row r="3" spans="1:5" ht="15.75" x14ac:dyDescent="0.25">
      <c r="A3" s="710" t="s">
        <v>3</v>
      </c>
      <c r="B3" s="710"/>
      <c r="C3" s="710"/>
    </row>
    <row r="4" spans="1:5" ht="15.75" x14ac:dyDescent="0.25">
      <c r="A4" s="672" t="s">
        <v>694</v>
      </c>
      <c r="B4" s="672"/>
      <c r="C4" s="672"/>
      <c r="E4" t="s">
        <v>921</v>
      </c>
    </row>
    <row r="5" spans="1:5" ht="15.75" thickBot="1" x14ac:dyDescent="0.3"/>
    <row r="6" spans="1:5" ht="15.75" customHeight="1" x14ac:dyDescent="0.25">
      <c r="A6" s="712" t="s">
        <v>6</v>
      </c>
      <c r="B6" s="715" t="s">
        <v>7</v>
      </c>
      <c r="C6" s="715"/>
      <c r="D6" s="1021" t="s">
        <v>821</v>
      </c>
      <c r="E6" s="1021" t="s">
        <v>821</v>
      </c>
    </row>
    <row r="7" spans="1:5" x14ac:dyDescent="0.25">
      <c r="A7" s="713"/>
      <c r="B7" s="716"/>
      <c r="C7" s="716"/>
      <c r="D7" s="1022"/>
      <c r="E7" s="1022"/>
    </row>
    <row r="8" spans="1:5" ht="15.75" thickBot="1" x14ac:dyDescent="0.3">
      <c r="A8" s="905"/>
      <c r="B8" s="906"/>
      <c r="C8" s="906"/>
      <c r="D8" s="539" t="s">
        <v>823</v>
      </c>
      <c r="E8" s="539" t="s">
        <v>919</v>
      </c>
    </row>
    <row r="9" spans="1:5" ht="15.75" x14ac:dyDescent="0.25">
      <c r="A9" s="520"/>
      <c r="B9" s="715" t="s">
        <v>12</v>
      </c>
      <c r="C9" s="715"/>
      <c r="D9" s="287"/>
      <c r="E9" s="287"/>
    </row>
    <row r="10" spans="1:5" ht="15.75" x14ac:dyDescent="0.25">
      <c r="A10" s="9">
        <v>1</v>
      </c>
      <c r="B10" s="689" t="s">
        <v>13</v>
      </c>
      <c r="C10" s="689"/>
      <c r="D10" s="23">
        <v>47480459</v>
      </c>
      <c r="E10" s="23">
        <v>48718759</v>
      </c>
    </row>
    <row r="11" spans="1:5" ht="15.75" x14ac:dyDescent="0.25">
      <c r="A11" s="9">
        <v>2</v>
      </c>
      <c r="B11" s="689" t="s">
        <v>14</v>
      </c>
      <c r="C11" s="689"/>
      <c r="D11" s="23">
        <v>8364533</v>
      </c>
      <c r="E11" s="23">
        <v>8269018</v>
      </c>
    </row>
    <row r="12" spans="1:5" ht="15.75" x14ac:dyDescent="0.25">
      <c r="A12" s="9">
        <v>3</v>
      </c>
      <c r="B12" s="689" t="s">
        <v>15</v>
      </c>
      <c r="C12" s="689"/>
      <c r="D12" s="23">
        <v>61223460</v>
      </c>
      <c r="E12" s="23">
        <v>99341827</v>
      </c>
    </row>
    <row r="13" spans="1:5" ht="15.75" x14ac:dyDescent="0.25">
      <c r="A13" s="9" t="s">
        <v>16</v>
      </c>
      <c r="B13" s="689" t="s">
        <v>17</v>
      </c>
      <c r="C13" s="689"/>
      <c r="D13" s="23"/>
      <c r="E13" s="23"/>
    </row>
    <row r="14" spans="1:5" ht="15.75" x14ac:dyDescent="0.25">
      <c r="A14" s="9" t="s">
        <v>18</v>
      </c>
      <c r="B14" s="695" t="s">
        <v>19</v>
      </c>
      <c r="C14" s="695"/>
      <c r="D14" s="23">
        <f>D15+D17+D18+D19</f>
        <v>32067719</v>
      </c>
      <c r="E14" s="23">
        <f>E15+E17+E18+E19</f>
        <v>31133519</v>
      </c>
    </row>
    <row r="15" spans="1:5" ht="15.75" x14ac:dyDescent="0.25">
      <c r="A15" s="9" t="s">
        <v>20</v>
      </c>
      <c r="B15" s="696" t="s">
        <v>130</v>
      </c>
      <c r="C15" s="696"/>
      <c r="D15" s="23"/>
      <c r="E15" s="23"/>
    </row>
    <row r="16" spans="1:5" ht="15.75" x14ac:dyDescent="0.25">
      <c r="A16" s="9"/>
      <c r="B16" s="517"/>
      <c r="C16" s="517" t="s">
        <v>817</v>
      </c>
      <c r="D16" s="23"/>
      <c r="E16" s="23"/>
    </row>
    <row r="17" spans="1:5" ht="15.75" x14ac:dyDescent="0.25">
      <c r="A17" s="9" t="s">
        <v>21</v>
      </c>
      <c r="B17" s="696" t="s">
        <v>22</v>
      </c>
      <c r="C17" s="696"/>
      <c r="D17" s="23">
        <v>18646719</v>
      </c>
      <c r="E17" s="23">
        <v>17712519</v>
      </c>
    </row>
    <row r="18" spans="1:5" ht="15.75" x14ac:dyDescent="0.25">
      <c r="A18" s="9"/>
      <c r="B18" s="697"/>
      <c r="C18" s="698"/>
      <c r="D18" s="23"/>
      <c r="E18" s="23"/>
    </row>
    <row r="19" spans="1:5" ht="15.75" x14ac:dyDescent="0.25">
      <c r="A19" s="9" t="s">
        <v>23</v>
      </c>
      <c r="B19" s="699" t="s">
        <v>24</v>
      </c>
      <c r="C19" s="699"/>
      <c r="D19" s="23">
        <v>13421000</v>
      </c>
      <c r="E19" s="23">
        <v>13421000</v>
      </c>
    </row>
    <row r="20" spans="1:5" ht="15.75" x14ac:dyDescent="0.25">
      <c r="A20" s="9"/>
      <c r="B20" s="699" t="s">
        <v>132</v>
      </c>
      <c r="C20" s="902"/>
      <c r="D20" s="460"/>
      <c r="E20" s="460"/>
    </row>
    <row r="21" spans="1:5" ht="15.75" x14ac:dyDescent="0.25">
      <c r="A21" s="9" t="s">
        <v>818</v>
      </c>
      <c r="B21" s="689" t="s">
        <v>498</v>
      </c>
      <c r="C21" s="689"/>
      <c r="D21" s="23">
        <v>0</v>
      </c>
      <c r="E21" s="23">
        <v>0</v>
      </c>
    </row>
    <row r="22" spans="1:5" ht="15.75" x14ac:dyDescent="0.25">
      <c r="A22" s="9"/>
      <c r="B22" s="689" t="s">
        <v>499</v>
      </c>
      <c r="C22" s="689"/>
      <c r="D22" s="25">
        <v>405607614</v>
      </c>
      <c r="E22" s="25">
        <v>0</v>
      </c>
    </row>
    <row r="23" spans="1:5" ht="15.75" x14ac:dyDescent="0.25">
      <c r="A23" s="9" t="s">
        <v>1</v>
      </c>
      <c r="B23" s="516" t="s">
        <v>28</v>
      </c>
      <c r="C23" s="292"/>
      <c r="D23" s="23">
        <f>D10+D11+D12+D14+D20</f>
        <v>149136171</v>
      </c>
      <c r="E23" s="23">
        <f>E10+E11+E12+E14+E20</f>
        <v>187463123</v>
      </c>
    </row>
    <row r="24" spans="1:5" ht="15.75" x14ac:dyDescent="0.25">
      <c r="A24" s="9" t="s">
        <v>29</v>
      </c>
      <c r="B24" s="689" t="s">
        <v>30</v>
      </c>
      <c r="C24" s="689"/>
      <c r="D24" s="32">
        <v>0</v>
      </c>
      <c r="E24" s="32">
        <v>272748266</v>
      </c>
    </row>
    <row r="25" spans="1:5" ht="15.75" x14ac:dyDescent="0.25">
      <c r="A25" s="9" t="s">
        <v>31</v>
      </c>
      <c r="B25" s="689" t="s">
        <v>32</v>
      </c>
      <c r="C25" s="689"/>
      <c r="D25" s="32">
        <v>0</v>
      </c>
      <c r="E25" s="32">
        <v>242449142</v>
      </c>
    </row>
    <row r="26" spans="1:5" ht="15.75" x14ac:dyDescent="0.25">
      <c r="A26" s="9" t="s">
        <v>33</v>
      </c>
      <c r="B26" s="689" t="s">
        <v>34</v>
      </c>
      <c r="C26" s="689"/>
      <c r="D26" s="32"/>
      <c r="E26" s="32"/>
    </row>
    <row r="27" spans="1:5" ht="15.75" x14ac:dyDescent="0.25">
      <c r="A27" s="9" t="s">
        <v>35</v>
      </c>
      <c r="B27" s="689" t="s">
        <v>36</v>
      </c>
      <c r="C27" s="689"/>
      <c r="D27" s="32">
        <f>SUM(D24:D26)</f>
        <v>0</v>
      </c>
      <c r="E27" s="32">
        <f>SUM(E24:E26)</f>
        <v>515197408</v>
      </c>
    </row>
    <row r="28" spans="1:5" ht="15.75" x14ac:dyDescent="0.25">
      <c r="A28" s="9" t="s">
        <v>37</v>
      </c>
      <c r="B28" s="689"/>
      <c r="C28" s="689"/>
      <c r="D28" s="32"/>
      <c r="E28" s="32"/>
    </row>
    <row r="29" spans="1:5" ht="15.75" x14ac:dyDescent="0.25">
      <c r="A29" s="9" t="s">
        <v>38</v>
      </c>
      <c r="B29" s="691" t="s">
        <v>819</v>
      </c>
      <c r="C29" s="691"/>
      <c r="D29" s="34">
        <v>6152289</v>
      </c>
      <c r="E29" s="34">
        <v>6159578</v>
      </c>
    </row>
    <row r="30" spans="1:5" ht="15.75" x14ac:dyDescent="0.25">
      <c r="A30" s="9" t="s">
        <v>39</v>
      </c>
      <c r="B30" s="691" t="s">
        <v>920</v>
      </c>
      <c r="C30" s="691"/>
      <c r="D30" s="35"/>
      <c r="E30" s="35">
        <v>977540</v>
      </c>
    </row>
    <row r="31" spans="1:5" ht="19.5" x14ac:dyDescent="0.3">
      <c r="A31" s="36" t="s">
        <v>40</v>
      </c>
      <c r="B31" s="685" t="s">
        <v>300</v>
      </c>
      <c r="C31" s="685"/>
      <c r="D31" s="66">
        <f>+D23+D27+D28+D29+D30+D22</f>
        <v>560896074</v>
      </c>
      <c r="E31" s="66">
        <f>+E23+E27+E28+E29+E30+E22</f>
        <v>709797649</v>
      </c>
    </row>
    <row r="32" spans="1:5" ht="15.75" x14ac:dyDescent="0.25">
      <c r="A32" s="40"/>
      <c r="B32" s="903"/>
      <c r="C32" s="903"/>
      <c r="D32" s="332"/>
      <c r="E32" s="332"/>
    </row>
    <row r="33" spans="1:5" ht="15.75" x14ac:dyDescent="0.25">
      <c r="A33" s="9"/>
      <c r="B33" s="758" t="s">
        <v>42</v>
      </c>
      <c r="C33" s="758"/>
      <c r="D33" s="25"/>
      <c r="E33" s="25"/>
    </row>
    <row r="34" spans="1:5" ht="15.75" x14ac:dyDescent="0.25">
      <c r="A34" s="9" t="s">
        <v>43</v>
      </c>
      <c r="B34" s="683" t="s">
        <v>44</v>
      </c>
      <c r="C34" s="683"/>
      <c r="D34" s="48">
        <v>15019764</v>
      </c>
      <c r="E34" s="48">
        <v>15083831</v>
      </c>
    </row>
    <row r="35" spans="1:5" ht="15.75" x14ac:dyDescent="0.25">
      <c r="A35" s="9" t="s">
        <v>45</v>
      </c>
      <c r="B35" s="683" t="s">
        <v>46</v>
      </c>
      <c r="C35" s="683"/>
      <c r="D35" s="48">
        <f>SUM(D36:D38)</f>
        <v>44385000</v>
      </c>
      <c r="E35" s="48">
        <f>SUM(E36:E38)</f>
        <v>38885000</v>
      </c>
    </row>
    <row r="36" spans="1:5" ht="15.75" x14ac:dyDescent="0.25">
      <c r="A36" s="9"/>
      <c r="B36" s="51" t="s">
        <v>47</v>
      </c>
      <c r="C36" s="52" t="s">
        <v>48</v>
      </c>
      <c r="D36" s="48">
        <v>40500000</v>
      </c>
      <c r="E36" s="48">
        <v>38300000</v>
      </c>
    </row>
    <row r="37" spans="1:5" ht="15.75" x14ac:dyDescent="0.25">
      <c r="A37" s="9"/>
      <c r="B37" s="51" t="s">
        <v>49</v>
      </c>
      <c r="C37" s="52" t="s">
        <v>50</v>
      </c>
      <c r="D37" s="48">
        <v>3300000</v>
      </c>
      <c r="E37" s="48">
        <v>0</v>
      </c>
    </row>
    <row r="38" spans="1:5" ht="15.75" x14ac:dyDescent="0.25">
      <c r="A38" s="9"/>
      <c r="B38" s="51" t="s">
        <v>51</v>
      </c>
      <c r="C38" s="52" t="s">
        <v>52</v>
      </c>
      <c r="D38" s="48">
        <v>585000</v>
      </c>
      <c r="E38" s="48">
        <v>585000</v>
      </c>
    </row>
    <row r="39" spans="1:5" ht="15.75" x14ac:dyDescent="0.25">
      <c r="A39" s="9" t="s">
        <v>53</v>
      </c>
      <c r="B39" s="683" t="s">
        <v>54</v>
      </c>
      <c r="C39" s="683"/>
      <c r="D39" s="53">
        <f>SUM(D40:D42)</f>
        <v>153807216</v>
      </c>
      <c r="E39" s="53">
        <f>SUM(E40:E42)</f>
        <v>153807216</v>
      </c>
    </row>
    <row r="40" spans="1:5" ht="15.75" x14ac:dyDescent="0.25">
      <c r="A40" s="9"/>
      <c r="B40" s="55" t="s">
        <v>55</v>
      </c>
      <c r="C40" s="515" t="s">
        <v>56</v>
      </c>
      <c r="D40" s="53">
        <v>153807216</v>
      </c>
      <c r="E40" s="53">
        <v>153807216</v>
      </c>
    </row>
    <row r="41" spans="1:5" ht="15.75" x14ac:dyDescent="0.25">
      <c r="A41" s="9"/>
      <c r="B41" s="55" t="s">
        <v>57</v>
      </c>
      <c r="C41" s="515" t="s">
        <v>58</v>
      </c>
      <c r="D41" s="53">
        <v>0</v>
      </c>
      <c r="E41" s="53">
        <v>0</v>
      </c>
    </row>
    <row r="42" spans="1:5" ht="15.75" x14ac:dyDescent="0.25">
      <c r="A42" s="9"/>
      <c r="B42" s="55" t="s">
        <v>59</v>
      </c>
      <c r="C42" s="515" t="s">
        <v>60</v>
      </c>
      <c r="D42" s="53">
        <v>0</v>
      </c>
      <c r="E42" s="53">
        <v>0</v>
      </c>
    </row>
    <row r="43" spans="1:5" ht="15.75" x14ac:dyDescent="0.25">
      <c r="A43" s="9" t="s">
        <v>16</v>
      </c>
      <c r="B43" s="683" t="s">
        <v>61</v>
      </c>
      <c r="C43" s="683"/>
      <c r="D43" s="49">
        <f>D45+D44+D46</f>
        <v>11232078</v>
      </c>
      <c r="E43" s="49">
        <f>E45+E44+E46</f>
        <v>28955571</v>
      </c>
    </row>
    <row r="44" spans="1:5" ht="15.75" x14ac:dyDescent="0.25">
      <c r="A44" s="9"/>
      <c r="B44" s="55" t="s">
        <v>62</v>
      </c>
      <c r="C44" s="515" t="s">
        <v>63</v>
      </c>
      <c r="D44" s="53">
        <v>10232078</v>
      </c>
      <c r="E44" s="53">
        <v>27515666</v>
      </c>
    </row>
    <row r="45" spans="1:5" ht="15.75" x14ac:dyDescent="0.25">
      <c r="A45" s="9"/>
      <c r="B45" s="55" t="s">
        <v>64</v>
      </c>
      <c r="C45" s="515" t="s">
        <v>65</v>
      </c>
      <c r="D45" s="53"/>
      <c r="E45" s="53">
        <v>23905</v>
      </c>
    </row>
    <row r="46" spans="1:5" ht="15.75" x14ac:dyDescent="0.25">
      <c r="A46" s="9"/>
      <c r="B46" s="55" t="s">
        <v>66</v>
      </c>
      <c r="C46" s="515" t="s">
        <v>67</v>
      </c>
      <c r="D46" s="53">
        <v>1000000</v>
      </c>
      <c r="E46" s="53">
        <v>1416000</v>
      </c>
    </row>
    <row r="47" spans="1:5" ht="15.75" x14ac:dyDescent="0.25">
      <c r="A47" s="9"/>
      <c r="B47" s="55" t="s">
        <v>68</v>
      </c>
      <c r="C47" s="515" t="s">
        <v>69</v>
      </c>
      <c r="D47" s="53"/>
      <c r="E47" s="53"/>
    </row>
    <row r="48" spans="1:5" ht="15.75" x14ac:dyDescent="0.25">
      <c r="A48" s="9"/>
      <c r="B48" s="55"/>
      <c r="C48" s="515"/>
      <c r="D48" s="53"/>
      <c r="E48" s="53"/>
    </row>
    <row r="49" spans="1:5" ht="15.75" x14ac:dyDescent="0.25">
      <c r="A49" s="26" t="s">
        <v>1</v>
      </c>
      <c r="B49" s="687" t="s">
        <v>70</v>
      </c>
      <c r="C49" s="687"/>
      <c r="D49" s="60">
        <f>D34+D35+D39+D43</f>
        <v>224444058</v>
      </c>
      <c r="E49" s="60">
        <f>E34+E35+E39+E43</f>
        <v>236731618</v>
      </c>
    </row>
    <row r="50" spans="1:5" ht="15.75" x14ac:dyDescent="0.25">
      <c r="A50" s="9" t="s">
        <v>18</v>
      </c>
      <c r="B50" s="683" t="s">
        <v>71</v>
      </c>
      <c r="C50" s="683"/>
      <c r="D50" s="49">
        <f>D51+D52</f>
        <v>7867898</v>
      </c>
      <c r="E50" s="49">
        <f>E51+E52</f>
        <v>7867898</v>
      </c>
    </row>
    <row r="51" spans="1:5" ht="15.75" x14ac:dyDescent="0.25">
      <c r="A51" s="9"/>
      <c r="B51" s="55" t="s">
        <v>72</v>
      </c>
      <c r="C51" s="515" t="s">
        <v>73</v>
      </c>
      <c r="D51" s="53">
        <v>3518600</v>
      </c>
      <c r="E51" s="53">
        <v>3518600</v>
      </c>
    </row>
    <row r="52" spans="1:5" ht="15.75" x14ac:dyDescent="0.25">
      <c r="A52" s="9"/>
      <c r="B52" s="55" t="s">
        <v>74</v>
      </c>
      <c r="C52" s="515" t="s">
        <v>75</v>
      </c>
      <c r="D52" s="53">
        <v>4349298</v>
      </c>
      <c r="E52" s="53">
        <v>4349298</v>
      </c>
    </row>
    <row r="53" spans="1:5" ht="15.75" x14ac:dyDescent="0.25">
      <c r="A53" s="9" t="s">
        <v>29</v>
      </c>
      <c r="B53" s="683" t="s">
        <v>76</v>
      </c>
      <c r="C53" s="683"/>
      <c r="D53" s="53">
        <f>SUM(D54:D55)</f>
        <v>0</v>
      </c>
      <c r="E53" s="53">
        <f>SUM(E54:E55)</f>
        <v>0</v>
      </c>
    </row>
    <row r="54" spans="1:5" ht="15.75" x14ac:dyDescent="0.25">
      <c r="A54" s="9"/>
      <c r="B54" s="55" t="s">
        <v>77</v>
      </c>
      <c r="C54" s="515" t="s">
        <v>78</v>
      </c>
      <c r="D54" s="53"/>
      <c r="E54" s="53"/>
    </row>
    <row r="55" spans="1:5" ht="15.75" x14ac:dyDescent="0.25">
      <c r="A55" s="9"/>
      <c r="B55" s="55" t="s">
        <v>79</v>
      </c>
      <c r="C55" s="515" t="s">
        <v>80</v>
      </c>
      <c r="D55" s="53">
        <v>0</v>
      </c>
      <c r="E55" s="53">
        <v>0</v>
      </c>
    </row>
    <row r="56" spans="1:5" ht="15.75" x14ac:dyDescent="0.25">
      <c r="A56" s="9" t="s">
        <v>31</v>
      </c>
      <c r="B56" s="683" t="s">
        <v>81</v>
      </c>
      <c r="C56" s="683"/>
      <c r="D56" s="53">
        <f>SUM(D57:D59)</f>
        <v>32488107</v>
      </c>
      <c r="E56" s="53">
        <f>SUM(E57:E59)</f>
        <v>165026453</v>
      </c>
    </row>
    <row r="57" spans="1:5" ht="15.75" x14ac:dyDescent="0.25">
      <c r="A57" s="9"/>
      <c r="B57" s="55" t="s">
        <v>82</v>
      </c>
      <c r="C57" s="515" t="s">
        <v>83</v>
      </c>
      <c r="D57" s="53">
        <v>32488107</v>
      </c>
      <c r="E57" s="53">
        <v>165026453</v>
      </c>
    </row>
    <row r="58" spans="1:5" ht="15.75" x14ac:dyDescent="0.25">
      <c r="A58" s="9"/>
      <c r="B58" s="55" t="s">
        <v>84</v>
      </c>
      <c r="C58" s="515" t="s">
        <v>85</v>
      </c>
      <c r="D58" s="53">
        <v>0</v>
      </c>
      <c r="E58" s="53">
        <v>0</v>
      </c>
    </row>
    <row r="59" spans="1:5" ht="15.75" x14ac:dyDescent="0.25">
      <c r="A59" s="9"/>
      <c r="B59" s="55" t="s">
        <v>86</v>
      </c>
      <c r="C59" s="515" t="s">
        <v>87</v>
      </c>
      <c r="D59" s="53"/>
      <c r="E59" s="53"/>
    </row>
    <row r="60" spans="1:5" ht="15.75" x14ac:dyDescent="0.25">
      <c r="A60" s="26" t="s">
        <v>35</v>
      </c>
      <c r="B60" s="687" t="s">
        <v>88</v>
      </c>
      <c r="C60" s="687"/>
      <c r="D60" s="53">
        <f>+D50+D53+D56</f>
        <v>40356005</v>
      </c>
      <c r="E60" s="53">
        <f>+E50+E53+E56</f>
        <v>172894351</v>
      </c>
    </row>
    <row r="61" spans="1:5" ht="15.75" x14ac:dyDescent="0.25">
      <c r="A61" s="26" t="s">
        <v>37</v>
      </c>
      <c r="B61" s="687" t="s">
        <v>89</v>
      </c>
      <c r="C61" s="687"/>
      <c r="D61" s="60"/>
      <c r="E61" s="53">
        <v>1000000</v>
      </c>
    </row>
    <row r="62" spans="1:5" ht="15.75" x14ac:dyDescent="0.25">
      <c r="A62" s="26" t="s">
        <v>38</v>
      </c>
      <c r="B62" s="687" t="s">
        <v>90</v>
      </c>
      <c r="C62" s="687"/>
      <c r="D62" s="60"/>
      <c r="E62" s="60"/>
    </row>
    <row r="63" spans="1:5" ht="18.75" x14ac:dyDescent="0.3">
      <c r="A63" s="36" t="s">
        <v>91</v>
      </c>
      <c r="B63" s="680" t="s">
        <v>92</v>
      </c>
      <c r="C63" s="680"/>
      <c r="D63" s="334">
        <f>D49+D60</f>
        <v>264800063</v>
      </c>
      <c r="E63" s="334">
        <f>E49+E60+E61</f>
        <v>410625969</v>
      </c>
    </row>
    <row r="64" spans="1:5" ht="18.75" x14ac:dyDescent="0.3">
      <c r="A64" s="36"/>
      <c r="B64" s="680" t="s">
        <v>93</v>
      </c>
      <c r="C64" s="680"/>
      <c r="D64" s="66">
        <f>+D31-D63</f>
        <v>296096011</v>
      </c>
      <c r="E64" s="66">
        <f>+E31-E63</f>
        <v>299171680</v>
      </c>
    </row>
    <row r="65" spans="1:5" ht="18.75" x14ac:dyDescent="0.3">
      <c r="A65" s="36"/>
      <c r="B65" s="683" t="s">
        <v>94</v>
      </c>
      <c r="C65" s="683"/>
      <c r="D65" s="66"/>
      <c r="E65" s="66"/>
    </row>
    <row r="66" spans="1:5" ht="15.75" x14ac:dyDescent="0.25">
      <c r="A66" s="26" t="s">
        <v>39</v>
      </c>
      <c r="B66" s="683" t="s">
        <v>95</v>
      </c>
      <c r="C66" s="683"/>
      <c r="D66" s="33">
        <f>SUM(D67:D68)</f>
        <v>405607624</v>
      </c>
      <c r="E66" s="33">
        <f>SUM(E67:E68)</f>
        <v>405607614</v>
      </c>
    </row>
    <row r="67" spans="1:5" ht="18.75" x14ac:dyDescent="0.25">
      <c r="A67" s="36"/>
      <c r="B67" s="68" t="s">
        <v>43</v>
      </c>
      <c r="C67" s="515" t="s">
        <v>96</v>
      </c>
      <c r="D67" s="25">
        <v>23402881</v>
      </c>
      <c r="E67" s="25">
        <v>23402871</v>
      </c>
    </row>
    <row r="68" spans="1:5" ht="18.75" x14ac:dyDescent="0.3">
      <c r="A68" s="36"/>
      <c r="B68" s="68" t="s">
        <v>45</v>
      </c>
      <c r="C68" s="515" t="s">
        <v>97</v>
      </c>
      <c r="D68" s="461">
        <v>382204743</v>
      </c>
      <c r="E68" s="461">
        <v>382204743</v>
      </c>
    </row>
    <row r="69" spans="1:5" ht="18.75" x14ac:dyDescent="0.3">
      <c r="A69" s="36" t="s">
        <v>98</v>
      </c>
      <c r="B69" s="685" t="s">
        <v>99</v>
      </c>
      <c r="C69" s="724"/>
      <c r="D69" s="66">
        <f>D66</f>
        <v>405607624</v>
      </c>
      <c r="E69" s="66">
        <f>E66</f>
        <v>405607614</v>
      </c>
    </row>
    <row r="70" spans="1:5" ht="18.75" x14ac:dyDescent="0.3">
      <c r="A70" s="9" t="s">
        <v>100</v>
      </c>
      <c r="B70" s="683" t="s">
        <v>101</v>
      </c>
      <c r="C70" s="683"/>
      <c r="D70" s="462"/>
      <c r="E70" s="462"/>
    </row>
    <row r="71" spans="1:5" ht="18.75" x14ac:dyDescent="0.3">
      <c r="A71" s="9" t="s">
        <v>102</v>
      </c>
      <c r="B71" s="683" t="s">
        <v>103</v>
      </c>
      <c r="C71" s="683"/>
      <c r="D71" s="66">
        <f>SUM(D72:D75)</f>
        <v>0</v>
      </c>
      <c r="E71" s="66">
        <f>SUM(E72:E75)</f>
        <v>0</v>
      </c>
    </row>
    <row r="72" spans="1:5" ht="18.75" x14ac:dyDescent="0.3">
      <c r="A72" s="9"/>
      <c r="B72" s="55" t="s">
        <v>43</v>
      </c>
      <c r="C72" s="515" t="s">
        <v>302</v>
      </c>
      <c r="D72" s="74"/>
      <c r="E72" s="74"/>
    </row>
    <row r="73" spans="1:5" ht="18.75" x14ac:dyDescent="0.3">
      <c r="A73" s="9"/>
      <c r="B73" s="55" t="s">
        <v>45</v>
      </c>
      <c r="C73" s="515" t="s">
        <v>105</v>
      </c>
      <c r="D73" s="66"/>
      <c r="E73" s="66"/>
    </row>
    <row r="74" spans="1:5" ht="18.75" x14ac:dyDescent="0.3">
      <c r="A74" s="9"/>
      <c r="B74" s="55" t="s">
        <v>53</v>
      </c>
      <c r="C74" s="515" t="s">
        <v>106</v>
      </c>
      <c r="D74" s="74"/>
      <c r="E74" s="74"/>
    </row>
    <row r="75" spans="1:5" ht="18.75" x14ac:dyDescent="0.3">
      <c r="A75" s="9"/>
      <c r="B75" s="55" t="s">
        <v>16</v>
      </c>
      <c r="C75" s="515" t="s">
        <v>107</v>
      </c>
      <c r="D75" s="74"/>
      <c r="E75" s="74"/>
    </row>
    <row r="76" spans="1:5" ht="18.75" x14ac:dyDescent="0.3">
      <c r="A76" s="9"/>
      <c r="B76" s="55"/>
      <c r="C76" s="678" t="s">
        <v>820</v>
      </c>
      <c r="D76" s="679"/>
      <c r="E76" s="74">
        <v>7289</v>
      </c>
    </row>
    <row r="77" spans="1:5" ht="19.5" x14ac:dyDescent="0.3">
      <c r="A77" s="36" t="s">
        <v>108</v>
      </c>
      <c r="B77" s="684" t="s">
        <v>109</v>
      </c>
      <c r="C77" s="684"/>
      <c r="D77" s="66">
        <f>+D70+D71</f>
        <v>0</v>
      </c>
      <c r="E77" s="66">
        <f>+E70+E71</f>
        <v>0</v>
      </c>
    </row>
    <row r="78" spans="1:5" ht="18.75" x14ac:dyDescent="0.3">
      <c r="A78" s="36" t="s">
        <v>110</v>
      </c>
      <c r="B78" s="680" t="s">
        <v>111</v>
      </c>
      <c r="C78" s="680"/>
      <c r="D78" s="66">
        <f>+D69+D77</f>
        <v>405607624</v>
      </c>
      <c r="E78" s="66">
        <f>+E69+E77+E83+E76</f>
        <v>405614903</v>
      </c>
    </row>
    <row r="79" spans="1:5" ht="18.75" x14ac:dyDescent="0.3">
      <c r="A79" s="9" t="s">
        <v>112</v>
      </c>
      <c r="B79" s="683" t="s">
        <v>113</v>
      </c>
      <c r="C79" s="683"/>
      <c r="D79" s="66">
        <f>50313977+59197636</f>
        <v>109511613</v>
      </c>
      <c r="E79" s="66">
        <v>106443223</v>
      </c>
    </row>
    <row r="80" spans="1:5" ht="18.75" x14ac:dyDescent="0.3">
      <c r="A80" s="9" t="s">
        <v>114</v>
      </c>
      <c r="B80" s="683" t="s">
        <v>115</v>
      </c>
      <c r="C80" s="683"/>
      <c r="D80" s="74">
        <v>0</v>
      </c>
      <c r="E80" s="74">
        <v>0</v>
      </c>
    </row>
    <row r="81" spans="1:5" ht="18.75" x14ac:dyDescent="0.3">
      <c r="A81" s="9"/>
      <c r="B81" s="55" t="s">
        <v>43</v>
      </c>
      <c r="C81" s="515" t="s">
        <v>304</v>
      </c>
      <c r="D81" s="74"/>
      <c r="E81" s="74"/>
    </row>
    <row r="82" spans="1:5" ht="18.75" x14ac:dyDescent="0.3">
      <c r="A82" s="9"/>
      <c r="B82" s="55" t="s">
        <v>45</v>
      </c>
      <c r="C82" s="515" t="s">
        <v>305</v>
      </c>
      <c r="D82" s="74"/>
      <c r="E82" s="74"/>
    </row>
    <row r="83" spans="1:5" ht="18.75" x14ac:dyDescent="0.3">
      <c r="A83" s="9" t="s">
        <v>119</v>
      </c>
      <c r="B83" s="678" t="s">
        <v>820</v>
      </c>
      <c r="C83" s="679"/>
      <c r="D83" s="74"/>
      <c r="E83" s="74"/>
    </row>
    <row r="84" spans="1:5" ht="18.75" x14ac:dyDescent="0.3">
      <c r="A84" s="36" t="s">
        <v>120</v>
      </c>
      <c r="B84" s="680" t="s">
        <v>306</v>
      </c>
      <c r="C84" s="680"/>
      <c r="D84" s="66">
        <f>D79+D80</f>
        <v>109511613</v>
      </c>
      <c r="E84" s="66">
        <f>E79+E80</f>
        <v>106443223</v>
      </c>
    </row>
    <row r="85" spans="1:5" ht="18.75" x14ac:dyDescent="0.3">
      <c r="A85" s="36" t="s">
        <v>122</v>
      </c>
      <c r="B85" s="680" t="s">
        <v>123</v>
      </c>
      <c r="C85" s="680"/>
      <c r="D85" s="336">
        <f>+D31+D84</f>
        <v>670407687</v>
      </c>
      <c r="E85" s="336">
        <f>+E31+E84</f>
        <v>816240872</v>
      </c>
    </row>
    <row r="86" spans="1:5" ht="19.5" thickBot="1" x14ac:dyDescent="0.35">
      <c r="A86" s="303" t="s">
        <v>124</v>
      </c>
      <c r="B86" s="304" t="s">
        <v>125</v>
      </c>
      <c r="C86" s="304"/>
      <c r="D86" s="305">
        <f>D63+D78</f>
        <v>670407687</v>
      </c>
      <c r="E86" s="305">
        <f>E63+E78</f>
        <v>816240872</v>
      </c>
    </row>
    <row r="87" spans="1:5" ht="15.75" x14ac:dyDescent="0.25">
      <c r="A87" s="2"/>
      <c r="B87" s="85"/>
      <c r="C87" s="85"/>
    </row>
    <row r="88" spans="1:5" ht="15.75" x14ac:dyDescent="0.25">
      <c r="A88" s="2"/>
      <c r="B88" s="85"/>
      <c r="C88" s="85"/>
      <c r="D88" s="87"/>
      <c r="E88" s="87"/>
    </row>
  </sheetData>
  <mergeCells count="56">
    <mergeCell ref="A1:C2"/>
    <mergeCell ref="A3:C3"/>
    <mergeCell ref="B12:C12"/>
    <mergeCell ref="A6:A8"/>
    <mergeCell ref="B6:C8"/>
    <mergeCell ref="B9:C9"/>
    <mergeCell ref="B10:C10"/>
    <mergeCell ref="B11:C11"/>
    <mergeCell ref="B19:C19"/>
    <mergeCell ref="B20:C20"/>
    <mergeCell ref="B21:C21"/>
    <mergeCell ref="B24:C24"/>
    <mergeCell ref="D6:D7"/>
    <mergeCell ref="B13:C13"/>
    <mergeCell ref="B14:C14"/>
    <mergeCell ref="B15:C15"/>
    <mergeCell ref="B17:C17"/>
    <mergeCell ref="B18:C18"/>
    <mergeCell ref="B70:C70"/>
    <mergeCell ref="B78:C78"/>
    <mergeCell ref="B83:C83"/>
    <mergeCell ref="A4:C4"/>
    <mergeCell ref="B22:C22"/>
    <mergeCell ref="B35:C35"/>
    <mergeCell ref="B39:C39"/>
    <mergeCell ref="B43:C43"/>
    <mergeCell ref="B69:C69"/>
    <mergeCell ref="B77:C77"/>
    <mergeCell ref="B60:C60"/>
    <mergeCell ref="B61:C61"/>
    <mergeCell ref="B31:C31"/>
    <mergeCell ref="B32:C32"/>
    <mergeCell ref="B33:C33"/>
    <mergeCell ref="B34:C34"/>
    <mergeCell ref="E6:E7"/>
    <mergeCell ref="B50:C50"/>
    <mergeCell ref="B53:C53"/>
    <mergeCell ref="B56:C56"/>
    <mergeCell ref="B66:C66"/>
    <mergeCell ref="B65:C65"/>
    <mergeCell ref="B62:C62"/>
    <mergeCell ref="B63:C63"/>
    <mergeCell ref="B64:C64"/>
    <mergeCell ref="B49:C49"/>
    <mergeCell ref="B26:C26"/>
    <mergeCell ref="B27:C27"/>
    <mergeCell ref="B28:C28"/>
    <mergeCell ref="B29:C29"/>
    <mergeCell ref="B30:C30"/>
    <mergeCell ref="B25:C25"/>
    <mergeCell ref="B85:C85"/>
    <mergeCell ref="B71:C71"/>
    <mergeCell ref="C76:D76"/>
    <mergeCell ref="B79:C79"/>
    <mergeCell ref="B80:C80"/>
    <mergeCell ref="B84:C8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2060"/>
  </sheetPr>
  <dimension ref="A1:Q70"/>
  <sheetViews>
    <sheetView workbookViewId="0">
      <selection activeCell="J33" sqref="J33"/>
    </sheetView>
  </sheetViews>
  <sheetFormatPr defaultColWidth="9.140625" defaultRowHeight="15.75" x14ac:dyDescent="0.25"/>
  <cols>
    <col min="1" max="1" width="38.42578125" style="346" customWidth="1"/>
    <col min="2" max="2" width="10.42578125" style="346" customWidth="1"/>
    <col min="3" max="5" width="9.7109375" style="346" customWidth="1"/>
    <col min="6" max="6" width="10.28515625" style="346" customWidth="1"/>
    <col min="7" max="7" width="10.140625" style="346" customWidth="1"/>
    <col min="8" max="8" width="9.140625" style="346" customWidth="1"/>
    <col min="9" max="9" width="8.85546875" style="346" bestFit="1" customWidth="1"/>
    <col min="10" max="10" width="12.28515625" style="346" bestFit="1" customWidth="1"/>
    <col min="11" max="11" width="8.140625" style="346" customWidth="1"/>
    <col min="12" max="12" width="8.5703125" style="346" bestFit="1" customWidth="1"/>
    <col min="13" max="13" width="8.28515625" style="346" bestFit="1" customWidth="1"/>
    <col min="14" max="14" width="9.42578125" style="346" bestFit="1" customWidth="1"/>
    <col min="15" max="15" width="9.42578125" style="337" bestFit="1" customWidth="1"/>
    <col min="16" max="16384" width="9.140625" style="338"/>
  </cols>
  <sheetData>
    <row r="1" spans="1:15" x14ac:dyDescent="0.25">
      <c r="A1" s="1006" t="s">
        <v>824</v>
      </c>
      <c r="B1" s="1006"/>
      <c r="C1" s="1006"/>
      <c r="D1" s="1006"/>
      <c r="E1" s="1006"/>
      <c r="F1" s="1006"/>
      <c r="G1" s="1006"/>
      <c r="H1" s="1006"/>
      <c r="I1" s="1006"/>
      <c r="J1" s="1006"/>
      <c r="K1" s="1006"/>
      <c r="L1" s="1006"/>
      <c r="M1" s="1006"/>
      <c r="N1" s="1006"/>
    </row>
    <row r="2" spans="1:15" x14ac:dyDescent="0.25">
      <c r="A2" s="1006" t="s">
        <v>390</v>
      </c>
      <c r="B2" s="1006"/>
      <c r="C2" s="1006"/>
      <c r="D2" s="1006"/>
      <c r="E2" s="1006"/>
      <c r="F2" s="1006"/>
      <c r="G2" s="1006"/>
      <c r="H2" s="1006"/>
      <c r="I2" s="1006"/>
      <c r="J2" s="1006"/>
      <c r="K2" s="1006"/>
      <c r="L2" s="1006"/>
      <c r="M2" s="1006"/>
      <c r="N2" s="1006"/>
    </row>
    <row r="3" spans="1:15" ht="11.25" x14ac:dyDescent="0.25">
      <c r="A3" s="1007" t="s">
        <v>391</v>
      </c>
      <c r="B3" s="1007"/>
      <c r="C3" s="1007"/>
      <c r="D3" s="1007"/>
      <c r="E3" s="1007"/>
      <c r="F3" s="1007"/>
      <c r="G3" s="1007"/>
      <c r="H3" s="1007"/>
      <c r="I3" s="1007"/>
      <c r="J3" s="1007"/>
      <c r="K3" s="1007"/>
      <c r="L3" s="1007"/>
      <c r="M3" s="1007"/>
      <c r="N3" s="1007"/>
    </row>
    <row r="4" spans="1:15" ht="11.25" x14ac:dyDescent="0.25">
      <c r="A4" s="1007"/>
      <c r="B4" s="1007"/>
      <c r="C4" s="1007"/>
      <c r="D4" s="1007"/>
      <c r="E4" s="1007"/>
      <c r="F4" s="1007"/>
      <c r="G4" s="1007"/>
      <c r="H4" s="1007"/>
      <c r="I4" s="1007"/>
      <c r="J4" s="1007"/>
      <c r="K4" s="1007"/>
      <c r="L4" s="1007"/>
      <c r="M4" s="1007"/>
      <c r="N4" s="1007"/>
    </row>
    <row r="5" spans="1:15" x14ac:dyDescent="0.25">
      <c r="A5" s="315"/>
      <c r="B5" s="315"/>
      <c r="C5" s="315"/>
      <c r="D5" s="315"/>
      <c r="E5" s="315"/>
      <c r="F5" s="315"/>
      <c r="G5" s="315"/>
      <c r="H5" s="315"/>
      <c r="I5" s="315"/>
      <c r="J5" s="315"/>
      <c r="K5" s="315"/>
      <c r="L5" s="315"/>
      <c r="M5" s="1007" t="s">
        <v>355</v>
      </c>
      <c r="N5" s="1007"/>
    </row>
    <row r="6" spans="1:15" x14ac:dyDescent="0.25">
      <c r="A6" s="316" t="s">
        <v>7</v>
      </c>
      <c r="B6" s="317" t="s">
        <v>356</v>
      </c>
      <c r="C6" s="317" t="s">
        <v>357</v>
      </c>
      <c r="D6" s="317" t="s">
        <v>358</v>
      </c>
      <c r="E6" s="317" t="s">
        <v>359</v>
      </c>
      <c r="F6" s="317" t="s">
        <v>360</v>
      </c>
      <c r="G6" s="317" t="s">
        <v>361</v>
      </c>
      <c r="H6" s="317" t="s">
        <v>362</v>
      </c>
      <c r="I6" s="317" t="s">
        <v>363</v>
      </c>
      <c r="J6" s="317" t="s">
        <v>364</v>
      </c>
      <c r="K6" s="317" t="s">
        <v>365</v>
      </c>
      <c r="L6" s="317" t="s">
        <v>366</v>
      </c>
      <c r="M6" s="317" t="s">
        <v>367</v>
      </c>
      <c r="N6" s="316" t="s">
        <v>368</v>
      </c>
    </row>
    <row r="7" spans="1:15" ht="12.75" x14ac:dyDescent="0.25">
      <c r="A7" s="318" t="s">
        <v>13</v>
      </c>
      <c r="B7" s="319">
        <v>3956</v>
      </c>
      <c r="C7" s="319">
        <v>3956</v>
      </c>
      <c r="D7" s="319">
        <v>3956</v>
      </c>
      <c r="E7" s="319">
        <v>3956</v>
      </c>
      <c r="F7" s="319">
        <v>3957</v>
      </c>
      <c r="G7" s="319">
        <v>3957</v>
      </c>
      <c r="H7" s="319">
        <v>4163</v>
      </c>
      <c r="I7" s="319">
        <v>4163</v>
      </c>
      <c r="J7" s="319">
        <v>4164</v>
      </c>
      <c r="K7" s="319">
        <v>4164</v>
      </c>
      <c r="L7" s="319">
        <v>4164</v>
      </c>
      <c r="M7" s="319">
        <v>4163</v>
      </c>
      <c r="N7" s="321">
        <f>B7+C7+D7+E7+F7+G7+H7+I7+J7+K7+M7+L7</f>
        <v>48719</v>
      </c>
      <c r="O7" s="339">
        <v>48719</v>
      </c>
    </row>
    <row r="8" spans="1:15" ht="12.75" x14ac:dyDescent="0.25">
      <c r="A8" s="318" t="s">
        <v>369</v>
      </c>
      <c r="B8" s="319">
        <v>697</v>
      </c>
      <c r="C8" s="319">
        <v>697</v>
      </c>
      <c r="D8" s="319">
        <v>697</v>
      </c>
      <c r="E8" s="319">
        <v>697</v>
      </c>
      <c r="F8" s="319">
        <v>697</v>
      </c>
      <c r="G8" s="319">
        <v>697</v>
      </c>
      <c r="H8" s="319">
        <v>681</v>
      </c>
      <c r="I8" s="319">
        <v>681</v>
      </c>
      <c r="J8" s="319">
        <v>682</v>
      </c>
      <c r="K8" s="319">
        <v>681</v>
      </c>
      <c r="L8" s="319">
        <v>681</v>
      </c>
      <c r="M8" s="319">
        <v>681</v>
      </c>
      <c r="N8" s="321">
        <f t="shared" ref="N8:N17" si="0">B8+C8+D8+E8+F8+G8+H8+I8+J8+K8+M8+L8</f>
        <v>8269</v>
      </c>
      <c r="O8" s="339">
        <v>8269</v>
      </c>
    </row>
    <row r="9" spans="1:15" ht="12.75" x14ac:dyDescent="0.25">
      <c r="A9" s="318" t="s">
        <v>15</v>
      </c>
      <c r="B9" s="319">
        <v>5101</v>
      </c>
      <c r="C9" s="319">
        <v>5102</v>
      </c>
      <c r="D9" s="319">
        <v>5102</v>
      </c>
      <c r="E9" s="319">
        <v>5102</v>
      </c>
      <c r="F9" s="319">
        <v>5102</v>
      </c>
      <c r="G9" s="319">
        <v>5102</v>
      </c>
      <c r="H9" s="319">
        <v>11455</v>
      </c>
      <c r="I9" s="319">
        <v>11455</v>
      </c>
      <c r="J9" s="319">
        <v>11456</v>
      </c>
      <c r="K9" s="319">
        <v>11455</v>
      </c>
      <c r="L9" s="319">
        <v>11455</v>
      </c>
      <c r="M9" s="319">
        <v>11455</v>
      </c>
      <c r="N9" s="321">
        <f t="shared" si="0"/>
        <v>99342</v>
      </c>
      <c r="O9" s="339">
        <v>99342</v>
      </c>
    </row>
    <row r="10" spans="1:15" ht="12.75" x14ac:dyDescent="0.25">
      <c r="A10" s="318" t="s">
        <v>370</v>
      </c>
      <c r="B10" s="319">
        <v>1554</v>
      </c>
      <c r="C10" s="319">
        <v>1554</v>
      </c>
      <c r="D10" s="319">
        <v>1554</v>
      </c>
      <c r="E10" s="319">
        <v>1554</v>
      </c>
      <c r="F10" s="319">
        <v>1554</v>
      </c>
      <c r="G10" s="319">
        <v>1554</v>
      </c>
      <c r="H10" s="319">
        <v>620</v>
      </c>
      <c r="I10" s="319">
        <v>1554</v>
      </c>
      <c r="J10" s="319">
        <v>1554</v>
      </c>
      <c r="K10" s="319">
        <v>1554</v>
      </c>
      <c r="L10" s="319">
        <v>1554</v>
      </c>
      <c r="M10" s="319">
        <v>1553</v>
      </c>
      <c r="N10" s="321">
        <f t="shared" si="0"/>
        <v>17713</v>
      </c>
      <c r="O10" s="339">
        <v>17713</v>
      </c>
    </row>
    <row r="11" spans="1:15" ht="12.75" x14ac:dyDescent="0.25">
      <c r="A11" s="318" t="s">
        <v>371</v>
      </c>
      <c r="B11" s="319">
        <v>1118</v>
      </c>
      <c r="C11" s="319">
        <v>1118</v>
      </c>
      <c r="D11" s="319">
        <v>1118</v>
      </c>
      <c r="E11" s="319">
        <v>1118</v>
      </c>
      <c r="F11" s="319">
        <v>1118</v>
      </c>
      <c r="G11" s="319">
        <v>1118</v>
      </c>
      <c r="H11" s="319">
        <v>1118</v>
      </c>
      <c r="I11" s="319">
        <v>1118</v>
      </c>
      <c r="J11" s="319">
        <v>1118</v>
      </c>
      <c r="K11" s="319">
        <v>1118</v>
      </c>
      <c r="L11" s="319">
        <v>1118</v>
      </c>
      <c r="M11" s="319">
        <v>1123</v>
      </c>
      <c r="N11" s="321">
        <f t="shared" si="0"/>
        <v>13421</v>
      </c>
      <c r="O11" s="339">
        <v>13421</v>
      </c>
    </row>
    <row r="12" spans="1:15" ht="12.75" x14ac:dyDescent="0.25">
      <c r="A12" s="318" t="s">
        <v>392</v>
      </c>
      <c r="B12" s="319"/>
      <c r="C12" s="320"/>
      <c r="D12" s="320">
        <v>978</v>
      </c>
      <c r="E12" s="320"/>
      <c r="F12" s="320"/>
      <c r="G12" s="320"/>
      <c r="H12" s="320"/>
      <c r="I12" s="320"/>
      <c r="J12" s="320"/>
      <c r="K12" s="320"/>
      <c r="L12" s="320"/>
      <c r="M12" s="320"/>
      <c r="N12" s="321">
        <f t="shared" si="0"/>
        <v>978</v>
      </c>
      <c r="O12" s="339">
        <v>978</v>
      </c>
    </row>
    <row r="13" spans="1:15" ht="12.75" x14ac:dyDescent="0.25">
      <c r="A13" s="318" t="s">
        <v>372</v>
      </c>
      <c r="B13" s="319"/>
      <c r="C13" s="319">
        <v>114288</v>
      </c>
      <c r="D13" s="319"/>
      <c r="E13" s="319">
        <v>56443</v>
      </c>
      <c r="F13" s="319">
        <v>56443</v>
      </c>
      <c r="G13" s="319">
        <v>56443</v>
      </c>
      <c r="H13" s="319">
        <v>77193</v>
      </c>
      <c r="I13" s="319">
        <v>77193</v>
      </c>
      <c r="J13" s="319">
        <v>77194</v>
      </c>
      <c r="K13" s="319"/>
      <c r="L13" s="319"/>
      <c r="M13" s="319"/>
      <c r="N13" s="321">
        <f t="shared" si="0"/>
        <v>515197</v>
      </c>
      <c r="O13" s="339">
        <v>515197</v>
      </c>
    </row>
    <row r="14" spans="1:15" ht="12.75" x14ac:dyDescent="0.25">
      <c r="A14" s="318" t="s">
        <v>695</v>
      </c>
      <c r="B14" s="319"/>
      <c r="C14" s="319"/>
      <c r="D14" s="319"/>
      <c r="E14" s="319"/>
      <c r="F14" s="319"/>
      <c r="G14" s="319"/>
      <c r="H14" s="319"/>
      <c r="I14" s="319"/>
      <c r="J14" s="319"/>
      <c r="K14" s="319"/>
      <c r="L14" s="319"/>
      <c r="M14" s="319"/>
      <c r="N14" s="321">
        <f t="shared" si="0"/>
        <v>0</v>
      </c>
      <c r="O14" s="339">
        <v>0</v>
      </c>
    </row>
    <row r="15" spans="1:15" ht="12.75" x14ac:dyDescent="0.2">
      <c r="A15" s="340" t="s">
        <v>825</v>
      </c>
      <c r="B15" s="319">
        <v>6159</v>
      </c>
      <c r="C15" s="320"/>
      <c r="D15" s="320"/>
      <c r="E15" s="320"/>
      <c r="F15" s="320"/>
      <c r="G15" s="320"/>
      <c r="H15" s="320"/>
      <c r="I15" s="320"/>
      <c r="J15" s="320"/>
      <c r="K15" s="320"/>
      <c r="L15" s="320"/>
      <c r="M15" s="320"/>
      <c r="N15" s="321">
        <f t="shared" si="0"/>
        <v>6159</v>
      </c>
      <c r="O15" s="339">
        <v>6159</v>
      </c>
    </row>
    <row r="16" spans="1:15" ht="12.75" x14ac:dyDescent="0.25">
      <c r="A16" s="318" t="s">
        <v>393</v>
      </c>
      <c r="B16" s="319">
        <v>8359</v>
      </c>
      <c r="C16" s="319">
        <v>8359</v>
      </c>
      <c r="D16" s="319">
        <v>8359</v>
      </c>
      <c r="E16" s="319">
        <v>8359</v>
      </c>
      <c r="F16" s="319">
        <v>9125</v>
      </c>
      <c r="G16" s="319">
        <v>9126</v>
      </c>
      <c r="H16" s="319">
        <v>9125</v>
      </c>
      <c r="I16" s="319">
        <v>9126</v>
      </c>
      <c r="J16" s="319">
        <v>9126</v>
      </c>
      <c r="K16" s="319">
        <v>9126</v>
      </c>
      <c r="L16" s="319">
        <v>9126</v>
      </c>
      <c r="M16" s="319">
        <v>9127</v>
      </c>
      <c r="N16" s="321">
        <f t="shared" si="0"/>
        <v>106443</v>
      </c>
      <c r="O16" s="339">
        <v>106443</v>
      </c>
    </row>
    <row r="17" spans="1:16" ht="12.75" x14ac:dyDescent="0.25">
      <c r="A17" s="318" t="s">
        <v>394</v>
      </c>
      <c r="B17" s="319"/>
      <c r="C17" s="320"/>
      <c r="D17" s="320"/>
      <c r="E17" s="320"/>
      <c r="F17" s="320"/>
      <c r="G17" s="320"/>
      <c r="H17" s="320"/>
      <c r="I17" s="320"/>
      <c r="J17" s="320"/>
      <c r="K17" s="320"/>
      <c r="L17" s="320"/>
      <c r="M17" s="320"/>
      <c r="N17" s="321">
        <f t="shared" si="0"/>
        <v>0</v>
      </c>
      <c r="O17" s="339"/>
    </row>
    <row r="18" spans="1:16" ht="12.75" x14ac:dyDescent="0.25">
      <c r="A18" s="322" t="s">
        <v>373</v>
      </c>
      <c r="B18" s="319">
        <f>SUM(B7:B17)</f>
        <v>26944</v>
      </c>
      <c r="C18" s="320">
        <f>SUM(C7:C16)</f>
        <v>135074</v>
      </c>
      <c r="D18" s="320">
        <f>SUM(D7:D16)</f>
        <v>21764</v>
      </c>
      <c r="E18" s="320">
        <f>SUM(E7:E16)</f>
        <v>77229</v>
      </c>
      <c r="F18" s="320">
        <f>SUM(F7:F16)</f>
        <v>77996</v>
      </c>
      <c r="G18" s="320">
        <f>SUM(G7:G16)</f>
        <v>77997</v>
      </c>
      <c r="H18" s="320">
        <f>SUM(H7:H17)</f>
        <v>104355</v>
      </c>
      <c r="I18" s="320">
        <f>SUM(I7:I16)</f>
        <v>105290</v>
      </c>
      <c r="J18" s="320">
        <f>SUM(J7:J16)</f>
        <v>105294</v>
      </c>
      <c r="K18" s="320">
        <f>SUM(K7:K16)</f>
        <v>28098</v>
      </c>
      <c r="L18" s="320">
        <f>SUM(L7:L16)</f>
        <v>28098</v>
      </c>
      <c r="M18" s="320">
        <f>SUM(M7:M16)</f>
        <v>28102</v>
      </c>
      <c r="N18" s="321">
        <f>SUM(N7:N17)</f>
        <v>816241</v>
      </c>
      <c r="O18" s="341">
        <f>SUM(O7:O17)</f>
        <v>816241</v>
      </c>
    </row>
    <row r="19" spans="1:16" ht="15" x14ac:dyDescent="0.25">
      <c r="A19" s="323"/>
      <c r="B19" s="324"/>
      <c r="C19" s="324"/>
      <c r="D19" s="324"/>
      <c r="E19" s="324"/>
      <c r="F19" s="324"/>
      <c r="G19" s="324"/>
      <c r="H19" s="324"/>
      <c r="I19" s="324"/>
      <c r="J19" s="324"/>
      <c r="K19" s="324"/>
      <c r="L19" s="324"/>
      <c r="M19" s="324"/>
      <c r="N19" s="325"/>
    </row>
    <row r="20" spans="1:16" ht="12.75" x14ac:dyDescent="0.25">
      <c r="A20" s="318" t="s">
        <v>374</v>
      </c>
      <c r="B20" s="320">
        <v>1697</v>
      </c>
      <c r="C20" s="320">
        <v>1697</v>
      </c>
      <c r="D20" s="320">
        <v>1697</v>
      </c>
      <c r="E20" s="320">
        <v>1697</v>
      </c>
      <c r="F20" s="320">
        <v>1697</v>
      </c>
      <c r="G20" s="320">
        <v>1697</v>
      </c>
      <c r="H20" s="320">
        <v>817</v>
      </c>
      <c r="I20" s="320">
        <v>817</v>
      </c>
      <c r="J20" s="320">
        <v>817</v>
      </c>
      <c r="K20" s="320">
        <v>817</v>
      </c>
      <c r="L20" s="320">
        <v>817</v>
      </c>
      <c r="M20" s="320">
        <v>817</v>
      </c>
      <c r="N20" s="321">
        <f t="shared" ref="N20:N30" si="1">SUM(B20:M20)</f>
        <v>15084</v>
      </c>
      <c r="O20" s="337">
        <v>15084</v>
      </c>
    </row>
    <row r="21" spans="1:16" ht="12.75" x14ac:dyDescent="0.25">
      <c r="A21" s="318" t="s">
        <v>46</v>
      </c>
      <c r="B21" s="320"/>
      <c r="C21" s="320">
        <v>11096</v>
      </c>
      <c r="D21" s="320">
        <v>5596</v>
      </c>
      <c r="E21" s="320"/>
      <c r="F21" s="320"/>
      <c r="G21" s="320"/>
      <c r="H21" s="320"/>
      <c r="I21" s="320">
        <v>11096</v>
      </c>
      <c r="J21" s="320">
        <v>11097</v>
      </c>
      <c r="K21" s="320"/>
      <c r="L21" s="320"/>
      <c r="M21" s="320"/>
      <c r="N21" s="321">
        <f t="shared" si="1"/>
        <v>38885</v>
      </c>
      <c r="O21" s="337">
        <v>38885</v>
      </c>
    </row>
    <row r="22" spans="1:16" ht="12.75" x14ac:dyDescent="0.25">
      <c r="A22" s="326" t="s">
        <v>54</v>
      </c>
      <c r="B22" s="319">
        <v>12817</v>
      </c>
      <c r="C22" s="319">
        <v>12817</v>
      </c>
      <c r="D22" s="319">
        <v>12817</v>
      </c>
      <c r="E22" s="319">
        <v>12817</v>
      </c>
      <c r="F22" s="319">
        <v>12818</v>
      </c>
      <c r="G22" s="319">
        <v>12818</v>
      </c>
      <c r="H22" s="319">
        <v>12818</v>
      </c>
      <c r="I22" s="319">
        <v>12817</v>
      </c>
      <c r="J22" s="319">
        <v>12817</v>
      </c>
      <c r="K22" s="319">
        <v>12817</v>
      </c>
      <c r="L22" s="319">
        <v>12817</v>
      </c>
      <c r="M22" s="319">
        <v>12817</v>
      </c>
      <c r="N22" s="321">
        <f t="shared" si="1"/>
        <v>153807</v>
      </c>
      <c r="O22" s="337">
        <v>153807</v>
      </c>
    </row>
    <row r="23" spans="1:16" ht="12.75" x14ac:dyDescent="0.25">
      <c r="A23" s="318" t="s">
        <v>376</v>
      </c>
      <c r="B23" s="319">
        <v>10232</v>
      </c>
      <c r="C23" s="319"/>
      <c r="D23" s="319">
        <v>15580</v>
      </c>
      <c r="E23" s="319"/>
      <c r="F23" s="319"/>
      <c r="G23" s="319">
        <v>3144</v>
      </c>
      <c r="H23" s="319"/>
      <c r="I23" s="319"/>
      <c r="J23" s="319"/>
      <c r="K23" s="319"/>
      <c r="L23" s="319"/>
      <c r="M23" s="319"/>
      <c r="N23" s="321">
        <f t="shared" si="1"/>
        <v>28956</v>
      </c>
      <c r="O23" s="337">
        <v>28956</v>
      </c>
      <c r="P23" s="342"/>
    </row>
    <row r="24" spans="1:16" ht="12.75" x14ac:dyDescent="0.25">
      <c r="A24" s="318" t="s">
        <v>71</v>
      </c>
      <c r="B24" s="319">
        <v>293</v>
      </c>
      <c r="C24" s="319">
        <v>293</v>
      </c>
      <c r="D24" s="319">
        <v>293</v>
      </c>
      <c r="E24" s="319">
        <v>293</v>
      </c>
      <c r="F24" s="319">
        <v>293</v>
      </c>
      <c r="G24" s="319">
        <v>293</v>
      </c>
      <c r="H24" s="319">
        <v>1020</v>
      </c>
      <c r="I24" s="319">
        <v>1018</v>
      </c>
      <c r="J24" s="319">
        <v>1018</v>
      </c>
      <c r="K24" s="319">
        <v>1018</v>
      </c>
      <c r="L24" s="319">
        <v>1018</v>
      </c>
      <c r="M24" s="319">
        <v>1018</v>
      </c>
      <c r="N24" s="321">
        <f t="shared" si="1"/>
        <v>7868</v>
      </c>
      <c r="O24" s="337">
        <v>7868</v>
      </c>
    </row>
    <row r="25" spans="1:16" ht="12.75" x14ac:dyDescent="0.25">
      <c r="A25" s="318" t="s">
        <v>81</v>
      </c>
      <c r="B25" s="319"/>
      <c r="C25" s="319"/>
      <c r="D25" s="319"/>
      <c r="E25" s="319"/>
      <c r="F25" s="319">
        <v>32488</v>
      </c>
      <c r="G25" s="319">
        <v>132538</v>
      </c>
      <c r="H25" s="319"/>
      <c r="I25" s="319"/>
      <c r="J25" s="319"/>
      <c r="K25" s="319"/>
      <c r="L25" s="319"/>
      <c r="M25" s="319"/>
      <c r="N25" s="321">
        <f t="shared" si="1"/>
        <v>165026</v>
      </c>
      <c r="O25" s="337">
        <v>165026</v>
      </c>
    </row>
    <row r="26" spans="1:16" ht="12.75" x14ac:dyDescent="0.25">
      <c r="A26" s="318" t="s">
        <v>95</v>
      </c>
      <c r="B26" s="319">
        <v>12715</v>
      </c>
      <c r="C26" s="319">
        <v>221553</v>
      </c>
      <c r="D26" s="319">
        <v>34268</v>
      </c>
      <c r="E26" s="319">
        <v>34268</v>
      </c>
      <c r="F26" s="319">
        <v>34268</v>
      </c>
      <c r="G26" s="319">
        <v>34268</v>
      </c>
      <c r="H26" s="319">
        <v>34268</v>
      </c>
      <c r="I26" s="319"/>
      <c r="J26" s="319"/>
      <c r="K26" s="319"/>
      <c r="L26" s="319"/>
      <c r="M26" s="319"/>
      <c r="N26" s="321">
        <f t="shared" si="1"/>
        <v>405608</v>
      </c>
      <c r="O26" s="337">
        <v>405608</v>
      </c>
    </row>
    <row r="27" spans="1:16" ht="12.75" x14ac:dyDescent="0.25">
      <c r="A27" s="318" t="s">
        <v>922</v>
      </c>
      <c r="B27" s="319"/>
      <c r="C27" s="319"/>
      <c r="D27" s="319"/>
      <c r="E27" s="319"/>
      <c r="F27" s="319"/>
      <c r="G27" s="319">
        <v>1000</v>
      </c>
      <c r="H27" s="319"/>
      <c r="I27" s="319"/>
      <c r="J27" s="319"/>
      <c r="K27" s="319"/>
      <c r="L27" s="319"/>
      <c r="M27" s="319"/>
      <c r="N27" s="321">
        <f t="shared" si="1"/>
        <v>1000</v>
      </c>
      <c r="O27" s="337">
        <v>1000</v>
      </c>
    </row>
    <row r="28" spans="1:16" ht="12.75" x14ac:dyDescent="0.2">
      <c r="A28" s="340" t="s">
        <v>825</v>
      </c>
      <c r="B28" s="319"/>
      <c r="C28" s="319"/>
      <c r="D28" s="319">
        <v>7</v>
      </c>
      <c r="E28" s="319"/>
      <c r="F28" s="319"/>
      <c r="G28" s="319"/>
      <c r="H28" s="319"/>
      <c r="I28" s="319"/>
      <c r="J28" s="319"/>
      <c r="K28" s="319"/>
      <c r="L28" s="319"/>
      <c r="M28" s="319"/>
      <c r="N28" s="321">
        <f t="shared" si="1"/>
        <v>7</v>
      </c>
      <c r="O28" s="337">
        <v>7</v>
      </c>
    </row>
    <row r="29" spans="1:16" ht="12.75" x14ac:dyDescent="0.25">
      <c r="A29" s="318" t="s">
        <v>394</v>
      </c>
      <c r="B29" s="319"/>
      <c r="C29" s="320"/>
      <c r="D29" s="320"/>
      <c r="E29" s="320"/>
      <c r="F29" s="320"/>
      <c r="G29" s="320"/>
      <c r="H29" s="320"/>
      <c r="I29" s="320"/>
      <c r="J29" s="320"/>
      <c r="K29" s="320"/>
      <c r="L29" s="320"/>
      <c r="M29" s="320"/>
      <c r="N29" s="321">
        <f t="shared" si="1"/>
        <v>0</v>
      </c>
    </row>
    <row r="30" spans="1:16" ht="14.25" x14ac:dyDescent="0.25">
      <c r="A30" s="327" t="s">
        <v>377</v>
      </c>
      <c r="B30" s="328">
        <f>+B20+B21+B22+B23+B24+B26+B25+B27+B28+B29</f>
        <v>37754</v>
      </c>
      <c r="C30" s="328">
        <f t="shared" ref="C30:M30" si="2">+C20+C21+C22+C23+C24+C26+C25+C27+C28+C29</f>
        <v>247456</v>
      </c>
      <c r="D30" s="328">
        <f t="shared" si="2"/>
        <v>70258</v>
      </c>
      <c r="E30" s="328">
        <f t="shared" si="2"/>
        <v>49075</v>
      </c>
      <c r="F30" s="328">
        <f t="shared" si="2"/>
        <v>81564</v>
      </c>
      <c r="G30" s="328">
        <f t="shared" si="2"/>
        <v>185758</v>
      </c>
      <c r="H30" s="328">
        <f t="shared" si="2"/>
        <v>48923</v>
      </c>
      <c r="I30" s="328">
        <f t="shared" si="2"/>
        <v>25748</v>
      </c>
      <c r="J30" s="328">
        <f t="shared" si="2"/>
        <v>25749</v>
      </c>
      <c r="K30" s="328">
        <f t="shared" si="2"/>
        <v>14652</v>
      </c>
      <c r="L30" s="328">
        <f t="shared" si="2"/>
        <v>14652</v>
      </c>
      <c r="M30" s="328">
        <f t="shared" si="2"/>
        <v>14652</v>
      </c>
      <c r="N30" s="321">
        <f t="shared" si="1"/>
        <v>816241</v>
      </c>
      <c r="O30" s="321">
        <f>O20+O21+O22+O23+O24+O25+O26+O29+O27+O28</f>
        <v>816241</v>
      </c>
    </row>
    <row r="31" spans="1:16" ht="14.25" hidden="1" x14ac:dyDescent="0.25">
      <c r="A31" s="343"/>
      <c r="B31" s="344">
        <f t="shared" ref="B31:M31" si="3">+B18-B30</f>
        <v>-10810</v>
      </c>
      <c r="C31" s="344">
        <f t="shared" si="3"/>
        <v>-112382</v>
      </c>
      <c r="D31" s="344">
        <f t="shared" si="3"/>
        <v>-48494</v>
      </c>
      <c r="E31" s="344">
        <f t="shared" si="3"/>
        <v>28154</v>
      </c>
      <c r="F31" s="344">
        <f t="shared" si="3"/>
        <v>-3568</v>
      </c>
      <c r="G31" s="344">
        <f t="shared" si="3"/>
        <v>-107761</v>
      </c>
      <c r="H31" s="344">
        <f t="shared" si="3"/>
        <v>55432</v>
      </c>
      <c r="I31" s="344">
        <f t="shared" si="3"/>
        <v>79542</v>
      </c>
      <c r="J31" s="344">
        <f t="shared" si="3"/>
        <v>79545</v>
      </c>
      <c r="K31" s="344">
        <f t="shared" si="3"/>
        <v>13446</v>
      </c>
      <c r="L31" s="344">
        <f t="shared" si="3"/>
        <v>13446</v>
      </c>
      <c r="M31" s="344">
        <f t="shared" si="3"/>
        <v>13450</v>
      </c>
      <c r="N31" s="345">
        <f>SUM(N20:N29)</f>
        <v>816241</v>
      </c>
    </row>
    <row r="32" spans="1:16" ht="14.25" x14ac:dyDescent="0.25">
      <c r="A32" s="343"/>
      <c r="B32" s="344"/>
      <c r="C32" s="344"/>
      <c r="D32" s="344"/>
      <c r="E32" s="344"/>
      <c r="F32" s="344"/>
      <c r="G32" s="344"/>
      <c r="H32" s="344"/>
      <c r="I32" s="344"/>
      <c r="J32" s="344"/>
      <c r="K32" s="344"/>
      <c r="L32" s="344"/>
      <c r="M32" s="344"/>
      <c r="N32" s="345"/>
    </row>
    <row r="33" spans="1:14" ht="14.25" x14ac:dyDescent="0.25">
      <c r="A33" s="343"/>
      <c r="B33" s="344"/>
      <c r="C33" s="344"/>
      <c r="D33" s="344"/>
      <c r="E33" s="344"/>
      <c r="F33" s="344"/>
      <c r="G33" s="344"/>
      <c r="H33" s="344"/>
      <c r="I33" s="344"/>
      <c r="J33" s="344"/>
      <c r="K33" s="344"/>
      <c r="L33" s="344"/>
      <c r="M33" s="344"/>
      <c r="N33" s="345"/>
    </row>
    <row r="34" spans="1:14" ht="14.25" x14ac:dyDescent="0.25">
      <c r="A34" s="343"/>
      <c r="B34" s="344"/>
      <c r="C34" s="344"/>
      <c r="D34" s="344"/>
      <c r="E34" s="344"/>
      <c r="F34" s="344"/>
      <c r="G34" s="344"/>
      <c r="H34" s="344"/>
      <c r="I34" s="344"/>
      <c r="J34" s="344"/>
      <c r="K34" s="344"/>
      <c r="L34" s="344"/>
      <c r="M34" s="344"/>
      <c r="N34" s="345"/>
    </row>
    <row r="35" spans="1:14" ht="14.25" x14ac:dyDescent="0.25">
      <c r="A35" s="343"/>
      <c r="B35" s="344"/>
      <c r="C35" s="344"/>
      <c r="D35" s="344"/>
      <c r="E35" s="344"/>
      <c r="F35" s="344"/>
      <c r="G35" s="344"/>
      <c r="H35" s="344"/>
      <c r="I35" s="344"/>
      <c r="J35" s="344"/>
      <c r="K35" s="344"/>
      <c r="L35" s="344"/>
      <c r="M35" s="344"/>
      <c r="N35" s="345"/>
    </row>
    <row r="36" spans="1:14" ht="14.25" x14ac:dyDescent="0.25">
      <c r="A36" s="343"/>
      <c r="B36" s="344"/>
      <c r="C36" s="344"/>
      <c r="D36" s="344"/>
      <c r="E36" s="344"/>
      <c r="F36" s="344"/>
      <c r="G36" s="344"/>
      <c r="H36" s="344"/>
      <c r="I36" s="344"/>
      <c r="J36" s="344"/>
      <c r="K36" s="344"/>
      <c r="L36" s="344"/>
      <c r="M36" s="344"/>
      <c r="N36" s="345"/>
    </row>
    <row r="37" spans="1:14" ht="14.25" x14ac:dyDescent="0.25">
      <c r="A37" s="343"/>
      <c r="B37" s="344"/>
      <c r="C37" s="344"/>
      <c r="D37" s="344"/>
      <c r="E37" s="344"/>
      <c r="F37" s="344"/>
      <c r="G37" s="344"/>
      <c r="H37" s="344"/>
      <c r="I37" s="344"/>
      <c r="J37" s="344"/>
      <c r="K37" s="344"/>
      <c r="L37" s="344"/>
      <c r="M37" s="344"/>
      <c r="N37" s="345"/>
    </row>
    <row r="38" spans="1:14" ht="14.25" x14ac:dyDescent="0.25">
      <c r="A38" s="343"/>
      <c r="B38" s="344"/>
      <c r="C38" s="344"/>
      <c r="D38" s="344"/>
      <c r="E38" s="344"/>
      <c r="F38" s="344"/>
      <c r="G38" s="344"/>
      <c r="H38" s="344"/>
      <c r="I38" s="344"/>
      <c r="J38" s="344"/>
      <c r="K38" s="344"/>
      <c r="L38" s="344"/>
      <c r="M38" s="344"/>
      <c r="N38" s="345"/>
    </row>
    <row r="39" spans="1:14" ht="14.25" x14ac:dyDescent="0.25">
      <c r="A39" s="343"/>
      <c r="B39" s="344"/>
      <c r="C39" s="344"/>
      <c r="D39" s="344"/>
      <c r="E39" s="344"/>
      <c r="F39" s="344"/>
      <c r="G39" s="344"/>
      <c r="H39" s="344"/>
      <c r="I39" s="344"/>
      <c r="J39" s="344"/>
      <c r="K39" s="344"/>
      <c r="L39" s="344"/>
      <c r="M39" s="344"/>
      <c r="N39" s="345"/>
    </row>
    <row r="40" spans="1:14" x14ac:dyDescent="0.25">
      <c r="B40" s="347"/>
      <c r="C40" s="347"/>
      <c r="D40" s="347"/>
      <c r="E40" s="347"/>
      <c r="F40" s="347"/>
      <c r="G40" s="347"/>
      <c r="H40" s="347"/>
      <c r="I40" s="347"/>
      <c r="J40" s="347"/>
      <c r="K40" s="347"/>
      <c r="L40" s="347"/>
      <c r="M40" s="347"/>
      <c r="N40" s="347"/>
    </row>
    <row r="46" spans="1:14" x14ac:dyDescent="0.25">
      <c r="A46" s="348"/>
    </row>
    <row r="47" spans="1:14" x14ac:dyDescent="0.25">
      <c r="A47" s="348"/>
    </row>
    <row r="48" spans="1:14" x14ac:dyDescent="0.25">
      <c r="A48" s="348"/>
    </row>
    <row r="49" spans="1:17" x14ac:dyDescent="0.25">
      <c r="A49" s="348"/>
    </row>
    <row r="50" spans="1:17" x14ac:dyDescent="0.25">
      <c r="A50" s="348"/>
    </row>
    <row r="51" spans="1:17" x14ac:dyDescent="0.25">
      <c r="A51" s="348"/>
    </row>
    <row r="52" spans="1:17" x14ac:dyDescent="0.25">
      <c r="A52" s="348"/>
    </row>
    <row r="53" spans="1:17" x14ac:dyDescent="0.25">
      <c r="A53" s="348"/>
    </row>
    <row r="54" spans="1:17" x14ac:dyDescent="0.25">
      <c r="A54" s="348"/>
    </row>
    <row r="55" spans="1:17" x14ac:dyDescent="0.25">
      <c r="A55" s="348"/>
    </row>
    <row r="56" spans="1:17" x14ac:dyDescent="0.25">
      <c r="A56" s="348"/>
    </row>
    <row r="57" spans="1:17" x14ac:dyDescent="0.25">
      <c r="A57" s="348"/>
      <c r="Q57" s="338">
        <f>+O57+O47</f>
        <v>0</v>
      </c>
    </row>
    <row r="58" spans="1:17" x14ac:dyDescent="0.25">
      <c r="A58" s="348"/>
    </row>
    <row r="59" spans="1:17" x14ac:dyDescent="0.25">
      <c r="A59" s="348"/>
    </row>
    <row r="60" spans="1:17" x14ac:dyDescent="0.25">
      <c r="A60" s="348"/>
    </row>
    <row r="61" spans="1:17" x14ac:dyDescent="0.25">
      <c r="A61" s="348"/>
    </row>
    <row r="62" spans="1:17" x14ac:dyDescent="0.25">
      <c r="A62" s="348"/>
    </row>
    <row r="63" spans="1:17" x14ac:dyDescent="0.25">
      <c r="A63" s="348"/>
    </row>
    <row r="64" spans="1:17" x14ac:dyDescent="0.25">
      <c r="A64" s="348"/>
    </row>
    <row r="65" spans="1:12" x14ac:dyDescent="0.25">
      <c r="A65" s="348"/>
    </row>
    <row r="66" spans="1:12" x14ac:dyDescent="0.25">
      <c r="A66" s="348"/>
    </row>
    <row r="70" spans="1:12" x14ac:dyDescent="0.25">
      <c r="L70" s="349"/>
    </row>
  </sheetData>
  <mergeCells count="4">
    <mergeCell ref="A1:N1"/>
    <mergeCell ref="A2:N2"/>
    <mergeCell ref="A3:N4"/>
    <mergeCell ref="M5:N5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7030A0"/>
  </sheetPr>
  <dimension ref="A1:Y39"/>
  <sheetViews>
    <sheetView topLeftCell="A7" workbookViewId="0">
      <selection activeCell="Y28" sqref="Y28"/>
    </sheetView>
  </sheetViews>
  <sheetFormatPr defaultRowHeight="15" x14ac:dyDescent="0.25"/>
  <cols>
    <col min="8" max="8" width="4.28515625" customWidth="1"/>
    <col min="9" max="19" width="9.140625" hidden="1" customWidth="1"/>
    <col min="24" max="24" width="16.7109375" customWidth="1"/>
    <col min="25" max="25" width="16.42578125" customWidth="1"/>
    <col min="263" max="263" width="4.28515625" customWidth="1"/>
    <col min="264" max="274" width="0" hidden="1" customWidth="1"/>
    <col min="279" max="279" width="16.7109375" customWidth="1"/>
    <col min="280" max="280" width="16.42578125" customWidth="1"/>
    <col min="281" max="281" width="0" hidden="1" customWidth="1"/>
    <col min="519" max="519" width="4.28515625" customWidth="1"/>
    <col min="520" max="530" width="0" hidden="1" customWidth="1"/>
    <col min="535" max="535" width="16.7109375" customWidth="1"/>
    <col min="536" max="536" width="16.42578125" customWidth="1"/>
    <col min="537" max="537" width="0" hidden="1" customWidth="1"/>
    <col min="775" max="775" width="4.28515625" customWidth="1"/>
    <col min="776" max="786" width="0" hidden="1" customWidth="1"/>
    <col min="791" max="791" width="16.7109375" customWidth="1"/>
    <col min="792" max="792" width="16.42578125" customWidth="1"/>
    <col min="793" max="793" width="0" hidden="1" customWidth="1"/>
    <col min="1031" max="1031" width="4.28515625" customWidth="1"/>
    <col min="1032" max="1042" width="0" hidden="1" customWidth="1"/>
    <col min="1047" max="1047" width="16.7109375" customWidth="1"/>
    <col min="1048" max="1048" width="16.42578125" customWidth="1"/>
    <col min="1049" max="1049" width="0" hidden="1" customWidth="1"/>
    <col min="1287" max="1287" width="4.28515625" customWidth="1"/>
    <col min="1288" max="1298" width="0" hidden="1" customWidth="1"/>
    <col min="1303" max="1303" width="16.7109375" customWidth="1"/>
    <col min="1304" max="1304" width="16.42578125" customWidth="1"/>
    <col min="1305" max="1305" width="0" hidden="1" customWidth="1"/>
    <col min="1543" max="1543" width="4.28515625" customWidth="1"/>
    <col min="1544" max="1554" width="0" hidden="1" customWidth="1"/>
    <col min="1559" max="1559" width="16.7109375" customWidth="1"/>
    <col min="1560" max="1560" width="16.42578125" customWidth="1"/>
    <col min="1561" max="1561" width="0" hidden="1" customWidth="1"/>
    <col min="1799" max="1799" width="4.28515625" customWidth="1"/>
    <col min="1800" max="1810" width="0" hidden="1" customWidth="1"/>
    <col min="1815" max="1815" width="16.7109375" customWidth="1"/>
    <col min="1816" max="1816" width="16.42578125" customWidth="1"/>
    <col min="1817" max="1817" width="0" hidden="1" customWidth="1"/>
    <col min="2055" max="2055" width="4.28515625" customWidth="1"/>
    <col min="2056" max="2066" width="0" hidden="1" customWidth="1"/>
    <col min="2071" max="2071" width="16.7109375" customWidth="1"/>
    <col min="2072" max="2072" width="16.42578125" customWidth="1"/>
    <col min="2073" max="2073" width="0" hidden="1" customWidth="1"/>
    <col min="2311" max="2311" width="4.28515625" customWidth="1"/>
    <col min="2312" max="2322" width="0" hidden="1" customWidth="1"/>
    <col min="2327" max="2327" width="16.7109375" customWidth="1"/>
    <col min="2328" max="2328" width="16.42578125" customWidth="1"/>
    <col min="2329" max="2329" width="0" hidden="1" customWidth="1"/>
    <col min="2567" max="2567" width="4.28515625" customWidth="1"/>
    <col min="2568" max="2578" width="0" hidden="1" customWidth="1"/>
    <col min="2583" max="2583" width="16.7109375" customWidth="1"/>
    <col min="2584" max="2584" width="16.42578125" customWidth="1"/>
    <col min="2585" max="2585" width="0" hidden="1" customWidth="1"/>
    <col min="2823" max="2823" width="4.28515625" customWidth="1"/>
    <col min="2824" max="2834" width="0" hidden="1" customWidth="1"/>
    <col min="2839" max="2839" width="16.7109375" customWidth="1"/>
    <col min="2840" max="2840" width="16.42578125" customWidth="1"/>
    <col min="2841" max="2841" width="0" hidden="1" customWidth="1"/>
    <col min="3079" max="3079" width="4.28515625" customWidth="1"/>
    <col min="3080" max="3090" width="0" hidden="1" customWidth="1"/>
    <col min="3095" max="3095" width="16.7109375" customWidth="1"/>
    <col min="3096" max="3096" width="16.42578125" customWidth="1"/>
    <col min="3097" max="3097" width="0" hidden="1" customWidth="1"/>
    <col min="3335" max="3335" width="4.28515625" customWidth="1"/>
    <col min="3336" max="3346" width="0" hidden="1" customWidth="1"/>
    <col min="3351" max="3351" width="16.7109375" customWidth="1"/>
    <col min="3352" max="3352" width="16.42578125" customWidth="1"/>
    <col min="3353" max="3353" width="0" hidden="1" customWidth="1"/>
    <col min="3591" max="3591" width="4.28515625" customWidth="1"/>
    <col min="3592" max="3602" width="0" hidden="1" customWidth="1"/>
    <col min="3607" max="3607" width="16.7109375" customWidth="1"/>
    <col min="3608" max="3608" width="16.42578125" customWidth="1"/>
    <col min="3609" max="3609" width="0" hidden="1" customWidth="1"/>
    <col min="3847" max="3847" width="4.28515625" customWidth="1"/>
    <col min="3848" max="3858" width="0" hidden="1" customWidth="1"/>
    <col min="3863" max="3863" width="16.7109375" customWidth="1"/>
    <col min="3864" max="3864" width="16.42578125" customWidth="1"/>
    <col min="3865" max="3865" width="0" hidden="1" customWidth="1"/>
    <col min="4103" max="4103" width="4.28515625" customWidth="1"/>
    <col min="4104" max="4114" width="0" hidden="1" customWidth="1"/>
    <col min="4119" max="4119" width="16.7109375" customWidth="1"/>
    <col min="4120" max="4120" width="16.42578125" customWidth="1"/>
    <col min="4121" max="4121" width="0" hidden="1" customWidth="1"/>
    <col min="4359" max="4359" width="4.28515625" customWidth="1"/>
    <col min="4360" max="4370" width="0" hidden="1" customWidth="1"/>
    <col min="4375" max="4375" width="16.7109375" customWidth="1"/>
    <col min="4376" max="4376" width="16.42578125" customWidth="1"/>
    <col min="4377" max="4377" width="0" hidden="1" customWidth="1"/>
    <col min="4615" max="4615" width="4.28515625" customWidth="1"/>
    <col min="4616" max="4626" width="0" hidden="1" customWidth="1"/>
    <col min="4631" max="4631" width="16.7109375" customWidth="1"/>
    <col min="4632" max="4632" width="16.42578125" customWidth="1"/>
    <col min="4633" max="4633" width="0" hidden="1" customWidth="1"/>
    <col min="4871" max="4871" width="4.28515625" customWidth="1"/>
    <col min="4872" max="4882" width="0" hidden="1" customWidth="1"/>
    <col min="4887" max="4887" width="16.7109375" customWidth="1"/>
    <col min="4888" max="4888" width="16.42578125" customWidth="1"/>
    <col min="4889" max="4889" width="0" hidden="1" customWidth="1"/>
    <col min="5127" max="5127" width="4.28515625" customWidth="1"/>
    <col min="5128" max="5138" width="0" hidden="1" customWidth="1"/>
    <col min="5143" max="5143" width="16.7109375" customWidth="1"/>
    <col min="5144" max="5144" width="16.42578125" customWidth="1"/>
    <col min="5145" max="5145" width="0" hidden="1" customWidth="1"/>
    <col min="5383" max="5383" width="4.28515625" customWidth="1"/>
    <col min="5384" max="5394" width="0" hidden="1" customWidth="1"/>
    <col min="5399" max="5399" width="16.7109375" customWidth="1"/>
    <col min="5400" max="5400" width="16.42578125" customWidth="1"/>
    <col min="5401" max="5401" width="0" hidden="1" customWidth="1"/>
    <col min="5639" max="5639" width="4.28515625" customWidth="1"/>
    <col min="5640" max="5650" width="0" hidden="1" customWidth="1"/>
    <col min="5655" max="5655" width="16.7109375" customWidth="1"/>
    <col min="5656" max="5656" width="16.42578125" customWidth="1"/>
    <col min="5657" max="5657" width="0" hidden="1" customWidth="1"/>
    <col min="5895" max="5895" width="4.28515625" customWidth="1"/>
    <col min="5896" max="5906" width="0" hidden="1" customWidth="1"/>
    <col min="5911" max="5911" width="16.7109375" customWidth="1"/>
    <col min="5912" max="5912" width="16.42578125" customWidth="1"/>
    <col min="5913" max="5913" width="0" hidden="1" customWidth="1"/>
    <col min="6151" max="6151" width="4.28515625" customWidth="1"/>
    <col min="6152" max="6162" width="0" hidden="1" customWidth="1"/>
    <col min="6167" max="6167" width="16.7109375" customWidth="1"/>
    <col min="6168" max="6168" width="16.42578125" customWidth="1"/>
    <col min="6169" max="6169" width="0" hidden="1" customWidth="1"/>
    <col min="6407" max="6407" width="4.28515625" customWidth="1"/>
    <col min="6408" max="6418" width="0" hidden="1" customWidth="1"/>
    <col min="6423" max="6423" width="16.7109375" customWidth="1"/>
    <col min="6424" max="6424" width="16.42578125" customWidth="1"/>
    <col min="6425" max="6425" width="0" hidden="1" customWidth="1"/>
    <col min="6663" max="6663" width="4.28515625" customWidth="1"/>
    <col min="6664" max="6674" width="0" hidden="1" customWidth="1"/>
    <col min="6679" max="6679" width="16.7109375" customWidth="1"/>
    <col min="6680" max="6680" width="16.42578125" customWidth="1"/>
    <col min="6681" max="6681" width="0" hidden="1" customWidth="1"/>
    <col min="6919" max="6919" width="4.28515625" customWidth="1"/>
    <col min="6920" max="6930" width="0" hidden="1" customWidth="1"/>
    <col min="6935" max="6935" width="16.7109375" customWidth="1"/>
    <col min="6936" max="6936" width="16.42578125" customWidth="1"/>
    <col min="6937" max="6937" width="0" hidden="1" customWidth="1"/>
    <col min="7175" max="7175" width="4.28515625" customWidth="1"/>
    <col min="7176" max="7186" width="0" hidden="1" customWidth="1"/>
    <col min="7191" max="7191" width="16.7109375" customWidth="1"/>
    <col min="7192" max="7192" width="16.42578125" customWidth="1"/>
    <col min="7193" max="7193" width="0" hidden="1" customWidth="1"/>
    <col min="7431" max="7431" width="4.28515625" customWidth="1"/>
    <col min="7432" max="7442" width="0" hidden="1" customWidth="1"/>
    <col min="7447" max="7447" width="16.7109375" customWidth="1"/>
    <col min="7448" max="7448" width="16.42578125" customWidth="1"/>
    <col min="7449" max="7449" width="0" hidden="1" customWidth="1"/>
    <col min="7687" max="7687" width="4.28515625" customWidth="1"/>
    <col min="7688" max="7698" width="0" hidden="1" customWidth="1"/>
    <col min="7703" max="7703" width="16.7109375" customWidth="1"/>
    <col min="7704" max="7704" width="16.42578125" customWidth="1"/>
    <col min="7705" max="7705" width="0" hidden="1" customWidth="1"/>
    <col min="7943" max="7943" width="4.28515625" customWidth="1"/>
    <col min="7944" max="7954" width="0" hidden="1" customWidth="1"/>
    <col min="7959" max="7959" width="16.7109375" customWidth="1"/>
    <col min="7960" max="7960" width="16.42578125" customWidth="1"/>
    <col min="7961" max="7961" width="0" hidden="1" customWidth="1"/>
    <col min="8199" max="8199" width="4.28515625" customWidth="1"/>
    <col min="8200" max="8210" width="0" hidden="1" customWidth="1"/>
    <col min="8215" max="8215" width="16.7109375" customWidth="1"/>
    <col min="8216" max="8216" width="16.42578125" customWidth="1"/>
    <col min="8217" max="8217" width="0" hidden="1" customWidth="1"/>
    <col min="8455" max="8455" width="4.28515625" customWidth="1"/>
    <col min="8456" max="8466" width="0" hidden="1" customWidth="1"/>
    <col min="8471" max="8471" width="16.7109375" customWidth="1"/>
    <col min="8472" max="8472" width="16.42578125" customWidth="1"/>
    <col min="8473" max="8473" width="0" hidden="1" customWidth="1"/>
    <col min="8711" max="8711" width="4.28515625" customWidth="1"/>
    <col min="8712" max="8722" width="0" hidden="1" customWidth="1"/>
    <col min="8727" max="8727" width="16.7109375" customWidth="1"/>
    <col min="8728" max="8728" width="16.42578125" customWidth="1"/>
    <col min="8729" max="8729" width="0" hidden="1" customWidth="1"/>
    <col min="8967" max="8967" width="4.28515625" customWidth="1"/>
    <col min="8968" max="8978" width="0" hidden="1" customWidth="1"/>
    <col min="8983" max="8983" width="16.7109375" customWidth="1"/>
    <col min="8984" max="8984" width="16.42578125" customWidth="1"/>
    <col min="8985" max="8985" width="0" hidden="1" customWidth="1"/>
    <col min="9223" max="9223" width="4.28515625" customWidth="1"/>
    <col min="9224" max="9234" width="0" hidden="1" customWidth="1"/>
    <col min="9239" max="9239" width="16.7109375" customWidth="1"/>
    <col min="9240" max="9240" width="16.42578125" customWidth="1"/>
    <col min="9241" max="9241" width="0" hidden="1" customWidth="1"/>
    <col min="9479" max="9479" width="4.28515625" customWidth="1"/>
    <col min="9480" max="9490" width="0" hidden="1" customWidth="1"/>
    <col min="9495" max="9495" width="16.7109375" customWidth="1"/>
    <col min="9496" max="9496" width="16.42578125" customWidth="1"/>
    <col min="9497" max="9497" width="0" hidden="1" customWidth="1"/>
    <col min="9735" max="9735" width="4.28515625" customWidth="1"/>
    <col min="9736" max="9746" width="0" hidden="1" customWidth="1"/>
    <col min="9751" max="9751" width="16.7109375" customWidth="1"/>
    <col min="9752" max="9752" width="16.42578125" customWidth="1"/>
    <col min="9753" max="9753" width="0" hidden="1" customWidth="1"/>
    <col min="9991" max="9991" width="4.28515625" customWidth="1"/>
    <col min="9992" max="10002" width="0" hidden="1" customWidth="1"/>
    <col min="10007" max="10007" width="16.7109375" customWidth="1"/>
    <col min="10008" max="10008" width="16.42578125" customWidth="1"/>
    <col min="10009" max="10009" width="0" hidden="1" customWidth="1"/>
    <col min="10247" max="10247" width="4.28515625" customWidth="1"/>
    <col min="10248" max="10258" width="0" hidden="1" customWidth="1"/>
    <col min="10263" max="10263" width="16.7109375" customWidth="1"/>
    <col min="10264" max="10264" width="16.42578125" customWidth="1"/>
    <col min="10265" max="10265" width="0" hidden="1" customWidth="1"/>
    <col min="10503" max="10503" width="4.28515625" customWidth="1"/>
    <col min="10504" max="10514" width="0" hidden="1" customWidth="1"/>
    <col min="10519" max="10519" width="16.7109375" customWidth="1"/>
    <col min="10520" max="10520" width="16.42578125" customWidth="1"/>
    <col min="10521" max="10521" width="0" hidden="1" customWidth="1"/>
    <col min="10759" max="10759" width="4.28515625" customWidth="1"/>
    <col min="10760" max="10770" width="0" hidden="1" customWidth="1"/>
    <col min="10775" max="10775" width="16.7109375" customWidth="1"/>
    <col min="10776" max="10776" width="16.42578125" customWidth="1"/>
    <col min="10777" max="10777" width="0" hidden="1" customWidth="1"/>
    <col min="11015" max="11015" width="4.28515625" customWidth="1"/>
    <col min="11016" max="11026" width="0" hidden="1" customWidth="1"/>
    <col min="11031" max="11031" width="16.7109375" customWidth="1"/>
    <col min="11032" max="11032" width="16.42578125" customWidth="1"/>
    <col min="11033" max="11033" width="0" hidden="1" customWidth="1"/>
    <col min="11271" max="11271" width="4.28515625" customWidth="1"/>
    <col min="11272" max="11282" width="0" hidden="1" customWidth="1"/>
    <col min="11287" max="11287" width="16.7109375" customWidth="1"/>
    <col min="11288" max="11288" width="16.42578125" customWidth="1"/>
    <col min="11289" max="11289" width="0" hidden="1" customWidth="1"/>
    <col min="11527" max="11527" width="4.28515625" customWidth="1"/>
    <col min="11528" max="11538" width="0" hidden="1" customWidth="1"/>
    <col min="11543" max="11543" width="16.7109375" customWidth="1"/>
    <col min="11544" max="11544" width="16.42578125" customWidth="1"/>
    <col min="11545" max="11545" width="0" hidden="1" customWidth="1"/>
    <col min="11783" max="11783" width="4.28515625" customWidth="1"/>
    <col min="11784" max="11794" width="0" hidden="1" customWidth="1"/>
    <col min="11799" max="11799" width="16.7109375" customWidth="1"/>
    <col min="11800" max="11800" width="16.42578125" customWidth="1"/>
    <col min="11801" max="11801" width="0" hidden="1" customWidth="1"/>
    <col min="12039" max="12039" width="4.28515625" customWidth="1"/>
    <col min="12040" max="12050" width="0" hidden="1" customWidth="1"/>
    <col min="12055" max="12055" width="16.7109375" customWidth="1"/>
    <col min="12056" max="12056" width="16.42578125" customWidth="1"/>
    <col min="12057" max="12057" width="0" hidden="1" customWidth="1"/>
    <col min="12295" max="12295" width="4.28515625" customWidth="1"/>
    <col min="12296" max="12306" width="0" hidden="1" customWidth="1"/>
    <col min="12311" max="12311" width="16.7109375" customWidth="1"/>
    <col min="12312" max="12312" width="16.42578125" customWidth="1"/>
    <col min="12313" max="12313" width="0" hidden="1" customWidth="1"/>
    <col min="12551" max="12551" width="4.28515625" customWidth="1"/>
    <col min="12552" max="12562" width="0" hidden="1" customWidth="1"/>
    <col min="12567" max="12567" width="16.7109375" customWidth="1"/>
    <col min="12568" max="12568" width="16.42578125" customWidth="1"/>
    <col min="12569" max="12569" width="0" hidden="1" customWidth="1"/>
    <col min="12807" max="12807" width="4.28515625" customWidth="1"/>
    <col min="12808" max="12818" width="0" hidden="1" customWidth="1"/>
    <col min="12823" max="12823" width="16.7109375" customWidth="1"/>
    <col min="12824" max="12824" width="16.42578125" customWidth="1"/>
    <col min="12825" max="12825" width="0" hidden="1" customWidth="1"/>
    <col min="13063" max="13063" width="4.28515625" customWidth="1"/>
    <col min="13064" max="13074" width="0" hidden="1" customWidth="1"/>
    <col min="13079" max="13079" width="16.7109375" customWidth="1"/>
    <col min="13080" max="13080" width="16.42578125" customWidth="1"/>
    <col min="13081" max="13081" width="0" hidden="1" customWidth="1"/>
    <col min="13319" max="13319" width="4.28515625" customWidth="1"/>
    <col min="13320" max="13330" width="0" hidden="1" customWidth="1"/>
    <col min="13335" max="13335" width="16.7109375" customWidth="1"/>
    <col min="13336" max="13336" width="16.42578125" customWidth="1"/>
    <col min="13337" max="13337" width="0" hidden="1" customWidth="1"/>
    <col min="13575" max="13575" width="4.28515625" customWidth="1"/>
    <col min="13576" max="13586" width="0" hidden="1" customWidth="1"/>
    <col min="13591" max="13591" width="16.7109375" customWidth="1"/>
    <col min="13592" max="13592" width="16.42578125" customWidth="1"/>
    <col min="13593" max="13593" width="0" hidden="1" customWidth="1"/>
    <col min="13831" max="13831" width="4.28515625" customWidth="1"/>
    <col min="13832" max="13842" width="0" hidden="1" customWidth="1"/>
    <col min="13847" max="13847" width="16.7109375" customWidth="1"/>
    <col min="13848" max="13848" width="16.42578125" customWidth="1"/>
    <col min="13849" max="13849" width="0" hidden="1" customWidth="1"/>
    <col min="14087" max="14087" width="4.28515625" customWidth="1"/>
    <col min="14088" max="14098" width="0" hidden="1" customWidth="1"/>
    <col min="14103" max="14103" width="16.7109375" customWidth="1"/>
    <col min="14104" max="14104" width="16.42578125" customWidth="1"/>
    <col min="14105" max="14105" width="0" hidden="1" customWidth="1"/>
    <col min="14343" max="14343" width="4.28515625" customWidth="1"/>
    <col min="14344" max="14354" width="0" hidden="1" customWidth="1"/>
    <col min="14359" max="14359" width="16.7109375" customWidth="1"/>
    <col min="14360" max="14360" width="16.42578125" customWidth="1"/>
    <col min="14361" max="14361" width="0" hidden="1" customWidth="1"/>
    <col min="14599" max="14599" width="4.28515625" customWidth="1"/>
    <col min="14600" max="14610" width="0" hidden="1" customWidth="1"/>
    <col min="14615" max="14615" width="16.7109375" customWidth="1"/>
    <col min="14616" max="14616" width="16.42578125" customWidth="1"/>
    <col min="14617" max="14617" width="0" hidden="1" customWidth="1"/>
    <col min="14855" max="14855" width="4.28515625" customWidth="1"/>
    <col min="14856" max="14866" width="0" hidden="1" customWidth="1"/>
    <col min="14871" max="14871" width="16.7109375" customWidth="1"/>
    <col min="14872" max="14872" width="16.42578125" customWidth="1"/>
    <col min="14873" max="14873" width="0" hidden="1" customWidth="1"/>
    <col min="15111" max="15111" width="4.28515625" customWidth="1"/>
    <col min="15112" max="15122" width="0" hidden="1" customWidth="1"/>
    <col min="15127" max="15127" width="16.7109375" customWidth="1"/>
    <col min="15128" max="15128" width="16.42578125" customWidth="1"/>
    <col min="15129" max="15129" width="0" hidden="1" customWidth="1"/>
    <col min="15367" max="15367" width="4.28515625" customWidth="1"/>
    <col min="15368" max="15378" width="0" hidden="1" customWidth="1"/>
    <col min="15383" max="15383" width="16.7109375" customWidth="1"/>
    <col min="15384" max="15384" width="16.42578125" customWidth="1"/>
    <col min="15385" max="15385" width="0" hidden="1" customWidth="1"/>
    <col min="15623" max="15623" width="4.28515625" customWidth="1"/>
    <col min="15624" max="15634" width="0" hidden="1" customWidth="1"/>
    <col min="15639" max="15639" width="16.7109375" customWidth="1"/>
    <col min="15640" max="15640" width="16.42578125" customWidth="1"/>
    <col min="15641" max="15641" width="0" hidden="1" customWidth="1"/>
    <col min="15879" max="15879" width="4.28515625" customWidth="1"/>
    <col min="15880" max="15890" width="0" hidden="1" customWidth="1"/>
    <col min="15895" max="15895" width="16.7109375" customWidth="1"/>
    <col min="15896" max="15896" width="16.42578125" customWidth="1"/>
    <col min="15897" max="15897" width="0" hidden="1" customWidth="1"/>
    <col min="16135" max="16135" width="4.28515625" customWidth="1"/>
    <col min="16136" max="16146" width="0" hidden="1" customWidth="1"/>
    <col min="16151" max="16151" width="16.7109375" customWidth="1"/>
    <col min="16152" max="16152" width="16.42578125" customWidth="1"/>
    <col min="16153" max="16153" width="0" hidden="1" customWidth="1"/>
  </cols>
  <sheetData>
    <row r="1" spans="1:25" ht="18.75" x14ac:dyDescent="0.25">
      <c r="A1" s="504"/>
      <c r="B1" s="505"/>
      <c r="C1" s="1043" t="s">
        <v>827</v>
      </c>
      <c r="D1" s="1043"/>
      <c r="E1" s="1043"/>
      <c r="F1" s="1043"/>
      <c r="G1" s="1043"/>
      <c r="H1" s="1043"/>
      <c r="I1" s="1043"/>
      <c r="J1" s="1043"/>
      <c r="K1" s="1043"/>
      <c r="L1" s="1043"/>
      <c r="M1" s="1043"/>
      <c r="N1" s="1043"/>
      <c r="O1" s="1043"/>
      <c r="P1" s="1043"/>
      <c r="Q1" s="1043"/>
      <c r="R1" s="1043"/>
      <c r="S1" s="550"/>
      <c r="T1" s="550"/>
      <c r="U1" s="550"/>
      <c r="V1" s="470"/>
      <c r="W1" s="470"/>
      <c r="X1" s="470"/>
      <c r="Y1" s="470"/>
    </row>
    <row r="2" spans="1:25" ht="18.75" x14ac:dyDescent="0.25">
      <c r="A2" s="505"/>
      <c r="B2" s="505"/>
      <c r="C2" s="506" t="s">
        <v>3</v>
      </c>
      <c r="D2" s="550"/>
      <c r="E2" s="550"/>
      <c r="F2" s="550"/>
      <c r="G2" s="550"/>
      <c r="H2" s="550"/>
      <c r="I2" s="550"/>
      <c r="J2" s="550"/>
      <c r="K2" s="550"/>
      <c r="L2" s="550"/>
      <c r="M2" s="550"/>
      <c r="N2" s="550"/>
      <c r="O2" s="550"/>
      <c r="P2" s="550"/>
      <c r="Q2" s="550"/>
      <c r="R2" s="550"/>
      <c r="S2" s="550"/>
      <c r="T2" s="550"/>
      <c r="U2" s="550"/>
      <c r="V2" s="470"/>
      <c r="W2" s="470"/>
      <c r="X2" s="1023" t="s">
        <v>826</v>
      </c>
      <c r="Y2" s="1023"/>
    </row>
    <row r="3" spans="1:25" ht="16.5" thickBot="1" x14ac:dyDescent="0.3">
      <c r="A3" s="505"/>
      <c r="B3" s="505"/>
      <c r="C3" s="507" t="s">
        <v>395</v>
      </c>
      <c r="D3" s="508"/>
      <c r="E3" s="508"/>
      <c r="F3" s="508"/>
      <c r="G3" s="508"/>
      <c r="H3" s="508"/>
      <c r="I3" s="508"/>
      <c r="J3" s="508"/>
      <c r="K3" s="508"/>
      <c r="L3" s="508"/>
      <c r="M3" s="508"/>
      <c r="N3" s="508"/>
      <c r="O3" s="508"/>
      <c r="P3" s="508"/>
      <c r="Q3" s="508"/>
      <c r="R3" s="508"/>
      <c r="S3" s="508"/>
      <c r="T3" s="508"/>
      <c r="U3" s="508"/>
      <c r="V3" s="470"/>
      <c r="W3" s="470"/>
      <c r="X3" s="470"/>
      <c r="Y3" s="470"/>
    </row>
    <row r="4" spans="1:25" ht="25.5" x14ac:dyDescent="0.25">
      <c r="A4" s="505"/>
      <c r="B4" s="505"/>
      <c r="C4" s="505"/>
      <c r="D4" s="505"/>
      <c r="E4" s="505"/>
      <c r="F4" s="505"/>
      <c r="G4" s="505"/>
      <c r="H4" s="505"/>
      <c r="I4" s="505"/>
      <c r="J4" s="505"/>
      <c r="K4" s="505"/>
      <c r="L4" s="505"/>
      <c r="M4" s="505"/>
      <c r="N4" s="505"/>
      <c r="O4" s="505"/>
      <c r="P4" s="505"/>
      <c r="Q4" s="505"/>
      <c r="R4" s="505"/>
      <c r="S4" s="505"/>
      <c r="T4" s="505"/>
      <c r="U4" s="505"/>
      <c r="V4" s="350"/>
      <c r="W4" s="488"/>
      <c r="X4" s="625" t="s">
        <v>855</v>
      </c>
      <c r="Y4" s="625" t="s">
        <v>868</v>
      </c>
    </row>
    <row r="5" spans="1:25" x14ac:dyDescent="0.25">
      <c r="A5" s="1044" t="s">
        <v>7</v>
      </c>
      <c r="B5" s="1045"/>
      <c r="C5" s="1045"/>
      <c r="D5" s="1045"/>
      <c r="E5" s="1045"/>
      <c r="F5" s="1045"/>
      <c r="G5" s="1045"/>
      <c r="H5" s="1045"/>
      <c r="I5" s="1045"/>
      <c r="J5" s="1045"/>
      <c r="K5" s="1045"/>
      <c r="L5" s="1045"/>
      <c r="M5" s="1045"/>
      <c r="N5" s="1045"/>
      <c r="O5" s="1045"/>
      <c r="P5" s="1045"/>
      <c r="Q5" s="1045"/>
      <c r="R5" s="1045"/>
      <c r="S5" s="1046"/>
      <c r="T5" s="1050" t="s">
        <v>6</v>
      </c>
      <c r="U5" s="1051"/>
      <c r="V5" s="509" t="s">
        <v>396</v>
      </c>
      <c r="W5" s="470"/>
      <c r="X5" s="470"/>
      <c r="Y5" s="470"/>
    </row>
    <row r="6" spans="1:25" ht="30" x14ac:dyDescent="0.25">
      <c r="A6" s="1047"/>
      <c r="B6" s="1048"/>
      <c r="C6" s="1048"/>
      <c r="D6" s="1048"/>
      <c r="E6" s="1048"/>
      <c r="F6" s="1048"/>
      <c r="G6" s="1048"/>
      <c r="H6" s="1048"/>
      <c r="I6" s="1048"/>
      <c r="J6" s="1048"/>
      <c r="K6" s="1048"/>
      <c r="L6" s="1048"/>
      <c r="M6" s="1048"/>
      <c r="N6" s="1048"/>
      <c r="O6" s="1048"/>
      <c r="P6" s="1048"/>
      <c r="Q6" s="1048"/>
      <c r="R6" s="1048"/>
      <c r="S6" s="1049"/>
      <c r="T6" s="1052"/>
      <c r="U6" s="1053"/>
      <c r="V6" s="509" t="s">
        <v>396</v>
      </c>
      <c r="W6" s="510" t="s">
        <v>397</v>
      </c>
      <c r="X6" s="510" t="s">
        <v>502</v>
      </c>
      <c r="Y6" s="510" t="s">
        <v>502</v>
      </c>
    </row>
    <row r="7" spans="1:25" x14ac:dyDescent="0.25">
      <c r="A7" s="1032" t="s">
        <v>398</v>
      </c>
      <c r="B7" s="1033"/>
      <c r="C7" s="1033"/>
      <c r="D7" s="1033"/>
      <c r="E7" s="1033"/>
      <c r="F7" s="1033"/>
      <c r="G7" s="1033"/>
      <c r="H7" s="1033"/>
      <c r="I7" s="1033"/>
      <c r="J7" s="1033"/>
      <c r="K7" s="1033"/>
      <c r="L7" s="1033"/>
      <c r="M7" s="1033"/>
      <c r="N7" s="1033"/>
      <c r="O7" s="1033"/>
      <c r="P7" s="1033"/>
      <c r="Q7" s="1033"/>
      <c r="R7" s="1033"/>
      <c r="S7" s="1034"/>
      <c r="T7" s="1027" t="s">
        <v>399</v>
      </c>
      <c r="U7" s="1028"/>
      <c r="V7" s="511" t="s">
        <v>400</v>
      </c>
      <c r="W7" s="512"/>
      <c r="X7" s="513">
        <v>185885</v>
      </c>
      <c r="Y7" s="513">
        <v>2164326</v>
      </c>
    </row>
    <row r="8" spans="1:25" x14ac:dyDescent="0.25">
      <c r="A8" s="1032" t="s">
        <v>401</v>
      </c>
      <c r="B8" s="1033"/>
      <c r="C8" s="1033"/>
      <c r="D8" s="1033"/>
      <c r="E8" s="1033"/>
      <c r="F8" s="1033"/>
      <c r="G8" s="1033"/>
      <c r="H8" s="1033"/>
      <c r="I8" s="1033"/>
      <c r="J8" s="1033"/>
      <c r="K8" s="1033"/>
      <c r="L8" s="1033"/>
      <c r="M8" s="1033"/>
      <c r="N8" s="1033"/>
      <c r="O8" s="1033"/>
      <c r="P8" s="1033"/>
      <c r="Q8" s="1033"/>
      <c r="R8" s="1033"/>
      <c r="S8" s="1034"/>
      <c r="T8" s="1027" t="s">
        <v>402</v>
      </c>
      <c r="U8" s="1028"/>
      <c r="V8" s="514" t="s">
        <v>403</v>
      </c>
      <c r="W8" s="512" t="s">
        <v>404</v>
      </c>
      <c r="X8" s="513">
        <v>5124655</v>
      </c>
      <c r="Y8" s="513">
        <v>5124655</v>
      </c>
    </row>
    <row r="9" spans="1:25" ht="15.75" thickBot="1" x14ac:dyDescent="0.3">
      <c r="A9" s="1032" t="s">
        <v>405</v>
      </c>
      <c r="B9" s="1033"/>
      <c r="C9" s="1033"/>
      <c r="D9" s="1033"/>
      <c r="E9" s="1033"/>
      <c r="F9" s="1033"/>
      <c r="G9" s="1033"/>
      <c r="H9" s="1033"/>
      <c r="I9" s="1033"/>
      <c r="J9" s="1033"/>
      <c r="K9" s="1033"/>
      <c r="L9" s="1033"/>
      <c r="M9" s="1033"/>
      <c r="N9" s="1033"/>
      <c r="O9" s="1033"/>
      <c r="P9" s="1033"/>
      <c r="Q9" s="1033"/>
      <c r="R9" s="1033"/>
      <c r="S9" s="1034"/>
      <c r="T9" s="1027" t="s">
        <v>406</v>
      </c>
      <c r="U9" s="1028"/>
      <c r="V9" s="514" t="s">
        <v>407</v>
      </c>
      <c r="W9" s="512" t="s">
        <v>408</v>
      </c>
      <c r="X9" s="513">
        <f>SUM(Z9:BA9)</f>
        <v>0</v>
      </c>
      <c r="Y9" s="513">
        <f>SUM(Z9:BB9)</f>
        <v>0</v>
      </c>
    </row>
    <row r="10" spans="1:25" ht="16.5" thickBot="1" x14ac:dyDescent="0.3">
      <c r="A10" s="1024" t="s">
        <v>409</v>
      </c>
      <c r="B10" s="1025"/>
      <c r="C10" s="1025"/>
      <c r="D10" s="1025"/>
      <c r="E10" s="1025"/>
      <c r="F10" s="1025"/>
      <c r="G10" s="1025"/>
      <c r="H10" s="1025"/>
      <c r="I10" s="1025"/>
      <c r="J10" s="1025"/>
      <c r="K10" s="1025"/>
      <c r="L10" s="1025"/>
      <c r="M10" s="1025"/>
      <c r="N10" s="1025"/>
      <c r="O10" s="1025"/>
      <c r="P10" s="1025"/>
      <c r="Q10" s="1025"/>
      <c r="R10" s="1025"/>
      <c r="S10" s="1026"/>
      <c r="T10" s="1027" t="s">
        <v>410</v>
      </c>
      <c r="U10" s="1028"/>
      <c r="V10" s="514"/>
      <c r="W10" s="512" t="s">
        <v>411</v>
      </c>
      <c r="X10" s="465">
        <f>X7+X8+X9</f>
        <v>5310540</v>
      </c>
      <c r="Y10" s="465">
        <f>Y7+Y8+Y9</f>
        <v>7288981</v>
      </c>
    </row>
    <row r="11" spans="1:25" x14ac:dyDescent="0.25">
      <c r="A11" s="1032" t="s">
        <v>412</v>
      </c>
      <c r="B11" s="1033"/>
      <c r="C11" s="1033"/>
      <c r="D11" s="1033"/>
      <c r="E11" s="1033"/>
      <c r="F11" s="1033"/>
      <c r="G11" s="1033"/>
      <c r="H11" s="1033"/>
      <c r="I11" s="1033"/>
      <c r="J11" s="1033"/>
      <c r="K11" s="1033"/>
      <c r="L11" s="1033"/>
      <c r="M11" s="1033"/>
      <c r="N11" s="1033"/>
      <c r="O11" s="1033"/>
      <c r="P11" s="1033"/>
      <c r="Q11" s="1033"/>
      <c r="R11" s="1033"/>
      <c r="S11" s="1034"/>
      <c r="T11" s="1027" t="s">
        <v>413</v>
      </c>
      <c r="U11" s="1028"/>
      <c r="V11" s="514" t="s">
        <v>414</v>
      </c>
      <c r="W11" s="512"/>
      <c r="X11" s="513">
        <v>665216</v>
      </c>
      <c r="Y11" s="513">
        <v>671405</v>
      </c>
    </row>
    <row r="12" spans="1:25" ht="15.75" thickBot="1" x14ac:dyDescent="0.3">
      <c r="A12" s="1032" t="s">
        <v>415</v>
      </c>
      <c r="B12" s="1033"/>
      <c r="C12" s="1033"/>
      <c r="D12" s="1033"/>
      <c r="E12" s="1033"/>
      <c r="F12" s="1033"/>
      <c r="G12" s="1033"/>
      <c r="H12" s="1033"/>
      <c r="I12" s="1033"/>
      <c r="J12" s="1033"/>
      <c r="K12" s="1033"/>
      <c r="L12" s="1033"/>
      <c r="M12" s="1033"/>
      <c r="N12" s="1033"/>
      <c r="O12" s="1033"/>
      <c r="P12" s="1033"/>
      <c r="Q12" s="1033"/>
      <c r="R12" s="1033"/>
      <c r="S12" s="1034"/>
      <c r="T12" s="1027" t="s">
        <v>416</v>
      </c>
      <c r="U12" s="1028"/>
      <c r="V12" s="514" t="s">
        <v>417</v>
      </c>
      <c r="W12" s="512"/>
      <c r="X12" s="513">
        <v>458471</v>
      </c>
      <c r="Y12" s="513">
        <v>458471</v>
      </c>
    </row>
    <row r="13" spans="1:25" ht="16.5" thickBot="1" x14ac:dyDescent="0.3">
      <c r="A13" s="1024" t="s">
        <v>418</v>
      </c>
      <c r="B13" s="1025"/>
      <c r="C13" s="1025"/>
      <c r="D13" s="1025"/>
      <c r="E13" s="1025"/>
      <c r="F13" s="1025"/>
      <c r="G13" s="1025"/>
      <c r="H13" s="1025"/>
      <c r="I13" s="1025"/>
      <c r="J13" s="1025"/>
      <c r="K13" s="1025"/>
      <c r="L13" s="1025"/>
      <c r="M13" s="1025"/>
      <c r="N13" s="1025"/>
      <c r="O13" s="1025"/>
      <c r="P13" s="1025"/>
      <c r="Q13" s="1025"/>
      <c r="R13" s="1025"/>
      <c r="S13" s="1026"/>
      <c r="T13" s="1027" t="s">
        <v>419</v>
      </c>
      <c r="U13" s="1028"/>
      <c r="V13" s="514"/>
      <c r="W13" s="512"/>
      <c r="X13" s="465">
        <f>X11+X12</f>
        <v>1123687</v>
      </c>
      <c r="Y13" s="465">
        <f>Y11+Y12</f>
        <v>1129876</v>
      </c>
    </row>
    <row r="14" spans="1:25" x14ac:dyDescent="0.25">
      <c r="A14" s="1032" t="s">
        <v>420</v>
      </c>
      <c r="B14" s="1033"/>
      <c r="C14" s="1033"/>
      <c r="D14" s="1033"/>
      <c r="E14" s="1033"/>
      <c r="F14" s="1033"/>
      <c r="G14" s="1033"/>
      <c r="H14" s="1033"/>
      <c r="I14" s="1033"/>
      <c r="J14" s="1033"/>
      <c r="K14" s="1033"/>
      <c r="L14" s="1033"/>
      <c r="M14" s="1033"/>
      <c r="N14" s="1033"/>
      <c r="O14" s="1033"/>
      <c r="P14" s="1033"/>
      <c r="Q14" s="1033"/>
      <c r="R14" s="1033"/>
      <c r="S14" s="1034"/>
      <c r="T14" s="1027" t="s">
        <v>421</v>
      </c>
      <c r="U14" s="1028"/>
      <c r="V14" s="514" t="s">
        <v>422</v>
      </c>
      <c r="W14" s="512"/>
      <c r="X14" s="513">
        <v>3611407</v>
      </c>
      <c r="Y14" s="513">
        <v>3611407</v>
      </c>
    </row>
    <row r="15" spans="1:25" x14ac:dyDescent="0.25">
      <c r="A15" s="1032" t="s">
        <v>423</v>
      </c>
      <c r="B15" s="1033"/>
      <c r="C15" s="1033"/>
      <c r="D15" s="1033"/>
      <c r="E15" s="1033"/>
      <c r="F15" s="1033"/>
      <c r="G15" s="1033"/>
      <c r="H15" s="1033"/>
      <c r="I15" s="1033"/>
      <c r="J15" s="1033"/>
      <c r="K15" s="1033"/>
      <c r="L15" s="1033"/>
      <c r="M15" s="1033"/>
      <c r="N15" s="1033"/>
      <c r="O15" s="1033"/>
      <c r="P15" s="1033"/>
      <c r="Q15" s="1033"/>
      <c r="R15" s="1033"/>
      <c r="S15" s="1034"/>
      <c r="T15" s="1027" t="s">
        <v>424</v>
      </c>
      <c r="U15" s="1028"/>
      <c r="V15" s="514" t="s">
        <v>425</v>
      </c>
      <c r="W15" s="512" t="s">
        <v>426</v>
      </c>
      <c r="X15" s="513">
        <v>19908614</v>
      </c>
      <c r="Y15" s="513">
        <v>20324614</v>
      </c>
    </row>
    <row r="16" spans="1:25" x14ac:dyDescent="0.25">
      <c r="A16" s="1032" t="s">
        <v>427</v>
      </c>
      <c r="B16" s="1033"/>
      <c r="C16" s="1033"/>
      <c r="D16" s="1033"/>
      <c r="E16" s="1033"/>
      <c r="F16" s="1033"/>
      <c r="G16" s="1033"/>
      <c r="H16" s="1033"/>
      <c r="I16" s="1033"/>
      <c r="J16" s="1033"/>
      <c r="K16" s="1033"/>
      <c r="L16" s="1033"/>
      <c r="M16" s="1033"/>
      <c r="N16" s="1033"/>
      <c r="O16" s="1033"/>
      <c r="P16" s="1033"/>
      <c r="Q16" s="1033"/>
      <c r="R16" s="1033"/>
      <c r="S16" s="1034"/>
      <c r="T16" s="1027" t="s">
        <v>428</v>
      </c>
      <c r="U16" s="1028"/>
      <c r="V16" s="514" t="s">
        <v>429</v>
      </c>
      <c r="W16" s="512"/>
      <c r="X16" s="513">
        <v>2180000</v>
      </c>
      <c r="Y16" s="513">
        <v>2180000</v>
      </c>
    </row>
    <row r="17" spans="1:25" x14ac:dyDescent="0.25">
      <c r="A17" s="1029" t="s">
        <v>430</v>
      </c>
      <c r="B17" s="1030"/>
      <c r="C17" s="1030"/>
      <c r="D17" s="1030"/>
      <c r="E17" s="1030"/>
      <c r="F17" s="1030"/>
      <c r="G17" s="1030"/>
      <c r="H17" s="1030"/>
      <c r="I17" s="1030"/>
      <c r="J17" s="1030"/>
      <c r="K17" s="1030"/>
      <c r="L17" s="1030"/>
      <c r="M17" s="1030"/>
      <c r="N17" s="1030"/>
      <c r="O17" s="1030"/>
      <c r="P17" s="1030"/>
      <c r="Q17" s="1030"/>
      <c r="R17" s="1030"/>
      <c r="S17" s="1031"/>
      <c r="T17" s="1027" t="s">
        <v>431</v>
      </c>
      <c r="U17" s="1028"/>
      <c r="V17" s="514"/>
      <c r="W17" s="512" t="s">
        <v>432</v>
      </c>
      <c r="X17" s="513">
        <f>SUM(Z17:BA17)</f>
        <v>0</v>
      </c>
      <c r="Y17" s="513">
        <f>SUM(Z17:BB17)</f>
        <v>0</v>
      </c>
    </row>
    <row r="18" spans="1:25" x14ac:dyDescent="0.25">
      <c r="A18" s="1032" t="s">
        <v>433</v>
      </c>
      <c r="B18" s="1033"/>
      <c r="C18" s="1033"/>
      <c r="D18" s="1033"/>
      <c r="E18" s="1033"/>
      <c r="F18" s="1033"/>
      <c r="G18" s="1033"/>
      <c r="H18" s="1033"/>
      <c r="I18" s="1033"/>
      <c r="J18" s="1033"/>
      <c r="K18" s="1033"/>
      <c r="L18" s="1033"/>
      <c r="M18" s="1033"/>
      <c r="N18" s="1033"/>
      <c r="O18" s="1033"/>
      <c r="P18" s="1033"/>
      <c r="Q18" s="1033"/>
      <c r="R18" s="1033"/>
      <c r="S18" s="1034"/>
      <c r="T18" s="1027" t="s">
        <v>434</v>
      </c>
      <c r="U18" s="1028"/>
      <c r="V18" s="514" t="s">
        <v>435</v>
      </c>
      <c r="W18" s="512"/>
      <c r="X18" s="513">
        <v>1134500</v>
      </c>
      <c r="Y18" s="513">
        <v>1134500</v>
      </c>
    </row>
    <row r="19" spans="1:25" x14ac:dyDescent="0.25">
      <c r="A19" s="1032" t="s">
        <v>436</v>
      </c>
      <c r="B19" s="1033"/>
      <c r="C19" s="1033"/>
      <c r="D19" s="1033"/>
      <c r="E19" s="1033"/>
      <c r="F19" s="1033"/>
      <c r="G19" s="1033"/>
      <c r="H19" s="1033"/>
      <c r="I19" s="1033"/>
      <c r="J19" s="1033"/>
      <c r="K19" s="1033"/>
      <c r="L19" s="1033"/>
      <c r="M19" s="1033"/>
      <c r="N19" s="1033"/>
      <c r="O19" s="1033"/>
      <c r="P19" s="1033"/>
      <c r="Q19" s="1033"/>
      <c r="R19" s="1033"/>
      <c r="S19" s="1034"/>
      <c r="T19" s="1027" t="s">
        <v>437</v>
      </c>
      <c r="U19" s="1028"/>
      <c r="V19" s="514" t="s">
        <v>438</v>
      </c>
      <c r="W19" s="512" t="s">
        <v>439</v>
      </c>
      <c r="X19" s="513">
        <f>SUM(Z19:BA19)</f>
        <v>0</v>
      </c>
      <c r="Y19" s="513">
        <f>SUM(Z19:BB19)</f>
        <v>0</v>
      </c>
    </row>
    <row r="20" spans="1:25" x14ac:dyDescent="0.25">
      <c r="A20" s="1029" t="s">
        <v>440</v>
      </c>
      <c r="B20" s="1030"/>
      <c r="C20" s="1030"/>
      <c r="D20" s="1030"/>
      <c r="E20" s="1030"/>
      <c r="F20" s="1030"/>
      <c r="G20" s="1030"/>
      <c r="H20" s="1030"/>
      <c r="I20" s="1030"/>
      <c r="J20" s="1030"/>
      <c r="K20" s="1030"/>
      <c r="L20" s="1030"/>
      <c r="M20" s="1030"/>
      <c r="N20" s="1030"/>
      <c r="O20" s="1030"/>
      <c r="P20" s="1030"/>
      <c r="Q20" s="1030"/>
      <c r="R20" s="1030"/>
      <c r="S20" s="1031"/>
      <c r="T20" s="1027" t="s">
        <v>441</v>
      </c>
      <c r="U20" s="1028"/>
      <c r="V20" s="514"/>
      <c r="W20" s="512" t="s">
        <v>408</v>
      </c>
      <c r="X20" s="513">
        <f>SUM(Z20:BA20)</f>
        <v>0</v>
      </c>
      <c r="Y20" s="513">
        <f>SUM(Z20:BB20)</f>
        <v>0</v>
      </c>
    </row>
    <row r="21" spans="1:25" x14ac:dyDescent="0.25">
      <c r="A21" s="1038" t="s">
        <v>442</v>
      </c>
      <c r="B21" s="1039"/>
      <c r="C21" s="1039"/>
      <c r="D21" s="1039"/>
      <c r="E21" s="1039"/>
      <c r="F21" s="1039"/>
      <c r="G21" s="1039"/>
      <c r="H21" s="1039"/>
      <c r="I21" s="1039"/>
      <c r="J21" s="1039"/>
      <c r="K21" s="1039"/>
      <c r="L21" s="1039"/>
      <c r="M21" s="1039"/>
      <c r="N21" s="1039"/>
      <c r="O21" s="1039"/>
      <c r="P21" s="1039"/>
      <c r="Q21" s="1039"/>
      <c r="R21" s="1039"/>
      <c r="S21" s="1040"/>
      <c r="T21" s="1041" t="s">
        <v>443</v>
      </c>
      <c r="U21" s="1042"/>
      <c r="V21" s="514" t="s">
        <v>444</v>
      </c>
      <c r="W21" s="466"/>
      <c r="X21" s="467">
        <v>3512740</v>
      </c>
      <c r="Y21" s="467">
        <v>30312009</v>
      </c>
    </row>
    <row r="22" spans="1:25" ht="15.75" thickBot="1" x14ac:dyDescent="0.3">
      <c r="A22" s="1032" t="s">
        <v>445</v>
      </c>
      <c r="B22" s="1033"/>
      <c r="C22" s="1033"/>
      <c r="D22" s="1033"/>
      <c r="E22" s="1033"/>
      <c r="F22" s="1033"/>
      <c r="G22" s="1033"/>
      <c r="H22" s="1033"/>
      <c r="I22" s="1033"/>
      <c r="J22" s="1033"/>
      <c r="K22" s="1033"/>
      <c r="L22" s="1033"/>
      <c r="M22" s="1033"/>
      <c r="N22" s="1033"/>
      <c r="O22" s="1033"/>
      <c r="P22" s="1033"/>
      <c r="Q22" s="1033"/>
      <c r="R22" s="1033"/>
      <c r="S22" s="1034"/>
      <c r="T22" s="1027" t="s">
        <v>446</v>
      </c>
      <c r="U22" s="1028"/>
      <c r="V22" s="514" t="s">
        <v>447</v>
      </c>
      <c r="W22" s="512" t="s">
        <v>448</v>
      </c>
      <c r="X22" s="513">
        <v>10436389</v>
      </c>
      <c r="Y22" s="513">
        <v>11717721</v>
      </c>
    </row>
    <row r="23" spans="1:25" ht="16.5" thickBot="1" x14ac:dyDescent="0.3">
      <c r="A23" s="1024" t="s">
        <v>449</v>
      </c>
      <c r="B23" s="1025"/>
      <c r="C23" s="1025"/>
      <c r="D23" s="1025"/>
      <c r="E23" s="1025"/>
      <c r="F23" s="1025"/>
      <c r="G23" s="1025"/>
      <c r="H23" s="1025"/>
      <c r="I23" s="1025"/>
      <c r="J23" s="1025"/>
      <c r="K23" s="1025"/>
      <c r="L23" s="1025"/>
      <c r="M23" s="1025"/>
      <c r="N23" s="1025"/>
      <c r="O23" s="1025"/>
      <c r="P23" s="1025"/>
      <c r="Q23" s="1025"/>
      <c r="R23" s="1025"/>
      <c r="S23" s="1026"/>
      <c r="T23" s="1027" t="s">
        <v>450</v>
      </c>
      <c r="U23" s="1028"/>
      <c r="V23" s="514"/>
      <c r="W23" s="512"/>
      <c r="X23" s="465">
        <f>X14+X15+X16+X18+X19+X21+X22</f>
        <v>40783650</v>
      </c>
      <c r="Y23" s="465">
        <f>Y14+Y15+Y16+Y18+Y19+Y21+Y22</f>
        <v>69280251</v>
      </c>
    </row>
    <row r="24" spans="1:25" x14ac:dyDescent="0.25">
      <c r="A24" s="1032" t="s">
        <v>451</v>
      </c>
      <c r="B24" s="1033"/>
      <c r="C24" s="1033"/>
      <c r="D24" s="1033"/>
      <c r="E24" s="1033"/>
      <c r="F24" s="1033"/>
      <c r="G24" s="1033"/>
      <c r="H24" s="1033"/>
      <c r="I24" s="1033"/>
      <c r="J24" s="1033"/>
      <c r="K24" s="1033"/>
      <c r="L24" s="1033"/>
      <c r="M24" s="1033"/>
      <c r="N24" s="1033"/>
      <c r="O24" s="1033"/>
      <c r="P24" s="1033"/>
      <c r="Q24" s="1033"/>
      <c r="R24" s="1033"/>
      <c r="S24" s="1034"/>
      <c r="T24" s="1027" t="s">
        <v>452</v>
      </c>
      <c r="U24" s="1028"/>
      <c r="V24" s="514" t="s">
        <v>453</v>
      </c>
      <c r="W24" s="512"/>
      <c r="X24" s="513">
        <v>370000</v>
      </c>
      <c r="Y24" s="513">
        <v>370000</v>
      </c>
    </row>
    <row r="25" spans="1:25" ht="15.75" thickBot="1" x14ac:dyDescent="0.3">
      <c r="A25" s="1038" t="s">
        <v>454</v>
      </c>
      <c r="B25" s="1039"/>
      <c r="C25" s="1039"/>
      <c r="D25" s="1039"/>
      <c r="E25" s="1039"/>
      <c r="F25" s="1039"/>
      <c r="G25" s="1039"/>
      <c r="H25" s="1039"/>
      <c r="I25" s="1039"/>
      <c r="J25" s="1039"/>
      <c r="K25" s="1039"/>
      <c r="L25" s="1039"/>
      <c r="M25" s="1039"/>
      <c r="N25" s="1039"/>
      <c r="O25" s="1039"/>
      <c r="P25" s="1039"/>
      <c r="Q25" s="1039"/>
      <c r="R25" s="1039"/>
      <c r="S25" s="1040"/>
      <c r="T25" s="1027" t="s">
        <v>455</v>
      </c>
      <c r="U25" s="1028"/>
      <c r="V25" s="514" t="s">
        <v>456</v>
      </c>
      <c r="W25" s="512"/>
      <c r="X25" s="513">
        <v>980000</v>
      </c>
      <c r="Y25" s="513">
        <v>980000</v>
      </c>
    </row>
    <row r="26" spans="1:25" ht="16.5" thickBot="1" x14ac:dyDescent="0.3">
      <c r="A26" s="1024" t="s">
        <v>457</v>
      </c>
      <c r="B26" s="1025"/>
      <c r="C26" s="1025"/>
      <c r="D26" s="1025"/>
      <c r="E26" s="1025"/>
      <c r="F26" s="1025"/>
      <c r="G26" s="1025"/>
      <c r="H26" s="1025"/>
      <c r="I26" s="1025"/>
      <c r="J26" s="1025"/>
      <c r="K26" s="1025"/>
      <c r="L26" s="1025"/>
      <c r="M26" s="1025"/>
      <c r="N26" s="1025"/>
      <c r="O26" s="1025"/>
      <c r="P26" s="1025"/>
      <c r="Q26" s="1025"/>
      <c r="R26" s="1025"/>
      <c r="S26" s="1026"/>
      <c r="T26" s="1027" t="s">
        <v>458</v>
      </c>
      <c r="U26" s="1028"/>
      <c r="V26" s="514"/>
      <c r="W26" s="512" t="s">
        <v>459</v>
      </c>
      <c r="X26" s="465">
        <f>X24+X25</f>
        <v>1350000</v>
      </c>
      <c r="Y26" s="465">
        <f>Y24+Y25</f>
        <v>1350000</v>
      </c>
    </row>
    <row r="27" spans="1:25" x14ac:dyDescent="0.25">
      <c r="A27" s="1032" t="s">
        <v>460</v>
      </c>
      <c r="B27" s="1033"/>
      <c r="C27" s="1033"/>
      <c r="D27" s="1033"/>
      <c r="E27" s="1033"/>
      <c r="F27" s="1033"/>
      <c r="G27" s="1033"/>
      <c r="H27" s="1033"/>
      <c r="I27" s="1033"/>
      <c r="J27" s="1033"/>
      <c r="K27" s="1033"/>
      <c r="L27" s="1033"/>
      <c r="M27" s="1033"/>
      <c r="N27" s="1033"/>
      <c r="O27" s="1033"/>
      <c r="P27" s="1033"/>
      <c r="Q27" s="1033"/>
      <c r="R27" s="1033"/>
      <c r="S27" s="1034"/>
      <c r="T27" s="1027" t="s">
        <v>461</v>
      </c>
      <c r="U27" s="1028"/>
      <c r="V27" s="514" t="s">
        <v>462</v>
      </c>
      <c r="W27" s="512" t="s">
        <v>463</v>
      </c>
      <c r="X27" s="513">
        <v>11901583</v>
      </c>
      <c r="Y27" s="513">
        <v>19538719</v>
      </c>
    </row>
    <row r="28" spans="1:25" x14ac:dyDescent="0.25">
      <c r="A28" s="1035" t="s">
        <v>464</v>
      </c>
      <c r="B28" s="1036"/>
      <c r="C28" s="1036"/>
      <c r="D28" s="1036"/>
      <c r="E28" s="1036"/>
      <c r="F28" s="1036"/>
      <c r="G28" s="1036"/>
      <c r="H28" s="1036"/>
      <c r="I28" s="1036"/>
      <c r="J28" s="1036"/>
      <c r="K28" s="1036"/>
      <c r="L28" s="1036"/>
      <c r="M28" s="1036"/>
      <c r="N28" s="1036"/>
      <c r="O28" s="1036"/>
      <c r="P28" s="1036"/>
      <c r="Q28" s="1036"/>
      <c r="R28" s="1036"/>
      <c r="S28" s="1037"/>
      <c r="T28" s="1027" t="s">
        <v>465</v>
      </c>
      <c r="U28" s="1028"/>
      <c r="V28" s="514" t="s">
        <v>466</v>
      </c>
      <c r="W28" s="512"/>
      <c r="X28" s="513">
        <f>SUM(Z28:BA28)</f>
        <v>0</v>
      </c>
      <c r="Y28" s="513">
        <f>SUM(Z28:BB28)</f>
        <v>0</v>
      </c>
    </row>
    <row r="29" spans="1:25" ht="15.75" x14ac:dyDescent="0.25">
      <c r="A29" s="1024" t="s">
        <v>467</v>
      </c>
      <c r="B29" s="1025"/>
      <c r="C29" s="1025"/>
      <c r="D29" s="1025"/>
      <c r="E29" s="1025"/>
      <c r="F29" s="1025"/>
      <c r="G29" s="1025"/>
      <c r="H29" s="1025"/>
      <c r="I29" s="1025"/>
      <c r="J29" s="1025"/>
      <c r="K29" s="1025"/>
      <c r="L29" s="1025"/>
      <c r="M29" s="1025"/>
      <c r="N29" s="1025"/>
      <c r="O29" s="1025"/>
      <c r="P29" s="1025"/>
      <c r="Q29" s="1025"/>
      <c r="R29" s="1025"/>
      <c r="S29" s="1026"/>
      <c r="T29" s="1027" t="s">
        <v>468</v>
      </c>
      <c r="U29" s="1028"/>
      <c r="V29" s="514" t="s">
        <v>469</v>
      </c>
      <c r="W29" s="512"/>
      <c r="X29" s="513">
        <f>X31+X30</f>
        <v>0</v>
      </c>
      <c r="Y29" s="513">
        <f>Y31+Y30</f>
        <v>0</v>
      </c>
    </row>
    <row r="30" spans="1:25" x14ac:dyDescent="0.25">
      <c r="A30" s="1029" t="s">
        <v>470</v>
      </c>
      <c r="B30" s="1030"/>
      <c r="C30" s="1030"/>
      <c r="D30" s="1030"/>
      <c r="E30" s="1030"/>
      <c r="F30" s="1030"/>
      <c r="G30" s="1030"/>
      <c r="H30" s="1030"/>
      <c r="I30" s="1030"/>
      <c r="J30" s="1030"/>
      <c r="K30" s="1030"/>
      <c r="L30" s="1030"/>
      <c r="M30" s="1030"/>
      <c r="N30" s="1030"/>
      <c r="O30" s="1030"/>
      <c r="P30" s="1030"/>
      <c r="Q30" s="1030"/>
      <c r="R30" s="1030"/>
      <c r="S30" s="1031"/>
      <c r="T30" s="1027" t="s">
        <v>471</v>
      </c>
      <c r="U30" s="1028"/>
      <c r="V30" s="514" t="s">
        <v>469</v>
      </c>
      <c r="W30" s="512" t="s">
        <v>472</v>
      </c>
      <c r="X30" s="513">
        <f>SUM(Z30:BA30)</f>
        <v>0</v>
      </c>
      <c r="Y30" s="513">
        <f>SUM(Z30:BB30)</f>
        <v>0</v>
      </c>
    </row>
    <row r="31" spans="1:25" x14ac:dyDescent="0.25">
      <c r="A31" s="1029" t="s">
        <v>473</v>
      </c>
      <c r="B31" s="1030"/>
      <c r="C31" s="1030"/>
      <c r="D31" s="1030"/>
      <c r="E31" s="1030"/>
      <c r="F31" s="1030"/>
      <c r="G31" s="1030"/>
      <c r="H31" s="1030"/>
      <c r="I31" s="1030"/>
      <c r="J31" s="1030"/>
      <c r="K31" s="1030"/>
      <c r="L31" s="1030"/>
      <c r="M31" s="1030"/>
      <c r="N31" s="1030"/>
      <c r="O31" s="1030"/>
      <c r="P31" s="1030"/>
      <c r="Q31" s="1030"/>
      <c r="R31" s="1030"/>
      <c r="S31" s="1031"/>
      <c r="T31" s="1027" t="s">
        <v>474</v>
      </c>
      <c r="U31" s="1028"/>
      <c r="V31" s="514" t="s">
        <v>469</v>
      </c>
      <c r="W31" s="512" t="s">
        <v>475</v>
      </c>
      <c r="X31" s="513">
        <f>SUM(Z31:BA31)</f>
        <v>0</v>
      </c>
      <c r="Y31" s="513">
        <f>SUM(Z31:BB31)</f>
        <v>0</v>
      </c>
    </row>
    <row r="32" spans="1:25" ht="15.75" x14ac:dyDescent="0.25">
      <c r="A32" s="1024" t="s">
        <v>476</v>
      </c>
      <c r="B32" s="1025"/>
      <c r="C32" s="1025"/>
      <c r="D32" s="1025"/>
      <c r="E32" s="1025"/>
      <c r="F32" s="1025"/>
      <c r="G32" s="1025"/>
      <c r="H32" s="1025"/>
      <c r="I32" s="1025"/>
      <c r="J32" s="1025"/>
      <c r="K32" s="1025"/>
      <c r="L32" s="1025"/>
      <c r="M32" s="1025"/>
      <c r="N32" s="1025"/>
      <c r="O32" s="1025"/>
      <c r="P32" s="1025"/>
      <c r="Q32" s="1025"/>
      <c r="R32" s="1025"/>
      <c r="S32" s="1026"/>
      <c r="T32" s="1027" t="s">
        <v>477</v>
      </c>
      <c r="U32" s="1028"/>
      <c r="V32" s="514" t="s">
        <v>478</v>
      </c>
      <c r="W32" s="512"/>
      <c r="X32" s="513">
        <f>X35+X34+X33</f>
        <v>0</v>
      </c>
      <c r="Y32" s="513">
        <f>Y35+Y34+Y33</f>
        <v>0</v>
      </c>
    </row>
    <row r="33" spans="1:25" x14ac:dyDescent="0.25">
      <c r="A33" s="1029" t="s">
        <v>479</v>
      </c>
      <c r="B33" s="1030"/>
      <c r="C33" s="1030"/>
      <c r="D33" s="1030"/>
      <c r="E33" s="1030"/>
      <c r="F33" s="1030"/>
      <c r="G33" s="1030"/>
      <c r="H33" s="1030"/>
      <c r="I33" s="1030"/>
      <c r="J33" s="1030"/>
      <c r="K33" s="1030"/>
      <c r="L33" s="1030"/>
      <c r="M33" s="1030"/>
      <c r="N33" s="1030"/>
      <c r="O33" s="1030"/>
      <c r="P33" s="1030"/>
      <c r="Q33" s="1030"/>
      <c r="R33" s="1030"/>
      <c r="S33" s="1031"/>
      <c r="T33" s="1027" t="s">
        <v>480</v>
      </c>
      <c r="U33" s="1028"/>
      <c r="V33" s="514" t="s">
        <v>478</v>
      </c>
      <c r="W33" s="512" t="s">
        <v>481</v>
      </c>
      <c r="X33" s="513">
        <f>SUM(Z33:BA33)</f>
        <v>0</v>
      </c>
      <c r="Y33" s="513">
        <f>SUM(Z33:BB33)</f>
        <v>0</v>
      </c>
    </row>
    <row r="34" spans="1:25" x14ac:dyDescent="0.25">
      <c r="A34" s="1029" t="s">
        <v>482</v>
      </c>
      <c r="B34" s="1030"/>
      <c r="C34" s="1030"/>
      <c r="D34" s="1030"/>
      <c r="E34" s="1030"/>
      <c r="F34" s="1030"/>
      <c r="G34" s="1030"/>
      <c r="H34" s="1030"/>
      <c r="I34" s="1030"/>
      <c r="J34" s="1030"/>
      <c r="K34" s="1030"/>
      <c r="L34" s="1030"/>
      <c r="M34" s="1030"/>
      <c r="N34" s="1030"/>
      <c r="O34" s="1030"/>
      <c r="P34" s="1030"/>
      <c r="Q34" s="1030"/>
      <c r="R34" s="1030"/>
      <c r="S34" s="1031"/>
      <c r="T34" s="1027" t="s">
        <v>483</v>
      </c>
      <c r="U34" s="1028"/>
      <c r="V34" s="514" t="s">
        <v>478</v>
      </c>
      <c r="W34" s="512" t="s">
        <v>484</v>
      </c>
      <c r="X34" s="513">
        <f>SUM(Z34:BA34)</f>
        <v>0</v>
      </c>
      <c r="Y34" s="513">
        <f>SUM(Z34:BB34)</f>
        <v>0</v>
      </c>
    </row>
    <row r="35" spans="1:25" x14ac:dyDescent="0.25">
      <c r="A35" s="1029" t="s">
        <v>485</v>
      </c>
      <c r="B35" s="1030"/>
      <c r="C35" s="1030"/>
      <c r="D35" s="1030"/>
      <c r="E35" s="1030"/>
      <c r="F35" s="1030"/>
      <c r="G35" s="1030"/>
      <c r="H35" s="1030"/>
      <c r="I35" s="1030"/>
      <c r="J35" s="1030"/>
      <c r="K35" s="1030"/>
      <c r="L35" s="1030"/>
      <c r="M35" s="1030"/>
      <c r="N35" s="1030"/>
      <c r="O35" s="1030"/>
      <c r="P35" s="1030"/>
      <c r="Q35" s="1030"/>
      <c r="R35" s="1030"/>
      <c r="S35" s="1031"/>
      <c r="T35" s="1027" t="s">
        <v>486</v>
      </c>
      <c r="U35" s="1028"/>
      <c r="V35" s="514" t="s">
        <v>478</v>
      </c>
      <c r="W35" s="512" t="s">
        <v>487</v>
      </c>
      <c r="X35" s="513">
        <f>SUM(Z35:BA35)</f>
        <v>0</v>
      </c>
      <c r="Y35" s="513">
        <f>SUM(Z35:BB35)</f>
        <v>0</v>
      </c>
    </row>
    <row r="36" spans="1:25" x14ac:dyDescent="0.25">
      <c r="A36" s="1032" t="s">
        <v>488</v>
      </c>
      <c r="B36" s="1033"/>
      <c r="C36" s="1033"/>
      <c r="D36" s="1033"/>
      <c r="E36" s="1033"/>
      <c r="F36" s="1033"/>
      <c r="G36" s="1033"/>
      <c r="H36" s="1033"/>
      <c r="I36" s="1033"/>
      <c r="J36" s="1033"/>
      <c r="K36" s="1033"/>
      <c r="L36" s="1033"/>
      <c r="M36" s="1033"/>
      <c r="N36" s="1033"/>
      <c r="O36" s="1033"/>
      <c r="P36" s="1033"/>
      <c r="Q36" s="1033"/>
      <c r="R36" s="1033"/>
      <c r="S36" s="1034"/>
      <c r="T36" s="1027" t="s">
        <v>489</v>
      </c>
      <c r="U36" s="1028"/>
      <c r="V36" s="514" t="s">
        <v>490</v>
      </c>
      <c r="W36" s="512"/>
      <c r="X36" s="513">
        <v>754000</v>
      </c>
      <c r="Y36" s="513">
        <v>754000</v>
      </c>
    </row>
    <row r="37" spans="1:25" ht="16.5" thickBot="1" x14ac:dyDescent="0.3">
      <c r="A37" s="1024" t="s">
        <v>491</v>
      </c>
      <c r="B37" s="1025"/>
      <c r="C37" s="1025"/>
      <c r="D37" s="1025"/>
      <c r="E37" s="1025"/>
      <c r="F37" s="1025"/>
      <c r="G37" s="1025"/>
      <c r="H37" s="1025"/>
      <c r="I37" s="1025"/>
      <c r="J37" s="1025"/>
      <c r="K37" s="1025"/>
      <c r="L37" s="1025"/>
      <c r="M37" s="1025"/>
      <c r="N37" s="1025"/>
      <c r="O37" s="1025"/>
      <c r="P37" s="1025"/>
      <c r="Q37" s="1025"/>
      <c r="R37" s="1025"/>
      <c r="S37" s="1026"/>
      <c r="T37" s="1027" t="s">
        <v>492</v>
      </c>
      <c r="U37" s="1028"/>
      <c r="V37" s="514"/>
      <c r="W37" s="512"/>
      <c r="X37" s="513">
        <f>X27+X28+X29+X32+X36</f>
        <v>12655583</v>
      </c>
      <c r="Y37" s="513">
        <f>Y27+Y28+Y29+Y32+Y36</f>
        <v>20292719</v>
      </c>
    </row>
    <row r="38" spans="1:25" ht="16.5" thickBot="1" x14ac:dyDescent="0.3">
      <c r="A38" s="1024" t="s">
        <v>493</v>
      </c>
      <c r="B38" s="1025"/>
      <c r="C38" s="1025"/>
      <c r="D38" s="1025"/>
      <c r="E38" s="1025"/>
      <c r="F38" s="1025"/>
      <c r="G38" s="1025"/>
      <c r="H38" s="1025"/>
      <c r="I38" s="1025"/>
      <c r="J38" s="1025"/>
      <c r="K38" s="1025"/>
      <c r="L38" s="1025"/>
      <c r="M38" s="1025"/>
      <c r="N38" s="1025"/>
      <c r="O38" s="1025"/>
      <c r="P38" s="1025"/>
      <c r="Q38" s="1025"/>
      <c r="R38" s="1025"/>
      <c r="S38" s="1026"/>
      <c r="T38" s="1027" t="s">
        <v>494</v>
      </c>
      <c r="U38" s="1028"/>
      <c r="V38" s="514"/>
      <c r="W38" s="512"/>
      <c r="X38" s="626">
        <f>X10+X13+X23+X26+X37</f>
        <v>61223460</v>
      </c>
      <c r="Y38" s="472">
        <f>Y10+Y13+Y23+Y26+Y37</f>
        <v>99341827</v>
      </c>
    </row>
    <row r="39" spans="1:25" x14ac:dyDescent="0.25">
      <c r="A39" s="470"/>
      <c r="B39" s="470"/>
      <c r="C39" s="470"/>
      <c r="D39" s="470"/>
      <c r="E39" s="470"/>
      <c r="F39" s="470"/>
      <c r="G39" s="470"/>
      <c r="H39" s="470"/>
      <c r="I39" s="470"/>
      <c r="J39" s="470"/>
      <c r="K39" s="470"/>
      <c r="L39" s="470"/>
      <c r="M39" s="470"/>
      <c r="N39" s="470"/>
      <c r="O39" s="470"/>
      <c r="P39" s="470"/>
      <c r="Q39" s="470"/>
      <c r="R39" s="470"/>
      <c r="S39" s="470"/>
      <c r="T39" s="470"/>
      <c r="U39" s="470"/>
      <c r="V39" s="470"/>
      <c r="W39" s="470"/>
      <c r="X39" s="513"/>
      <c r="Y39" s="513"/>
    </row>
  </sheetData>
  <mergeCells count="68">
    <mergeCell ref="C1:R1"/>
    <mergeCell ref="A5:S6"/>
    <mergeCell ref="T5:U6"/>
    <mergeCell ref="A7:S7"/>
    <mergeCell ref="T7:U7"/>
    <mergeCell ref="A8:S8"/>
    <mergeCell ref="T8:U8"/>
    <mergeCell ref="A9:S9"/>
    <mergeCell ref="T9:U9"/>
    <mergeCell ref="A10:S10"/>
    <mergeCell ref="T10:U10"/>
    <mergeCell ref="A11:S11"/>
    <mergeCell ref="T11:U11"/>
    <mergeCell ref="A12:S12"/>
    <mergeCell ref="T12:U12"/>
    <mergeCell ref="A13:S13"/>
    <mergeCell ref="T13:U13"/>
    <mergeCell ref="A14:S14"/>
    <mergeCell ref="T14:U14"/>
    <mergeCell ref="A15:S15"/>
    <mergeCell ref="T15:U15"/>
    <mergeCell ref="A16:S16"/>
    <mergeCell ref="T16:U16"/>
    <mergeCell ref="A17:S17"/>
    <mergeCell ref="T17:U17"/>
    <mergeCell ref="A18:S18"/>
    <mergeCell ref="T18:U18"/>
    <mergeCell ref="A19:S19"/>
    <mergeCell ref="T19:U19"/>
    <mergeCell ref="A20:S20"/>
    <mergeCell ref="T20:U20"/>
    <mergeCell ref="A21:S21"/>
    <mergeCell ref="T21:U21"/>
    <mergeCell ref="A22:S22"/>
    <mergeCell ref="T22:U22"/>
    <mergeCell ref="A23:S23"/>
    <mergeCell ref="T23:U23"/>
    <mergeCell ref="A24:S24"/>
    <mergeCell ref="T24:U24"/>
    <mergeCell ref="A25:S25"/>
    <mergeCell ref="T25:U25"/>
    <mergeCell ref="A26:S26"/>
    <mergeCell ref="T26:U26"/>
    <mergeCell ref="A27:S27"/>
    <mergeCell ref="T27:U27"/>
    <mergeCell ref="A28:S28"/>
    <mergeCell ref="T28:U28"/>
    <mergeCell ref="T29:U29"/>
    <mergeCell ref="A30:S30"/>
    <mergeCell ref="T30:U30"/>
    <mergeCell ref="A31:S31"/>
    <mergeCell ref="T31:U31"/>
    <mergeCell ref="X2:Y2"/>
    <mergeCell ref="A38:S38"/>
    <mergeCell ref="T38:U38"/>
    <mergeCell ref="A35:S35"/>
    <mergeCell ref="T35:U35"/>
    <mergeCell ref="A36:S36"/>
    <mergeCell ref="T36:U36"/>
    <mergeCell ref="A37:S37"/>
    <mergeCell ref="T37:U37"/>
    <mergeCell ref="A32:S32"/>
    <mergeCell ref="T32:U32"/>
    <mergeCell ref="A33:S33"/>
    <mergeCell ref="T33:U33"/>
    <mergeCell ref="A34:S34"/>
    <mergeCell ref="T34:U34"/>
    <mergeCell ref="A29:S29"/>
  </mergeCells>
  <pageMargins left="0.23622047244094491" right="0.23622047244094491" top="0.74803149606299213" bottom="0.74803149606299213" header="0.31496062992125984" footer="0.31496062992125984"/>
  <pageSetup paperSize="9" scale="7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7030A0"/>
  </sheetPr>
  <dimension ref="A1:AI37"/>
  <sheetViews>
    <sheetView topLeftCell="AA1" workbookViewId="0">
      <selection activeCell="A3" sqref="A3:AC3"/>
    </sheetView>
  </sheetViews>
  <sheetFormatPr defaultRowHeight="12.75" x14ac:dyDescent="0.2"/>
  <cols>
    <col min="1" max="17" width="3.28515625" style="413" customWidth="1"/>
    <col min="18" max="18" width="2.85546875" style="413" customWidth="1"/>
    <col min="19" max="19" width="0.7109375" style="413" customWidth="1"/>
    <col min="20" max="20" width="2" style="413" customWidth="1"/>
    <col min="21" max="21" width="3.28515625" style="413" customWidth="1"/>
    <col min="22" max="22" width="0.85546875" style="413" customWidth="1"/>
    <col min="23" max="23" width="7.85546875" style="413" customWidth="1"/>
    <col min="24" max="24" width="4" style="413" customWidth="1"/>
    <col min="25" max="25" width="17" style="413" bestFit="1" customWidth="1"/>
    <col min="26" max="26" width="17.28515625" style="413" customWidth="1"/>
    <col min="27" max="27" width="16.5703125" style="413" customWidth="1"/>
    <col min="28" max="28" width="16.140625" style="413" customWidth="1"/>
    <col min="29" max="29" width="16" style="413" customWidth="1"/>
    <col min="30" max="30" width="15.7109375" style="413" customWidth="1"/>
    <col min="31" max="31" width="15.85546875" style="413" customWidth="1"/>
    <col min="32" max="32" width="17.28515625" style="413" customWidth="1"/>
    <col min="33" max="33" width="14" style="413" customWidth="1"/>
    <col min="34" max="34" width="16.5703125" style="413" customWidth="1"/>
    <col min="35" max="35" width="17.140625" style="485" customWidth="1"/>
    <col min="36" max="256" width="9.140625" style="413"/>
    <col min="257" max="273" width="3.28515625" style="413" customWidth="1"/>
    <col min="274" max="274" width="2.85546875" style="413" customWidth="1"/>
    <col min="275" max="275" width="0.7109375" style="413" customWidth="1"/>
    <col min="276" max="276" width="2" style="413" customWidth="1"/>
    <col min="277" max="277" width="3.28515625" style="413" customWidth="1"/>
    <col min="278" max="278" width="0.85546875" style="413" customWidth="1"/>
    <col min="279" max="279" width="7.85546875" style="413" customWidth="1"/>
    <col min="280" max="280" width="4" style="413" customWidth="1"/>
    <col min="281" max="281" width="17" style="413" bestFit="1" customWidth="1"/>
    <col min="282" max="282" width="17.28515625" style="413" customWidth="1"/>
    <col min="283" max="283" width="16.5703125" style="413" customWidth="1"/>
    <col min="284" max="284" width="16.140625" style="413" customWidth="1"/>
    <col min="285" max="285" width="16" style="413" customWidth="1"/>
    <col min="286" max="286" width="15.7109375" style="413" customWidth="1"/>
    <col min="287" max="287" width="15.85546875" style="413" customWidth="1"/>
    <col min="288" max="288" width="17.28515625" style="413" customWidth="1"/>
    <col min="289" max="289" width="14" style="413" customWidth="1"/>
    <col min="290" max="290" width="16.5703125" style="413" customWidth="1"/>
    <col min="291" max="291" width="17.140625" style="413" customWidth="1"/>
    <col min="292" max="512" width="9.140625" style="413"/>
    <col min="513" max="529" width="3.28515625" style="413" customWidth="1"/>
    <col min="530" max="530" width="2.85546875" style="413" customWidth="1"/>
    <col min="531" max="531" width="0.7109375" style="413" customWidth="1"/>
    <col min="532" max="532" width="2" style="413" customWidth="1"/>
    <col min="533" max="533" width="3.28515625" style="413" customWidth="1"/>
    <col min="534" max="534" width="0.85546875" style="413" customWidth="1"/>
    <col min="535" max="535" width="7.85546875" style="413" customWidth="1"/>
    <col min="536" max="536" width="4" style="413" customWidth="1"/>
    <col min="537" max="537" width="17" style="413" bestFit="1" customWidth="1"/>
    <col min="538" max="538" width="17.28515625" style="413" customWidth="1"/>
    <col min="539" max="539" width="16.5703125" style="413" customWidth="1"/>
    <col min="540" max="540" width="16.140625" style="413" customWidth="1"/>
    <col min="541" max="541" width="16" style="413" customWidth="1"/>
    <col min="542" max="542" width="15.7109375" style="413" customWidth="1"/>
    <col min="543" max="543" width="15.85546875" style="413" customWidth="1"/>
    <col min="544" max="544" width="17.28515625" style="413" customWidth="1"/>
    <col min="545" max="545" width="14" style="413" customWidth="1"/>
    <col min="546" max="546" width="16.5703125" style="413" customWidth="1"/>
    <col min="547" max="547" width="17.140625" style="413" customWidth="1"/>
    <col min="548" max="768" width="9.140625" style="413"/>
    <col min="769" max="785" width="3.28515625" style="413" customWidth="1"/>
    <col min="786" max="786" width="2.85546875" style="413" customWidth="1"/>
    <col min="787" max="787" width="0.7109375" style="413" customWidth="1"/>
    <col min="788" max="788" width="2" style="413" customWidth="1"/>
    <col min="789" max="789" width="3.28515625" style="413" customWidth="1"/>
    <col min="790" max="790" width="0.85546875" style="413" customWidth="1"/>
    <col min="791" max="791" width="7.85546875" style="413" customWidth="1"/>
    <col min="792" max="792" width="4" style="413" customWidth="1"/>
    <col min="793" max="793" width="17" style="413" bestFit="1" customWidth="1"/>
    <col min="794" max="794" width="17.28515625" style="413" customWidth="1"/>
    <col min="795" max="795" width="16.5703125" style="413" customWidth="1"/>
    <col min="796" max="796" width="16.140625" style="413" customWidth="1"/>
    <col min="797" max="797" width="16" style="413" customWidth="1"/>
    <col min="798" max="798" width="15.7109375" style="413" customWidth="1"/>
    <col min="799" max="799" width="15.85546875" style="413" customWidth="1"/>
    <col min="800" max="800" width="17.28515625" style="413" customWidth="1"/>
    <col min="801" max="801" width="14" style="413" customWidth="1"/>
    <col min="802" max="802" width="16.5703125" style="413" customWidth="1"/>
    <col min="803" max="803" width="17.140625" style="413" customWidth="1"/>
    <col min="804" max="1024" width="9.140625" style="413"/>
    <col min="1025" max="1041" width="3.28515625" style="413" customWidth="1"/>
    <col min="1042" max="1042" width="2.85546875" style="413" customWidth="1"/>
    <col min="1043" max="1043" width="0.7109375" style="413" customWidth="1"/>
    <col min="1044" max="1044" width="2" style="413" customWidth="1"/>
    <col min="1045" max="1045" width="3.28515625" style="413" customWidth="1"/>
    <col min="1046" max="1046" width="0.85546875" style="413" customWidth="1"/>
    <col min="1047" max="1047" width="7.85546875" style="413" customWidth="1"/>
    <col min="1048" max="1048" width="4" style="413" customWidth="1"/>
    <col min="1049" max="1049" width="17" style="413" bestFit="1" customWidth="1"/>
    <col min="1050" max="1050" width="17.28515625" style="413" customWidth="1"/>
    <col min="1051" max="1051" width="16.5703125" style="413" customWidth="1"/>
    <col min="1052" max="1052" width="16.140625" style="413" customWidth="1"/>
    <col min="1053" max="1053" width="16" style="413" customWidth="1"/>
    <col min="1054" max="1054" width="15.7109375" style="413" customWidth="1"/>
    <col min="1055" max="1055" width="15.85546875" style="413" customWidth="1"/>
    <col min="1056" max="1056" width="17.28515625" style="413" customWidth="1"/>
    <col min="1057" max="1057" width="14" style="413" customWidth="1"/>
    <col min="1058" max="1058" width="16.5703125" style="413" customWidth="1"/>
    <col min="1059" max="1059" width="17.140625" style="413" customWidth="1"/>
    <col min="1060" max="1280" width="9.140625" style="413"/>
    <col min="1281" max="1297" width="3.28515625" style="413" customWidth="1"/>
    <col min="1298" max="1298" width="2.85546875" style="413" customWidth="1"/>
    <col min="1299" max="1299" width="0.7109375" style="413" customWidth="1"/>
    <col min="1300" max="1300" width="2" style="413" customWidth="1"/>
    <col min="1301" max="1301" width="3.28515625" style="413" customWidth="1"/>
    <col min="1302" max="1302" width="0.85546875" style="413" customWidth="1"/>
    <col min="1303" max="1303" width="7.85546875" style="413" customWidth="1"/>
    <col min="1304" max="1304" width="4" style="413" customWidth="1"/>
    <col min="1305" max="1305" width="17" style="413" bestFit="1" customWidth="1"/>
    <col min="1306" max="1306" width="17.28515625" style="413" customWidth="1"/>
    <col min="1307" max="1307" width="16.5703125" style="413" customWidth="1"/>
    <col min="1308" max="1308" width="16.140625" style="413" customWidth="1"/>
    <col min="1309" max="1309" width="16" style="413" customWidth="1"/>
    <col min="1310" max="1310" width="15.7109375" style="413" customWidth="1"/>
    <col min="1311" max="1311" width="15.85546875" style="413" customWidth="1"/>
    <col min="1312" max="1312" width="17.28515625" style="413" customWidth="1"/>
    <col min="1313" max="1313" width="14" style="413" customWidth="1"/>
    <col min="1314" max="1314" width="16.5703125" style="413" customWidth="1"/>
    <col min="1315" max="1315" width="17.140625" style="413" customWidth="1"/>
    <col min="1316" max="1536" width="9.140625" style="413"/>
    <col min="1537" max="1553" width="3.28515625" style="413" customWidth="1"/>
    <col min="1554" max="1554" width="2.85546875" style="413" customWidth="1"/>
    <col min="1555" max="1555" width="0.7109375" style="413" customWidth="1"/>
    <col min="1556" max="1556" width="2" style="413" customWidth="1"/>
    <col min="1557" max="1557" width="3.28515625" style="413" customWidth="1"/>
    <col min="1558" max="1558" width="0.85546875" style="413" customWidth="1"/>
    <col min="1559" max="1559" width="7.85546875" style="413" customWidth="1"/>
    <col min="1560" max="1560" width="4" style="413" customWidth="1"/>
    <col min="1561" max="1561" width="17" style="413" bestFit="1" customWidth="1"/>
    <col min="1562" max="1562" width="17.28515625" style="413" customWidth="1"/>
    <col min="1563" max="1563" width="16.5703125" style="413" customWidth="1"/>
    <col min="1564" max="1564" width="16.140625" style="413" customWidth="1"/>
    <col min="1565" max="1565" width="16" style="413" customWidth="1"/>
    <col min="1566" max="1566" width="15.7109375" style="413" customWidth="1"/>
    <col min="1567" max="1567" width="15.85546875" style="413" customWidth="1"/>
    <col min="1568" max="1568" width="17.28515625" style="413" customWidth="1"/>
    <col min="1569" max="1569" width="14" style="413" customWidth="1"/>
    <col min="1570" max="1570" width="16.5703125" style="413" customWidth="1"/>
    <col min="1571" max="1571" width="17.140625" style="413" customWidth="1"/>
    <col min="1572" max="1792" width="9.140625" style="413"/>
    <col min="1793" max="1809" width="3.28515625" style="413" customWidth="1"/>
    <col min="1810" max="1810" width="2.85546875" style="413" customWidth="1"/>
    <col min="1811" max="1811" width="0.7109375" style="413" customWidth="1"/>
    <col min="1812" max="1812" width="2" style="413" customWidth="1"/>
    <col min="1813" max="1813" width="3.28515625" style="413" customWidth="1"/>
    <col min="1814" max="1814" width="0.85546875" style="413" customWidth="1"/>
    <col min="1815" max="1815" width="7.85546875" style="413" customWidth="1"/>
    <col min="1816" max="1816" width="4" style="413" customWidth="1"/>
    <col min="1817" max="1817" width="17" style="413" bestFit="1" customWidth="1"/>
    <col min="1818" max="1818" width="17.28515625" style="413" customWidth="1"/>
    <col min="1819" max="1819" width="16.5703125" style="413" customWidth="1"/>
    <col min="1820" max="1820" width="16.140625" style="413" customWidth="1"/>
    <col min="1821" max="1821" width="16" style="413" customWidth="1"/>
    <col min="1822" max="1822" width="15.7109375" style="413" customWidth="1"/>
    <col min="1823" max="1823" width="15.85546875" style="413" customWidth="1"/>
    <col min="1824" max="1824" width="17.28515625" style="413" customWidth="1"/>
    <col min="1825" max="1825" width="14" style="413" customWidth="1"/>
    <col min="1826" max="1826" width="16.5703125" style="413" customWidth="1"/>
    <col min="1827" max="1827" width="17.140625" style="413" customWidth="1"/>
    <col min="1828" max="2048" width="9.140625" style="413"/>
    <col min="2049" max="2065" width="3.28515625" style="413" customWidth="1"/>
    <col min="2066" max="2066" width="2.85546875" style="413" customWidth="1"/>
    <col min="2067" max="2067" width="0.7109375" style="413" customWidth="1"/>
    <col min="2068" max="2068" width="2" style="413" customWidth="1"/>
    <col min="2069" max="2069" width="3.28515625" style="413" customWidth="1"/>
    <col min="2070" max="2070" width="0.85546875" style="413" customWidth="1"/>
    <col min="2071" max="2071" width="7.85546875" style="413" customWidth="1"/>
    <col min="2072" max="2072" width="4" style="413" customWidth="1"/>
    <col min="2073" max="2073" width="17" style="413" bestFit="1" customWidth="1"/>
    <col min="2074" max="2074" width="17.28515625" style="413" customWidth="1"/>
    <col min="2075" max="2075" width="16.5703125" style="413" customWidth="1"/>
    <col min="2076" max="2076" width="16.140625" style="413" customWidth="1"/>
    <col min="2077" max="2077" width="16" style="413" customWidth="1"/>
    <col min="2078" max="2078" width="15.7109375" style="413" customWidth="1"/>
    <col min="2079" max="2079" width="15.85546875" style="413" customWidth="1"/>
    <col min="2080" max="2080" width="17.28515625" style="413" customWidth="1"/>
    <col min="2081" max="2081" width="14" style="413" customWidth="1"/>
    <col min="2082" max="2082" width="16.5703125" style="413" customWidth="1"/>
    <col min="2083" max="2083" width="17.140625" style="413" customWidth="1"/>
    <col min="2084" max="2304" width="9.140625" style="413"/>
    <col min="2305" max="2321" width="3.28515625" style="413" customWidth="1"/>
    <col min="2322" max="2322" width="2.85546875" style="413" customWidth="1"/>
    <col min="2323" max="2323" width="0.7109375" style="413" customWidth="1"/>
    <col min="2324" max="2324" width="2" style="413" customWidth="1"/>
    <col min="2325" max="2325" width="3.28515625" style="413" customWidth="1"/>
    <col min="2326" max="2326" width="0.85546875" style="413" customWidth="1"/>
    <col min="2327" max="2327" width="7.85546875" style="413" customWidth="1"/>
    <col min="2328" max="2328" width="4" style="413" customWidth="1"/>
    <col min="2329" max="2329" width="17" style="413" bestFit="1" customWidth="1"/>
    <col min="2330" max="2330" width="17.28515625" style="413" customWidth="1"/>
    <col min="2331" max="2331" width="16.5703125" style="413" customWidth="1"/>
    <col min="2332" max="2332" width="16.140625" style="413" customWidth="1"/>
    <col min="2333" max="2333" width="16" style="413" customWidth="1"/>
    <col min="2334" max="2334" width="15.7109375" style="413" customWidth="1"/>
    <col min="2335" max="2335" width="15.85546875" style="413" customWidth="1"/>
    <col min="2336" max="2336" width="17.28515625" style="413" customWidth="1"/>
    <col min="2337" max="2337" width="14" style="413" customWidth="1"/>
    <col min="2338" max="2338" width="16.5703125" style="413" customWidth="1"/>
    <col min="2339" max="2339" width="17.140625" style="413" customWidth="1"/>
    <col min="2340" max="2560" width="9.140625" style="413"/>
    <col min="2561" max="2577" width="3.28515625" style="413" customWidth="1"/>
    <col min="2578" max="2578" width="2.85546875" style="413" customWidth="1"/>
    <col min="2579" max="2579" width="0.7109375" style="413" customWidth="1"/>
    <col min="2580" max="2580" width="2" style="413" customWidth="1"/>
    <col min="2581" max="2581" width="3.28515625" style="413" customWidth="1"/>
    <col min="2582" max="2582" width="0.85546875" style="413" customWidth="1"/>
    <col min="2583" max="2583" width="7.85546875" style="413" customWidth="1"/>
    <col min="2584" max="2584" width="4" style="413" customWidth="1"/>
    <col min="2585" max="2585" width="17" style="413" bestFit="1" customWidth="1"/>
    <col min="2586" max="2586" width="17.28515625" style="413" customWidth="1"/>
    <col min="2587" max="2587" width="16.5703125" style="413" customWidth="1"/>
    <col min="2588" max="2588" width="16.140625" style="413" customWidth="1"/>
    <col min="2589" max="2589" width="16" style="413" customWidth="1"/>
    <col min="2590" max="2590" width="15.7109375" style="413" customWidth="1"/>
    <col min="2591" max="2591" width="15.85546875" style="413" customWidth="1"/>
    <col min="2592" max="2592" width="17.28515625" style="413" customWidth="1"/>
    <col min="2593" max="2593" width="14" style="413" customWidth="1"/>
    <col min="2594" max="2594" width="16.5703125" style="413" customWidth="1"/>
    <col min="2595" max="2595" width="17.140625" style="413" customWidth="1"/>
    <col min="2596" max="2816" width="9.140625" style="413"/>
    <col min="2817" max="2833" width="3.28515625" style="413" customWidth="1"/>
    <col min="2834" max="2834" width="2.85546875" style="413" customWidth="1"/>
    <col min="2835" max="2835" width="0.7109375" style="413" customWidth="1"/>
    <col min="2836" max="2836" width="2" style="413" customWidth="1"/>
    <col min="2837" max="2837" width="3.28515625" style="413" customWidth="1"/>
    <col min="2838" max="2838" width="0.85546875" style="413" customWidth="1"/>
    <col min="2839" max="2839" width="7.85546875" style="413" customWidth="1"/>
    <col min="2840" max="2840" width="4" style="413" customWidth="1"/>
    <col min="2841" max="2841" width="17" style="413" bestFit="1" customWidth="1"/>
    <col min="2842" max="2842" width="17.28515625" style="413" customWidth="1"/>
    <col min="2843" max="2843" width="16.5703125" style="413" customWidth="1"/>
    <col min="2844" max="2844" width="16.140625" style="413" customWidth="1"/>
    <col min="2845" max="2845" width="16" style="413" customWidth="1"/>
    <col min="2846" max="2846" width="15.7109375" style="413" customWidth="1"/>
    <col min="2847" max="2847" width="15.85546875" style="413" customWidth="1"/>
    <col min="2848" max="2848" width="17.28515625" style="413" customWidth="1"/>
    <col min="2849" max="2849" width="14" style="413" customWidth="1"/>
    <col min="2850" max="2850" width="16.5703125" style="413" customWidth="1"/>
    <col min="2851" max="2851" width="17.140625" style="413" customWidth="1"/>
    <col min="2852" max="3072" width="9.140625" style="413"/>
    <col min="3073" max="3089" width="3.28515625" style="413" customWidth="1"/>
    <col min="3090" max="3090" width="2.85546875" style="413" customWidth="1"/>
    <col min="3091" max="3091" width="0.7109375" style="413" customWidth="1"/>
    <col min="3092" max="3092" width="2" style="413" customWidth="1"/>
    <col min="3093" max="3093" width="3.28515625" style="413" customWidth="1"/>
    <col min="3094" max="3094" width="0.85546875" style="413" customWidth="1"/>
    <col min="3095" max="3095" width="7.85546875" style="413" customWidth="1"/>
    <col min="3096" max="3096" width="4" style="413" customWidth="1"/>
    <col min="3097" max="3097" width="17" style="413" bestFit="1" customWidth="1"/>
    <col min="3098" max="3098" width="17.28515625" style="413" customWidth="1"/>
    <col min="3099" max="3099" width="16.5703125" style="413" customWidth="1"/>
    <col min="3100" max="3100" width="16.140625" style="413" customWidth="1"/>
    <col min="3101" max="3101" width="16" style="413" customWidth="1"/>
    <col min="3102" max="3102" width="15.7109375" style="413" customWidth="1"/>
    <col min="3103" max="3103" width="15.85546875" style="413" customWidth="1"/>
    <col min="3104" max="3104" width="17.28515625" style="413" customWidth="1"/>
    <col min="3105" max="3105" width="14" style="413" customWidth="1"/>
    <col min="3106" max="3106" width="16.5703125" style="413" customWidth="1"/>
    <col min="3107" max="3107" width="17.140625" style="413" customWidth="1"/>
    <col min="3108" max="3328" width="9.140625" style="413"/>
    <col min="3329" max="3345" width="3.28515625" style="413" customWidth="1"/>
    <col min="3346" max="3346" width="2.85546875" style="413" customWidth="1"/>
    <col min="3347" max="3347" width="0.7109375" style="413" customWidth="1"/>
    <col min="3348" max="3348" width="2" style="413" customWidth="1"/>
    <col min="3349" max="3349" width="3.28515625" style="413" customWidth="1"/>
    <col min="3350" max="3350" width="0.85546875" style="413" customWidth="1"/>
    <col min="3351" max="3351" width="7.85546875" style="413" customWidth="1"/>
    <col min="3352" max="3352" width="4" style="413" customWidth="1"/>
    <col min="3353" max="3353" width="17" style="413" bestFit="1" customWidth="1"/>
    <col min="3354" max="3354" width="17.28515625" style="413" customWidth="1"/>
    <col min="3355" max="3355" width="16.5703125" style="413" customWidth="1"/>
    <col min="3356" max="3356" width="16.140625" style="413" customWidth="1"/>
    <col min="3357" max="3357" width="16" style="413" customWidth="1"/>
    <col min="3358" max="3358" width="15.7109375" style="413" customWidth="1"/>
    <col min="3359" max="3359" width="15.85546875" style="413" customWidth="1"/>
    <col min="3360" max="3360" width="17.28515625" style="413" customWidth="1"/>
    <col min="3361" max="3361" width="14" style="413" customWidth="1"/>
    <col min="3362" max="3362" width="16.5703125" style="413" customWidth="1"/>
    <col min="3363" max="3363" width="17.140625" style="413" customWidth="1"/>
    <col min="3364" max="3584" width="9.140625" style="413"/>
    <col min="3585" max="3601" width="3.28515625" style="413" customWidth="1"/>
    <col min="3602" max="3602" width="2.85546875" style="413" customWidth="1"/>
    <col min="3603" max="3603" width="0.7109375" style="413" customWidth="1"/>
    <col min="3604" max="3604" width="2" style="413" customWidth="1"/>
    <col min="3605" max="3605" width="3.28515625" style="413" customWidth="1"/>
    <col min="3606" max="3606" width="0.85546875" style="413" customWidth="1"/>
    <col min="3607" max="3607" width="7.85546875" style="413" customWidth="1"/>
    <col min="3608" max="3608" width="4" style="413" customWidth="1"/>
    <col min="3609" max="3609" width="17" style="413" bestFit="1" customWidth="1"/>
    <col min="3610" max="3610" width="17.28515625" style="413" customWidth="1"/>
    <col min="3611" max="3611" width="16.5703125" style="413" customWidth="1"/>
    <col min="3612" max="3612" width="16.140625" style="413" customWidth="1"/>
    <col min="3613" max="3613" width="16" style="413" customWidth="1"/>
    <col min="3614" max="3614" width="15.7109375" style="413" customWidth="1"/>
    <col min="3615" max="3615" width="15.85546875" style="413" customWidth="1"/>
    <col min="3616" max="3616" width="17.28515625" style="413" customWidth="1"/>
    <col min="3617" max="3617" width="14" style="413" customWidth="1"/>
    <col min="3618" max="3618" width="16.5703125" style="413" customWidth="1"/>
    <col min="3619" max="3619" width="17.140625" style="413" customWidth="1"/>
    <col min="3620" max="3840" width="9.140625" style="413"/>
    <col min="3841" max="3857" width="3.28515625" style="413" customWidth="1"/>
    <col min="3858" max="3858" width="2.85546875" style="413" customWidth="1"/>
    <col min="3859" max="3859" width="0.7109375" style="413" customWidth="1"/>
    <col min="3860" max="3860" width="2" style="413" customWidth="1"/>
    <col min="3861" max="3861" width="3.28515625" style="413" customWidth="1"/>
    <col min="3862" max="3862" width="0.85546875" style="413" customWidth="1"/>
    <col min="3863" max="3863" width="7.85546875" style="413" customWidth="1"/>
    <col min="3864" max="3864" width="4" style="413" customWidth="1"/>
    <col min="3865" max="3865" width="17" style="413" bestFit="1" customWidth="1"/>
    <col min="3866" max="3866" width="17.28515625" style="413" customWidth="1"/>
    <col min="3867" max="3867" width="16.5703125" style="413" customWidth="1"/>
    <col min="3868" max="3868" width="16.140625" style="413" customWidth="1"/>
    <col min="3869" max="3869" width="16" style="413" customWidth="1"/>
    <col min="3870" max="3870" width="15.7109375" style="413" customWidth="1"/>
    <col min="3871" max="3871" width="15.85546875" style="413" customWidth="1"/>
    <col min="3872" max="3872" width="17.28515625" style="413" customWidth="1"/>
    <col min="3873" max="3873" width="14" style="413" customWidth="1"/>
    <col min="3874" max="3874" width="16.5703125" style="413" customWidth="1"/>
    <col min="3875" max="3875" width="17.140625" style="413" customWidth="1"/>
    <col min="3876" max="4096" width="9.140625" style="413"/>
    <col min="4097" max="4113" width="3.28515625" style="413" customWidth="1"/>
    <col min="4114" max="4114" width="2.85546875" style="413" customWidth="1"/>
    <col min="4115" max="4115" width="0.7109375" style="413" customWidth="1"/>
    <col min="4116" max="4116" width="2" style="413" customWidth="1"/>
    <col min="4117" max="4117" width="3.28515625" style="413" customWidth="1"/>
    <col min="4118" max="4118" width="0.85546875" style="413" customWidth="1"/>
    <col min="4119" max="4119" width="7.85546875" style="413" customWidth="1"/>
    <col min="4120" max="4120" width="4" style="413" customWidth="1"/>
    <col min="4121" max="4121" width="17" style="413" bestFit="1" customWidth="1"/>
    <col min="4122" max="4122" width="17.28515625" style="413" customWidth="1"/>
    <col min="4123" max="4123" width="16.5703125" style="413" customWidth="1"/>
    <col min="4124" max="4124" width="16.140625" style="413" customWidth="1"/>
    <col min="4125" max="4125" width="16" style="413" customWidth="1"/>
    <col min="4126" max="4126" width="15.7109375" style="413" customWidth="1"/>
    <col min="4127" max="4127" width="15.85546875" style="413" customWidth="1"/>
    <col min="4128" max="4128" width="17.28515625" style="413" customWidth="1"/>
    <col min="4129" max="4129" width="14" style="413" customWidth="1"/>
    <col min="4130" max="4130" width="16.5703125" style="413" customWidth="1"/>
    <col min="4131" max="4131" width="17.140625" style="413" customWidth="1"/>
    <col min="4132" max="4352" width="9.140625" style="413"/>
    <col min="4353" max="4369" width="3.28515625" style="413" customWidth="1"/>
    <col min="4370" max="4370" width="2.85546875" style="413" customWidth="1"/>
    <col min="4371" max="4371" width="0.7109375" style="413" customWidth="1"/>
    <col min="4372" max="4372" width="2" style="413" customWidth="1"/>
    <col min="4373" max="4373" width="3.28515625" style="413" customWidth="1"/>
    <col min="4374" max="4374" width="0.85546875" style="413" customWidth="1"/>
    <col min="4375" max="4375" width="7.85546875" style="413" customWidth="1"/>
    <col min="4376" max="4376" width="4" style="413" customWidth="1"/>
    <col min="4377" max="4377" width="17" style="413" bestFit="1" customWidth="1"/>
    <col min="4378" max="4378" width="17.28515625" style="413" customWidth="1"/>
    <col min="4379" max="4379" width="16.5703125" style="413" customWidth="1"/>
    <col min="4380" max="4380" width="16.140625" style="413" customWidth="1"/>
    <col min="4381" max="4381" width="16" style="413" customWidth="1"/>
    <col min="4382" max="4382" width="15.7109375" style="413" customWidth="1"/>
    <col min="4383" max="4383" width="15.85546875" style="413" customWidth="1"/>
    <col min="4384" max="4384" width="17.28515625" style="413" customWidth="1"/>
    <col min="4385" max="4385" width="14" style="413" customWidth="1"/>
    <col min="4386" max="4386" width="16.5703125" style="413" customWidth="1"/>
    <col min="4387" max="4387" width="17.140625" style="413" customWidth="1"/>
    <col min="4388" max="4608" width="9.140625" style="413"/>
    <col min="4609" max="4625" width="3.28515625" style="413" customWidth="1"/>
    <col min="4626" max="4626" width="2.85546875" style="413" customWidth="1"/>
    <col min="4627" max="4627" width="0.7109375" style="413" customWidth="1"/>
    <col min="4628" max="4628" width="2" style="413" customWidth="1"/>
    <col min="4629" max="4629" width="3.28515625" style="413" customWidth="1"/>
    <col min="4630" max="4630" width="0.85546875" style="413" customWidth="1"/>
    <col min="4631" max="4631" width="7.85546875" style="413" customWidth="1"/>
    <col min="4632" max="4632" width="4" style="413" customWidth="1"/>
    <col min="4633" max="4633" width="17" style="413" bestFit="1" customWidth="1"/>
    <col min="4634" max="4634" width="17.28515625" style="413" customWidth="1"/>
    <col min="4635" max="4635" width="16.5703125" style="413" customWidth="1"/>
    <col min="4636" max="4636" width="16.140625" style="413" customWidth="1"/>
    <col min="4637" max="4637" width="16" style="413" customWidth="1"/>
    <col min="4638" max="4638" width="15.7109375" style="413" customWidth="1"/>
    <col min="4639" max="4639" width="15.85546875" style="413" customWidth="1"/>
    <col min="4640" max="4640" width="17.28515625" style="413" customWidth="1"/>
    <col min="4641" max="4641" width="14" style="413" customWidth="1"/>
    <col min="4642" max="4642" width="16.5703125" style="413" customWidth="1"/>
    <col min="4643" max="4643" width="17.140625" style="413" customWidth="1"/>
    <col min="4644" max="4864" width="9.140625" style="413"/>
    <col min="4865" max="4881" width="3.28515625" style="413" customWidth="1"/>
    <col min="4882" max="4882" width="2.85546875" style="413" customWidth="1"/>
    <col min="4883" max="4883" width="0.7109375" style="413" customWidth="1"/>
    <col min="4884" max="4884" width="2" style="413" customWidth="1"/>
    <col min="4885" max="4885" width="3.28515625" style="413" customWidth="1"/>
    <col min="4886" max="4886" width="0.85546875" style="413" customWidth="1"/>
    <col min="4887" max="4887" width="7.85546875" style="413" customWidth="1"/>
    <col min="4888" max="4888" width="4" style="413" customWidth="1"/>
    <col min="4889" max="4889" width="17" style="413" bestFit="1" customWidth="1"/>
    <col min="4890" max="4890" width="17.28515625" style="413" customWidth="1"/>
    <col min="4891" max="4891" width="16.5703125" style="413" customWidth="1"/>
    <col min="4892" max="4892" width="16.140625" style="413" customWidth="1"/>
    <col min="4893" max="4893" width="16" style="413" customWidth="1"/>
    <col min="4894" max="4894" width="15.7109375" style="413" customWidth="1"/>
    <col min="4895" max="4895" width="15.85546875" style="413" customWidth="1"/>
    <col min="4896" max="4896" width="17.28515625" style="413" customWidth="1"/>
    <col min="4897" max="4897" width="14" style="413" customWidth="1"/>
    <col min="4898" max="4898" width="16.5703125" style="413" customWidth="1"/>
    <col min="4899" max="4899" width="17.140625" style="413" customWidth="1"/>
    <col min="4900" max="5120" width="9.140625" style="413"/>
    <col min="5121" max="5137" width="3.28515625" style="413" customWidth="1"/>
    <col min="5138" max="5138" width="2.85546875" style="413" customWidth="1"/>
    <col min="5139" max="5139" width="0.7109375" style="413" customWidth="1"/>
    <col min="5140" max="5140" width="2" style="413" customWidth="1"/>
    <col min="5141" max="5141" width="3.28515625" style="413" customWidth="1"/>
    <col min="5142" max="5142" width="0.85546875" style="413" customWidth="1"/>
    <col min="5143" max="5143" width="7.85546875" style="413" customWidth="1"/>
    <col min="5144" max="5144" width="4" style="413" customWidth="1"/>
    <col min="5145" max="5145" width="17" style="413" bestFit="1" customWidth="1"/>
    <col min="5146" max="5146" width="17.28515625" style="413" customWidth="1"/>
    <col min="5147" max="5147" width="16.5703125" style="413" customWidth="1"/>
    <col min="5148" max="5148" width="16.140625" style="413" customWidth="1"/>
    <col min="5149" max="5149" width="16" style="413" customWidth="1"/>
    <col min="5150" max="5150" width="15.7109375" style="413" customWidth="1"/>
    <col min="5151" max="5151" width="15.85546875" style="413" customWidth="1"/>
    <col min="5152" max="5152" width="17.28515625" style="413" customWidth="1"/>
    <col min="5153" max="5153" width="14" style="413" customWidth="1"/>
    <col min="5154" max="5154" width="16.5703125" style="413" customWidth="1"/>
    <col min="5155" max="5155" width="17.140625" style="413" customWidth="1"/>
    <col min="5156" max="5376" width="9.140625" style="413"/>
    <col min="5377" max="5393" width="3.28515625" style="413" customWidth="1"/>
    <col min="5394" max="5394" width="2.85546875" style="413" customWidth="1"/>
    <col min="5395" max="5395" width="0.7109375" style="413" customWidth="1"/>
    <col min="5396" max="5396" width="2" style="413" customWidth="1"/>
    <col min="5397" max="5397" width="3.28515625" style="413" customWidth="1"/>
    <col min="5398" max="5398" width="0.85546875" style="413" customWidth="1"/>
    <col min="5399" max="5399" width="7.85546875" style="413" customWidth="1"/>
    <col min="5400" max="5400" width="4" style="413" customWidth="1"/>
    <col min="5401" max="5401" width="17" style="413" bestFit="1" customWidth="1"/>
    <col min="5402" max="5402" width="17.28515625" style="413" customWidth="1"/>
    <col min="5403" max="5403" width="16.5703125" style="413" customWidth="1"/>
    <col min="5404" max="5404" width="16.140625" style="413" customWidth="1"/>
    <col min="5405" max="5405" width="16" style="413" customWidth="1"/>
    <col min="5406" max="5406" width="15.7109375" style="413" customWidth="1"/>
    <col min="5407" max="5407" width="15.85546875" style="413" customWidth="1"/>
    <col min="5408" max="5408" width="17.28515625" style="413" customWidth="1"/>
    <col min="5409" max="5409" width="14" style="413" customWidth="1"/>
    <col min="5410" max="5410" width="16.5703125" style="413" customWidth="1"/>
    <col min="5411" max="5411" width="17.140625" style="413" customWidth="1"/>
    <col min="5412" max="5632" width="9.140625" style="413"/>
    <col min="5633" max="5649" width="3.28515625" style="413" customWidth="1"/>
    <col min="5650" max="5650" width="2.85546875" style="413" customWidth="1"/>
    <col min="5651" max="5651" width="0.7109375" style="413" customWidth="1"/>
    <col min="5652" max="5652" width="2" style="413" customWidth="1"/>
    <col min="5653" max="5653" width="3.28515625" style="413" customWidth="1"/>
    <col min="5654" max="5654" width="0.85546875" style="413" customWidth="1"/>
    <col min="5655" max="5655" width="7.85546875" style="413" customWidth="1"/>
    <col min="5656" max="5656" width="4" style="413" customWidth="1"/>
    <col min="5657" max="5657" width="17" style="413" bestFit="1" customWidth="1"/>
    <col min="5658" max="5658" width="17.28515625" style="413" customWidth="1"/>
    <col min="5659" max="5659" width="16.5703125" style="413" customWidth="1"/>
    <col min="5660" max="5660" width="16.140625" style="413" customWidth="1"/>
    <col min="5661" max="5661" width="16" style="413" customWidth="1"/>
    <col min="5662" max="5662" width="15.7109375" style="413" customWidth="1"/>
    <col min="5663" max="5663" width="15.85546875" style="413" customWidth="1"/>
    <col min="5664" max="5664" width="17.28515625" style="413" customWidth="1"/>
    <col min="5665" max="5665" width="14" style="413" customWidth="1"/>
    <col min="5666" max="5666" width="16.5703125" style="413" customWidth="1"/>
    <col min="5667" max="5667" width="17.140625" style="413" customWidth="1"/>
    <col min="5668" max="5888" width="9.140625" style="413"/>
    <col min="5889" max="5905" width="3.28515625" style="413" customWidth="1"/>
    <col min="5906" max="5906" width="2.85546875" style="413" customWidth="1"/>
    <col min="5907" max="5907" width="0.7109375" style="413" customWidth="1"/>
    <col min="5908" max="5908" width="2" style="413" customWidth="1"/>
    <col min="5909" max="5909" width="3.28515625" style="413" customWidth="1"/>
    <col min="5910" max="5910" width="0.85546875" style="413" customWidth="1"/>
    <col min="5911" max="5911" width="7.85546875" style="413" customWidth="1"/>
    <col min="5912" max="5912" width="4" style="413" customWidth="1"/>
    <col min="5913" max="5913" width="17" style="413" bestFit="1" customWidth="1"/>
    <col min="5914" max="5914" width="17.28515625" style="413" customWidth="1"/>
    <col min="5915" max="5915" width="16.5703125" style="413" customWidth="1"/>
    <col min="5916" max="5916" width="16.140625" style="413" customWidth="1"/>
    <col min="5917" max="5917" width="16" style="413" customWidth="1"/>
    <col min="5918" max="5918" width="15.7109375" style="413" customWidth="1"/>
    <col min="5919" max="5919" width="15.85546875" style="413" customWidth="1"/>
    <col min="5920" max="5920" width="17.28515625" style="413" customWidth="1"/>
    <col min="5921" max="5921" width="14" style="413" customWidth="1"/>
    <col min="5922" max="5922" width="16.5703125" style="413" customWidth="1"/>
    <col min="5923" max="5923" width="17.140625" style="413" customWidth="1"/>
    <col min="5924" max="6144" width="9.140625" style="413"/>
    <col min="6145" max="6161" width="3.28515625" style="413" customWidth="1"/>
    <col min="6162" max="6162" width="2.85546875" style="413" customWidth="1"/>
    <col min="6163" max="6163" width="0.7109375" style="413" customWidth="1"/>
    <col min="6164" max="6164" width="2" style="413" customWidth="1"/>
    <col min="6165" max="6165" width="3.28515625" style="413" customWidth="1"/>
    <col min="6166" max="6166" width="0.85546875" style="413" customWidth="1"/>
    <col min="6167" max="6167" width="7.85546875" style="413" customWidth="1"/>
    <col min="6168" max="6168" width="4" style="413" customWidth="1"/>
    <col min="6169" max="6169" width="17" style="413" bestFit="1" customWidth="1"/>
    <col min="6170" max="6170" width="17.28515625" style="413" customWidth="1"/>
    <col min="6171" max="6171" width="16.5703125" style="413" customWidth="1"/>
    <col min="6172" max="6172" width="16.140625" style="413" customWidth="1"/>
    <col min="6173" max="6173" width="16" style="413" customWidth="1"/>
    <col min="6174" max="6174" width="15.7109375" style="413" customWidth="1"/>
    <col min="6175" max="6175" width="15.85546875" style="413" customWidth="1"/>
    <col min="6176" max="6176" width="17.28515625" style="413" customWidth="1"/>
    <col min="6177" max="6177" width="14" style="413" customWidth="1"/>
    <col min="6178" max="6178" width="16.5703125" style="413" customWidth="1"/>
    <col min="6179" max="6179" width="17.140625" style="413" customWidth="1"/>
    <col min="6180" max="6400" width="9.140625" style="413"/>
    <col min="6401" max="6417" width="3.28515625" style="413" customWidth="1"/>
    <col min="6418" max="6418" width="2.85546875" style="413" customWidth="1"/>
    <col min="6419" max="6419" width="0.7109375" style="413" customWidth="1"/>
    <col min="6420" max="6420" width="2" style="413" customWidth="1"/>
    <col min="6421" max="6421" width="3.28515625" style="413" customWidth="1"/>
    <col min="6422" max="6422" width="0.85546875" style="413" customWidth="1"/>
    <col min="6423" max="6423" width="7.85546875" style="413" customWidth="1"/>
    <col min="6424" max="6424" width="4" style="413" customWidth="1"/>
    <col min="6425" max="6425" width="17" style="413" bestFit="1" customWidth="1"/>
    <col min="6426" max="6426" width="17.28515625" style="413" customWidth="1"/>
    <col min="6427" max="6427" width="16.5703125" style="413" customWidth="1"/>
    <col min="6428" max="6428" width="16.140625" style="413" customWidth="1"/>
    <col min="6429" max="6429" width="16" style="413" customWidth="1"/>
    <col min="6430" max="6430" width="15.7109375" style="413" customWidth="1"/>
    <col min="6431" max="6431" width="15.85546875" style="413" customWidth="1"/>
    <col min="6432" max="6432" width="17.28515625" style="413" customWidth="1"/>
    <col min="6433" max="6433" width="14" style="413" customWidth="1"/>
    <col min="6434" max="6434" width="16.5703125" style="413" customWidth="1"/>
    <col min="6435" max="6435" width="17.140625" style="413" customWidth="1"/>
    <col min="6436" max="6656" width="9.140625" style="413"/>
    <col min="6657" max="6673" width="3.28515625" style="413" customWidth="1"/>
    <col min="6674" max="6674" width="2.85546875" style="413" customWidth="1"/>
    <col min="6675" max="6675" width="0.7109375" style="413" customWidth="1"/>
    <col min="6676" max="6676" width="2" style="413" customWidth="1"/>
    <col min="6677" max="6677" width="3.28515625" style="413" customWidth="1"/>
    <col min="6678" max="6678" width="0.85546875" style="413" customWidth="1"/>
    <col min="6679" max="6679" width="7.85546875" style="413" customWidth="1"/>
    <col min="6680" max="6680" width="4" style="413" customWidth="1"/>
    <col min="6681" max="6681" width="17" style="413" bestFit="1" customWidth="1"/>
    <col min="6682" max="6682" width="17.28515625" style="413" customWidth="1"/>
    <col min="6683" max="6683" width="16.5703125" style="413" customWidth="1"/>
    <col min="6684" max="6684" width="16.140625" style="413" customWidth="1"/>
    <col min="6685" max="6685" width="16" style="413" customWidth="1"/>
    <col min="6686" max="6686" width="15.7109375" style="413" customWidth="1"/>
    <col min="6687" max="6687" width="15.85546875" style="413" customWidth="1"/>
    <col min="6688" max="6688" width="17.28515625" style="413" customWidth="1"/>
    <col min="6689" max="6689" width="14" style="413" customWidth="1"/>
    <col min="6690" max="6690" width="16.5703125" style="413" customWidth="1"/>
    <col min="6691" max="6691" width="17.140625" style="413" customWidth="1"/>
    <col min="6692" max="6912" width="9.140625" style="413"/>
    <col min="6913" max="6929" width="3.28515625" style="413" customWidth="1"/>
    <col min="6930" max="6930" width="2.85546875" style="413" customWidth="1"/>
    <col min="6931" max="6931" width="0.7109375" style="413" customWidth="1"/>
    <col min="6932" max="6932" width="2" style="413" customWidth="1"/>
    <col min="6933" max="6933" width="3.28515625" style="413" customWidth="1"/>
    <col min="6934" max="6934" width="0.85546875" style="413" customWidth="1"/>
    <col min="6935" max="6935" width="7.85546875" style="413" customWidth="1"/>
    <col min="6936" max="6936" width="4" style="413" customWidth="1"/>
    <col min="6937" max="6937" width="17" style="413" bestFit="1" customWidth="1"/>
    <col min="6938" max="6938" width="17.28515625" style="413" customWidth="1"/>
    <col min="6939" max="6939" width="16.5703125" style="413" customWidth="1"/>
    <col min="6940" max="6940" width="16.140625" style="413" customWidth="1"/>
    <col min="6941" max="6941" width="16" style="413" customWidth="1"/>
    <col min="6942" max="6942" width="15.7109375" style="413" customWidth="1"/>
    <col min="6943" max="6943" width="15.85546875" style="413" customWidth="1"/>
    <col min="6944" max="6944" width="17.28515625" style="413" customWidth="1"/>
    <col min="6945" max="6945" width="14" style="413" customWidth="1"/>
    <col min="6946" max="6946" width="16.5703125" style="413" customWidth="1"/>
    <col min="6947" max="6947" width="17.140625" style="413" customWidth="1"/>
    <col min="6948" max="7168" width="9.140625" style="413"/>
    <col min="7169" max="7185" width="3.28515625" style="413" customWidth="1"/>
    <col min="7186" max="7186" width="2.85546875" style="413" customWidth="1"/>
    <col min="7187" max="7187" width="0.7109375" style="413" customWidth="1"/>
    <col min="7188" max="7188" width="2" style="413" customWidth="1"/>
    <col min="7189" max="7189" width="3.28515625" style="413" customWidth="1"/>
    <col min="7190" max="7190" width="0.85546875" style="413" customWidth="1"/>
    <col min="7191" max="7191" width="7.85546875" style="413" customWidth="1"/>
    <col min="7192" max="7192" width="4" style="413" customWidth="1"/>
    <col min="7193" max="7193" width="17" style="413" bestFit="1" customWidth="1"/>
    <col min="7194" max="7194" width="17.28515625" style="413" customWidth="1"/>
    <col min="7195" max="7195" width="16.5703125" style="413" customWidth="1"/>
    <col min="7196" max="7196" width="16.140625" style="413" customWidth="1"/>
    <col min="7197" max="7197" width="16" style="413" customWidth="1"/>
    <col min="7198" max="7198" width="15.7109375" style="413" customWidth="1"/>
    <col min="7199" max="7199" width="15.85546875" style="413" customWidth="1"/>
    <col min="7200" max="7200" width="17.28515625" style="413" customWidth="1"/>
    <col min="7201" max="7201" width="14" style="413" customWidth="1"/>
    <col min="7202" max="7202" width="16.5703125" style="413" customWidth="1"/>
    <col min="7203" max="7203" width="17.140625" style="413" customWidth="1"/>
    <col min="7204" max="7424" width="9.140625" style="413"/>
    <col min="7425" max="7441" width="3.28515625" style="413" customWidth="1"/>
    <col min="7442" max="7442" width="2.85546875" style="413" customWidth="1"/>
    <col min="7443" max="7443" width="0.7109375" style="413" customWidth="1"/>
    <col min="7444" max="7444" width="2" style="413" customWidth="1"/>
    <col min="7445" max="7445" width="3.28515625" style="413" customWidth="1"/>
    <col min="7446" max="7446" width="0.85546875" style="413" customWidth="1"/>
    <col min="7447" max="7447" width="7.85546875" style="413" customWidth="1"/>
    <col min="7448" max="7448" width="4" style="413" customWidth="1"/>
    <col min="7449" max="7449" width="17" style="413" bestFit="1" customWidth="1"/>
    <col min="7450" max="7450" width="17.28515625" style="413" customWidth="1"/>
    <col min="7451" max="7451" width="16.5703125" style="413" customWidth="1"/>
    <col min="7452" max="7452" width="16.140625" style="413" customWidth="1"/>
    <col min="7453" max="7453" width="16" style="413" customWidth="1"/>
    <col min="7454" max="7454" width="15.7109375" style="413" customWidth="1"/>
    <col min="7455" max="7455" width="15.85546875" style="413" customWidth="1"/>
    <col min="7456" max="7456" width="17.28515625" style="413" customWidth="1"/>
    <col min="7457" max="7457" width="14" style="413" customWidth="1"/>
    <col min="7458" max="7458" width="16.5703125" style="413" customWidth="1"/>
    <col min="7459" max="7459" width="17.140625" style="413" customWidth="1"/>
    <col min="7460" max="7680" width="9.140625" style="413"/>
    <col min="7681" max="7697" width="3.28515625" style="413" customWidth="1"/>
    <col min="7698" max="7698" width="2.85546875" style="413" customWidth="1"/>
    <col min="7699" max="7699" width="0.7109375" style="413" customWidth="1"/>
    <col min="7700" max="7700" width="2" style="413" customWidth="1"/>
    <col min="7701" max="7701" width="3.28515625" style="413" customWidth="1"/>
    <col min="7702" max="7702" width="0.85546875" style="413" customWidth="1"/>
    <col min="7703" max="7703" width="7.85546875" style="413" customWidth="1"/>
    <col min="7704" max="7704" width="4" style="413" customWidth="1"/>
    <col min="7705" max="7705" width="17" style="413" bestFit="1" customWidth="1"/>
    <col min="7706" max="7706" width="17.28515625" style="413" customWidth="1"/>
    <col min="7707" max="7707" width="16.5703125" style="413" customWidth="1"/>
    <col min="7708" max="7708" width="16.140625" style="413" customWidth="1"/>
    <col min="7709" max="7709" width="16" style="413" customWidth="1"/>
    <col min="7710" max="7710" width="15.7109375" style="413" customWidth="1"/>
    <col min="7711" max="7711" width="15.85546875" style="413" customWidth="1"/>
    <col min="7712" max="7712" width="17.28515625" style="413" customWidth="1"/>
    <col min="7713" max="7713" width="14" style="413" customWidth="1"/>
    <col min="7714" max="7714" width="16.5703125" style="413" customWidth="1"/>
    <col min="7715" max="7715" width="17.140625" style="413" customWidth="1"/>
    <col min="7716" max="7936" width="9.140625" style="413"/>
    <col min="7937" max="7953" width="3.28515625" style="413" customWidth="1"/>
    <col min="7954" max="7954" width="2.85546875" style="413" customWidth="1"/>
    <col min="7955" max="7955" width="0.7109375" style="413" customWidth="1"/>
    <col min="7956" max="7956" width="2" style="413" customWidth="1"/>
    <col min="7957" max="7957" width="3.28515625" style="413" customWidth="1"/>
    <col min="7958" max="7958" width="0.85546875" style="413" customWidth="1"/>
    <col min="7959" max="7959" width="7.85546875" style="413" customWidth="1"/>
    <col min="7960" max="7960" width="4" style="413" customWidth="1"/>
    <col min="7961" max="7961" width="17" style="413" bestFit="1" customWidth="1"/>
    <col min="7962" max="7962" width="17.28515625" style="413" customWidth="1"/>
    <col min="7963" max="7963" width="16.5703125" style="413" customWidth="1"/>
    <col min="7964" max="7964" width="16.140625" style="413" customWidth="1"/>
    <col min="7965" max="7965" width="16" style="413" customWidth="1"/>
    <col min="7966" max="7966" width="15.7109375" style="413" customWidth="1"/>
    <col min="7967" max="7967" width="15.85546875" style="413" customWidth="1"/>
    <col min="7968" max="7968" width="17.28515625" style="413" customWidth="1"/>
    <col min="7969" max="7969" width="14" style="413" customWidth="1"/>
    <col min="7970" max="7970" width="16.5703125" style="413" customWidth="1"/>
    <col min="7971" max="7971" width="17.140625" style="413" customWidth="1"/>
    <col min="7972" max="8192" width="9.140625" style="413"/>
    <col min="8193" max="8209" width="3.28515625" style="413" customWidth="1"/>
    <col min="8210" max="8210" width="2.85546875" style="413" customWidth="1"/>
    <col min="8211" max="8211" width="0.7109375" style="413" customWidth="1"/>
    <col min="8212" max="8212" width="2" style="413" customWidth="1"/>
    <col min="8213" max="8213" width="3.28515625" style="413" customWidth="1"/>
    <col min="8214" max="8214" width="0.85546875" style="413" customWidth="1"/>
    <col min="8215" max="8215" width="7.85546875" style="413" customWidth="1"/>
    <col min="8216" max="8216" width="4" style="413" customWidth="1"/>
    <col min="8217" max="8217" width="17" style="413" bestFit="1" customWidth="1"/>
    <col min="8218" max="8218" width="17.28515625" style="413" customWidth="1"/>
    <col min="8219" max="8219" width="16.5703125" style="413" customWidth="1"/>
    <col min="8220" max="8220" width="16.140625" style="413" customWidth="1"/>
    <col min="8221" max="8221" width="16" style="413" customWidth="1"/>
    <col min="8222" max="8222" width="15.7109375" style="413" customWidth="1"/>
    <col min="8223" max="8223" width="15.85546875" style="413" customWidth="1"/>
    <col min="8224" max="8224" width="17.28515625" style="413" customWidth="1"/>
    <col min="8225" max="8225" width="14" style="413" customWidth="1"/>
    <col min="8226" max="8226" width="16.5703125" style="413" customWidth="1"/>
    <col min="8227" max="8227" width="17.140625" style="413" customWidth="1"/>
    <col min="8228" max="8448" width="9.140625" style="413"/>
    <col min="8449" max="8465" width="3.28515625" style="413" customWidth="1"/>
    <col min="8466" max="8466" width="2.85546875" style="413" customWidth="1"/>
    <col min="8467" max="8467" width="0.7109375" style="413" customWidth="1"/>
    <col min="8468" max="8468" width="2" style="413" customWidth="1"/>
    <col min="8469" max="8469" width="3.28515625" style="413" customWidth="1"/>
    <col min="8470" max="8470" width="0.85546875" style="413" customWidth="1"/>
    <col min="8471" max="8471" width="7.85546875" style="413" customWidth="1"/>
    <col min="8472" max="8472" width="4" style="413" customWidth="1"/>
    <col min="8473" max="8473" width="17" style="413" bestFit="1" customWidth="1"/>
    <col min="8474" max="8474" width="17.28515625" style="413" customWidth="1"/>
    <col min="8475" max="8475" width="16.5703125" style="413" customWidth="1"/>
    <col min="8476" max="8476" width="16.140625" style="413" customWidth="1"/>
    <col min="8477" max="8477" width="16" style="413" customWidth="1"/>
    <col min="8478" max="8478" width="15.7109375" style="413" customWidth="1"/>
    <col min="8479" max="8479" width="15.85546875" style="413" customWidth="1"/>
    <col min="8480" max="8480" width="17.28515625" style="413" customWidth="1"/>
    <col min="8481" max="8481" width="14" style="413" customWidth="1"/>
    <col min="8482" max="8482" width="16.5703125" style="413" customWidth="1"/>
    <col min="8483" max="8483" width="17.140625" style="413" customWidth="1"/>
    <col min="8484" max="8704" width="9.140625" style="413"/>
    <col min="8705" max="8721" width="3.28515625" style="413" customWidth="1"/>
    <col min="8722" max="8722" width="2.85546875" style="413" customWidth="1"/>
    <col min="8723" max="8723" width="0.7109375" style="413" customWidth="1"/>
    <col min="8724" max="8724" width="2" style="413" customWidth="1"/>
    <col min="8725" max="8725" width="3.28515625" style="413" customWidth="1"/>
    <col min="8726" max="8726" width="0.85546875" style="413" customWidth="1"/>
    <col min="8727" max="8727" width="7.85546875" style="413" customWidth="1"/>
    <col min="8728" max="8728" width="4" style="413" customWidth="1"/>
    <col min="8729" max="8729" width="17" style="413" bestFit="1" customWidth="1"/>
    <col min="8730" max="8730" width="17.28515625" style="413" customWidth="1"/>
    <col min="8731" max="8731" width="16.5703125" style="413" customWidth="1"/>
    <col min="8732" max="8732" width="16.140625" style="413" customWidth="1"/>
    <col min="8733" max="8733" width="16" style="413" customWidth="1"/>
    <col min="8734" max="8734" width="15.7109375" style="413" customWidth="1"/>
    <col min="8735" max="8735" width="15.85546875" style="413" customWidth="1"/>
    <col min="8736" max="8736" width="17.28515625" style="413" customWidth="1"/>
    <col min="8737" max="8737" width="14" style="413" customWidth="1"/>
    <col min="8738" max="8738" width="16.5703125" style="413" customWidth="1"/>
    <col min="8739" max="8739" width="17.140625" style="413" customWidth="1"/>
    <col min="8740" max="8960" width="9.140625" style="413"/>
    <col min="8961" max="8977" width="3.28515625" style="413" customWidth="1"/>
    <col min="8978" max="8978" width="2.85546875" style="413" customWidth="1"/>
    <col min="8979" max="8979" width="0.7109375" style="413" customWidth="1"/>
    <col min="8980" max="8980" width="2" style="413" customWidth="1"/>
    <col min="8981" max="8981" width="3.28515625" style="413" customWidth="1"/>
    <col min="8982" max="8982" width="0.85546875" style="413" customWidth="1"/>
    <col min="8983" max="8983" width="7.85546875" style="413" customWidth="1"/>
    <col min="8984" max="8984" width="4" style="413" customWidth="1"/>
    <col min="8985" max="8985" width="17" style="413" bestFit="1" customWidth="1"/>
    <col min="8986" max="8986" width="17.28515625" style="413" customWidth="1"/>
    <col min="8987" max="8987" width="16.5703125" style="413" customWidth="1"/>
    <col min="8988" max="8988" width="16.140625" style="413" customWidth="1"/>
    <col min="8989" max="8989" width="16" style="413" customWidth="1"/>
    <col min="8990" max="8990" width="15.7109375" style="413" customWidth="1"/>
    <col min="8991" max="8991" width="15.85546875" style="413" customWidth="1"/>
    <col min="8992" max="8992" width="17.28515625" style="413" customWidth="1"/>
    <col min="8993" max="8993" width="14" style="413" customWidth="1"/>
    <col min="8994" max="8994" width="16.5703125" style="413" customWidth="1"/>
    <col min="8995" max="8995" width="17.140625" style="413" customWidth="1"/>
    <col min="8996" max="9216" width="9.140625" style="413"/>
    <col min="9217" max="9233" width="3.28515625" style="413" customWidth="1"/>
    <col min="9234" max="9234" width="2.85546875" style="413" customWidth="1"/>
    <col min="9235" max="9235" width="0.7109375" style="413" customWidth="1"/>
    <col min="9236" max="9236" width="2" style="413" customWidth="1"/>
    <col min="9237" max="9237" width="3.28515625" style="413" customWidth="1"/>
    <col min="9238" max="9238" width="0.85546875" style="413" customWidth="1"/>
    <col min="9239" max="9239" width="7.85546875" style="413" customWidth="1"/>
    <col min="9240" max="9240" width="4" style="413" customWidth="1"/>
    <col min="9241" max="9241" width="17" style="413" bestFit="1" customWidth="1"/>
    <col min="9242" max="9242" width="17.28515625" style="413" customWidth="1"/>
    <col min="9243" max="9243" width="16.5703125" style="413" customWidth="1"/>
    <col min="9244" max="9244" width="16.140625" style="413" customWidth="1"/>
    <col min="9245" max="9245" width="16" style="413" customWidth="1"/>
    <col min="9246" max="9246" width="15.7109375" style="413" customWidth="1"/>
    <col min="9247" max="9247" width="15.85546875" style="413" customWidth="1"/>
    <col min="9248" max="9248" width="17.28515625" style="413" customWidth="1"/>
    <col min="9249" max="9249" width="14" style="413" customWidth="1"/>
    <col min="9250" max="9250" width="16.5703125" style="413" customWidth="1"/>
    <col min="9251" max="9251" width="17.140625" style="413" customWidth="1"/>
    <col min="9252" max="9472" width="9.140625" style="413"/>
    <col min="9473" max="9489" width="3.28515625" style="413" customWidth="1"/>
    <col min="9490" max="9490" width="2.85546875" style="413" customWidth="1"/>
    <col min="9491" max="9491" width="0.7109375" style="413" customWidth="1"/>
    <col min="9492" max="9492" width="2" style="413" customWidth="1"/>
    <col min="9493" max="9493" width="3.28515625" style="413" customWidth="1"/>
    <col min="9494" max="9494" width="0.85546875" style="413" customWidth="1"/>
    <col min="9495" max="9495" width="7.85546875" style="413" customWidth="1"/>
    <col min="9496" max="9496" width="4" style="413" customWidth="1"/>
    <col min="9497" max="9497" width="17" style="413" bestFit="1" customWidth="1"/>
    <col min="9498" max="9498" width="17.28515625" style="413" customWidth="1"/>
    <col min="9499" max="9499" width="16.5703125" style="413" customWidth="1"/>
    <col min="9500" max="9500" width="16.140625" style="413" customWidth="1"/>
    <col min="9501" max="9501" width="16" style="413" customWidth="1"/>
    <col min="9502" max="9502" width="15.7109375" style="413" customWidth="1"/>
    <col min="9503" max="9503" width="15.85546875" style="413" customWidth="1"/>
    <col min="9504" max="9504" width="17.28515625" style="413" customWidth="1"/>
    <col min="9505" max="9505" width="14" style="413" customWidth="1"/>
    <col min="9506" max="9506" width="16.5703125" style="413" customWidth="1"/>
    <col min="9507" max="9507" width="17.140625" style="413" customWidth="1"/>
    <col min="9508" max="9728" width="9.140625" style="413"/>
    <col min="9729" max="9745" width="3.28515625" style="413" customWidth="1"/>
    <col min="9746" max="9746" width="2.85546875" style="413" customWidth="1"/>
    <col min="9747" max="9747" width="0.7109375" style="413" customWidth="1"/>
    <col min="9748" max="9748" width="2" style="413" customWidth="1"/>
    <col min="9749" max="9749" width="3.28515625" style="413" customWidth="1"/>
    <col min="9750" max="9750" width="0.85546875" style="413" customWidth="1"/>
    <col min="9751" max="9751" width="7.85546875" style="413" customWidth="1"/>
    <col min="9752" max="9752" width="4" style="413" customWidth="1"/>
    <col min="9753" max="9753" width="17" style="413" bestFit="1" customWidth="1"/>
    <col min="9754" max="9754" width="17.28515625" style="413" customWidth="1"/>
    <col min="9755" max="9755" width="16.5703125" style="413" customWidth="1"/>
    <col min="9756" max="9756" width="16.140625" style="413" customWidth="1"/>
    <col min="9757" max="9757" width="16" style="413" customWidth="1"/>
    <col min="9758" max="9758" width="15.7109375" style="413" customWidth="1"/>
    <col min="9759" max="9759" width="15.85546875" style="413" customWidth="1"/>
    <col min="9760" max="9760" width="17.28515625" style="413" customWidth="1"/>
    <col min="9761" max="9761" width="14" style="413" customWidth="1"/>
    <col min="9762" max="9762" width="16.5703125" style="413" customWidth="1"/>
    <col min="9763" max="9763" width="17.140625" style="413" customWidth="1"/>
    <col min="9764" max="9984" width="9.140625" style="413"/>
    <col min="9985" max="10001" width="3.28515625" style="413" customWidth="1"/>
    <col min="10002" max="10002" width="2.85546875" style="413" customWidth="1"/>
    <col min="10003" max="10003" width="0.7109375" style="413" customWidth="1"/>
    <col min="10004" max="10004" width="2" style="413" customWidth="1"/>
    <col min="10005" max="10005" width="3.28515625" style="413" customWidth="1"/>
    <col min="10006" max="10006" width="0.85546875" style="413" customWidth="1"/>
    <col min="10007" max="10007" width="7.85546875" style="413" customWidth="1"/>
    <col min="10008" max="10008" width="4" style="413" customWidth="1"/>
    <col min="10009" max="10009" width="17" style="413" bestFit="1" customWidth="1"/>
    <col min="10010" max="10010" width="17.28515625" style="413" customWidth="1"/>
    <col min="10011" max="10011" width="16.5703125" style="413" customWidth="1"/>
    <col min="10012" max="10012" width="16.140625" style="413" customWidth="1"/>
    <col min="10013" max="10013" width="16" style="413" customWidth="1"/>
    <col min="10014" max="10014" width="15.7109375" style="413" customWidth="1"/>
    <col min="10015" max="10015" width="15.85546875" style="413" customWidth="1"/>
    <col min="10016" max="10016" width="17.28515625" style="413" customWidth="1"/>
    <col min="10017" max="10017" width="14" style="413" customWidth="1"/>
    <col min="10018" max="10018" width="16.5703125" style="413" customWidth="1"/>
    <col min="10019" max="10019" width="17.140625" style="413" customWidth="1"/>
    <col min="10020" max="10240" width="9.140625" style="413"/>
    <col min="10241" max="10257" width="3.28515625" style="413" customWidth="1"/>
    <col min="10258" max="10258" width="2.85546875" style="413" customWidth="1"/>
    <col min="10259" max="10259" width="0.7109375" style="413" customWidth="1"/>
    <col min="10260" max="10260" width="2" style="413" customWidth="1"/>
    <col min="10261" max="10261" width="3.28515625" style="413" customWidth="1"/>
    <col min="10262" max="10262" width="0.85546875" style="413" customWidth="1"/>
    <col min="10263" max="10263" width="7.85546875" style="413" customWidth="1"/>
    <col min="10264" max="10264" width="4" style="413" customWidth="1"/>
    <col min="10265" max="10265" width="17" style="413" bestFit="1" customWidth="1"/>
    <col min="10266" max="10266" width="17.28515625" style="413" customWidth="1"/>
    <col min="10267" max="10267" width="16.5703125" style="413" customWidth="1"/>
    <col min="10268" max="10268" width="16.140625" style="413" customWidth="1"/>
    <col min="10269" max="10269" width="16" style="413" customWidth="1"/>
    <col min="10270" max="10270" width="15.7109375" style="413" customWidth="1"/>
    <col min="10271" max="10271" width="15.85546875" style="413" customWidth="1"/>
    <col min="10272" max="10272" width="17.28515625" style="413" customWidth="1"/>
    <col min="10273" max="10273" width="14" style="413" customWidth="1"/>
    <col min="10274" max="10274" width="16.5703125" style="413" customWidth="1"/>
    <col min="10275" max="10275" width="17.140625" style="413" customWidth="1"/>
    <col min="10276" max="10496" width="9.140625" style="413"/>
    <col min="10497" max="10513" width="3.28515625" style="413" customWidth="1"/>
    <col min="10514" max="10514" width="2.85546875" style="413" customWidth="1"/>
    <col min="10515" max="10515" width="0.7109375" style="413" customWidth="1"/>
    <col min="10516" max="10516" width="2" style="413" customWidth="1"/>
    <col min="10517" max="10517" width="3.28515625" style="413" customWidth="1"/>
    <col min="10518" max="10518" width="0.85546875" style="413" customWidth="1"/>
    <col min="10519" max="10519" width="7.85546875" style="413" customWidth="1"/>
    <col min="10520" max="10520" width="4" style="413" customWidth="1"/>
    <col min="10521" max="10521" width="17" style="413" bestFit="1" customWidth="1"/>
    <col min="10522" max="10522" width="17.28515625" style="413" customWidth="1"/>
    <col min="10523" max="10523" width="16.5703125" style="413" customWidth="1"/>
    <col min="10524" max="10524" width="16.140625" style="413" customWidth="1"/>
    <col min="10525" max="10525" width="16" style="413" customWidth="1"/>
    <col min="10526" max="10526" width="15.7109375" style="413" customWidth="1"/>
    <col min="10527" max="10527" width="15.85546875" style="413" customWidth="1"/>
    <col min="10528" max="10528" width="17.28515625" style="413" customWidth="1"/>
    <col min="10529" max="10529" width="14" style="413" customWidth="1"/>
    <col min="10530" max="10530" width="16.5703125" style="413" customWidth="1"/>
    <col min="10531" max="10531" width="17.140625" style="413" customWidth="1"/>
    <col min="10532" max="10752" width="9.140625" style="413"/>
    <col min="10753" max="10769" width="3.28515625" style="413" customWidth="1"/>
    <col min="10770" max="10770" width="2.85546875" style="413" customWidth="1"/>
    <col min="10771" max="10771" width="0.7109375" style="413" customWidth="1"/>
    <col min="10772" max="10772" width="2" style="413" customWidth="1"/>
    <col min="10773" max="10773" width="3.28515625" style="413" customWidth="1"/>
    <col min="10774" max="10774" width="0.85546875" style="413" customWidth="1"/>
    <col min="10775" max="10775" width="7.85546875" style="413" customWidth="1"/>
    <col min="10776" max="10776" width="4" style="413" customWidth="1"/>
    <col min="10777" max="10777" width="17" style="413" bestFit="1" customWidth="1"/>
    <col min="10778" max="10778" width="17.28515625" style="413" customWidth="1"/>
    <col min="10779" max="10779" width="16.5703125" style="413" customWidth="1"/>
    <col min="10780" max="10780" width="16.140625" style="413" customWidth="1"/>
    <col min="10781" max="10781" width="16" style="413" customWidth="1"/>
    <col min="10782" max="10782" width="15.7109375" style="413" customWidth="1"/>
    <col min="10783" max="10783" width="15.85546875" style="413" customWidth="1"/>
    <col min="10784" max="10784" width="17.28515625" style="413" customWidth="1"/>
    <col min="10785" max="10785" width="14" style="413" customWidth="1"/>
    <col min="10786" max="10786" width="16.5703125" style="413" customWidth="1"/>
    <col min="10787" max="10787" width="17.140625" style="413" customWidth="1"/>
    <col min="10788" max="11008" width="9.140625" style="413"/>
    <col min="11009" max="11025" width="3.28515625" style="413" customWidth="1"/>
    <col min="11026" max="11026" width="2.85546875" style="413" customWidth="1"/>
    <col min="11027" max="11027" width="0.7109375" style="413" customWidth="1"/>
    <col min="11028" max="11028" width="2" style="413" customWidth="1"/>
    <col min="11029" max="11029" width="3.28515625" style="413" customWidth="1"/>
    <col min="11030" max="11030" width="0.85546875" style="413" customWidth="1"/>
    <col min="11031" max="11031" width="7.85546875" style="413" customWidth="1"/>
    <col min="11032" max="11032" width="4" style="413" customWidth="1"/>
    <col min="11033" max="11033" width="17" style="413" bestFit="1" customWidth="1"/>
    <col min="11034" max="11034" width="17.28515625" style="413" customWidth="1"/>
    <col min="11035" max="11035" width="16.5703125" style="413" customWidth="1"/>
    <col min="11036" max="11036" width="16.140625" style="413" customWidth="1"/>
    <col min="11037" max="11037" width="16" style="413" customWidth="1"/>
    <col min="11038" max="11038" width="15.7109375" style="413" customWidth="1"/>
    <col min="11039" max="11039" width="15.85546875" style="413" customWidth="1"/>
    <col min="11040" max="11040" width="17.28515625" style="413" customWidth="1"/>
    <col min="11041" max="11041" width="14" style="413" customWidth="1"/>
    <col min="11042" max="11042" width="16.5703125" style="413" customWidth="1"/>
    <col min="11043" max="11043" width="17.140625" style="413" customWidth="1"/>
    <col min="11044" max="11264" width="9.140625" style="413"/>
    <col min="11265" max="11281" width="3.28515625" style="413" customWidth="1"/>
    <col min="11282" max="11282" width="2.85546875" style="413" customWidth="1"/>
    <col min="11283" max="11283" width="0.7109375" style="413" customWidth="1"/>
    <col min="11284" max="11284" width="2" style="413" customWidth="1"/>
    <col min="11285" max="11285" width="3.28515625" style="413" customWidth="1"/>
    <col min="11286" max="11286" width="0.85546875" style="413" customWidth="1"/>
    <col min="11287" max="11287" width="7.85546875" style="413" customWidth="1"/>
    <col min="11288" max="11288" width="4" style="413" customWidth="1"/>
    <col min="11289" max="11289" width="17" style="413" bestFit="1" customWidth="1"/>
    <col min="11290" max="11290" width="17.28515625" style="413" customWidth="1"/>
    <col min="11291" max="11291" width="16.5703125" style="413" customWidth="1"/>
    <col min="11292" max="11292" width="16.140625" style="413" customWidth="1"/>
    <col min="11293" max="11293" width="16" style="413" customWidth="1"/>
    <col min="11294" max="11294" width="15.7109375" style="413" customWidth="1"/>
    <col min="11295" max="11295" width="15.85546875" style="413" customWidth="1"/>
    <col min="11296" max="11296" width="17.28515625" style="413" customWidth="1"/>
    <col min="11297" max="11297" width="14" style="413" customWidth="1"/>
    <col min="11298" max="11298" width="16.5703125" style="413" customWidth="1"/>
    <col min="11299" max="11299" width="17.140625" style="413" customWidth="1"/>
    <col min="11300" max="11520" width="9.140625" style="413"/>
    <col min="11521" max="11537" width="3.28515625" style="413" customWidth="1"/>
    <col min="11538" max="11538" width="2.85546875" style="413" customWidth="1"/>
    <col min="11539" max="11539" width="0.7109375" style="413" customWidth="1"/>
    <col min="11540" max="11540" width="2" style="413" customWidth="1"/>
    <col min="11541" max="11541" width="3.28515625" style="413" customWidth="1"/>
    <col min="11542" max="11542" width="0.85546875" style="413" customWidth="1"/>
    <col min="11543" max="11543" width="7.85546875" style="413" customWidth="1"/>
    <col min="11544" max="11544" width="4" style="413" customWidth="1"/>
    <col min="11545" max="11545" width="17" style="413" bestFit="1" customWidth="1"/>
    <col min="11546" max="11546" width="17.28515625" style="413" customWidth="1"/>
    <col min="11547" max="11547" width="16.5703125" style="413" customWidth="1"/>
    <col min="11548" max="11548" width="16.140625" style="413" customWidth="1"/>
    <col min="11549" max="11549" width="16" style="413" customWidth="1"/>
    <col min="11550" max="11550" width="15.7109375" style="413" customWidth="1"/>
    <col min="11551" max="11551" width="15.85546875" style="413" customWidth="1"/>
    <col min="11552" max="11552" width="17.28515625" style="413" customWidth="1"/>
    <col min="11553" max="11553" width="14" style="413" customWidth="1"/>
    <col min="11554" max="11554" width="16.5703125" style="413" customWidth="1"/>
    <col min="11555" max="11555" width="17.140625" style="413" customWidth="1"/>
    <col min="11556" max="11776" width="9.140625" style="413"/>
    <col min="11777" max="11793" width="3.28515625" style="413" customWidth="1"/>
    <col min="11794" max="11794" width="2.85546875" style="413" customWidth="1"/>
    <col min="11795" max="11795" width="0.7109375" style="413" customWidth="1"/>
    <col min="11796" max="11796" width="2" style="413" customWidth="1"/>
    <col min="11797" max="11797" width="3.28515625" style="413" customWidth="1"/>
    <col min="11798" max="11798" width="0.85546875" style="413" customWidth="1"/>
    <col min="11799" max="11799" width="7.85546875" style="413" customWidth="1"/>
    <col min="11800" max="11800" width="4" style="413" customWidth="1"/>
    <col min="11801" max="11801" width="17" style="413" bestFit="1" customWidth="1"/>
    <col min="11802" max="11802" width="17.28515625" style="413" customWidth="1"/>
    <col min="11803" max="11803" width="16.5703125" style="413" customWidth="1"/>
    <col min="11804" max="11804" width="16.140625" style="413" customWidth="1"/>
    <col min="11805" max="11805" width="16" style="413" customWidth="1"/>
    <col min="11806" max="11806" width="15.7109375" style="413" customWidth="1"/>
    <col min="11807" max="11807" width="15.85546875" style="413" customWidth="1"/>
    <col min="11808" max="11808" width="17.28515625" style="413" customWidth="1"/>
    <col min="11809" max="11809" width="14" style="413" customWidth="1"/>
    <col min="11810" max="11810" width="16.5703125" style="413" customWidth="1"/>
    <col min="11811" max="11811" width="17.140625" style="413" customWidth="1"/>
    <col min="11812" max="12032" width="9.140625" style="413"/>
    <col min="12033" max="12049" width="3.28515625" style="413" customWidth="1"/>
    <col min="12050" max="12050" width="2.85546875" style="413" customWidth="1"/>
    <col min="12051" max="12051" width="0.7109375" style="413" customWidth="1"/>
    <col min="12052" max="12052" width="2" style="413" customWidth="1"/>
    <col min="12053" max="12053" width="3.28515625" style="413" customWidth="1"/>
    <col min="12054" max="12054" width="0.85546875" style="413" customWidth="1"/>
    <col min="12055" max="12055" width="7.85546875" style="413" customWidth="1"/>
    <col min="12056" max="12056" width="4" style="413" customWidth="1"/>
    <col min="12057" max="12057" width="17" style="413" bestFit="1" customWidth="1"/>
    <col min="12058" max="12058" width="17.28515625" style="413" customWidth="1"/>
    <col min="12059" max="12059" width="16.5703125" style="413" customWidth="1"/>
    <col min="12060" max="12060" width="16.140625" style="413" customWidth="1"/>
    <col min="12061" max="12061" width="16" style="413" customWidth="1"/>
    <col min="12062" max="12062" width="15.7109375" style="413" customWidth="1"/>
    <col min="12063" max="12063" width="15.85546875" style="413" customWidth="1"/>
    <col min="12064" max="12064" width="17.28515625" style="413" customWidth="1"/>
    <col min="12065" max="12065" width="14" style="413" customWidth="1"/>
    <col min="12066" max="12066" width="16.5703125" style="413" customWidth="1"/>
    <col min="12067" max="12067" width="17.140625" style="413" customWidth="1"/>
    <col min="12068" max="12288" width="9.140625" style="413"/>
    <col min="12289" max="12305" width="3.28515625" style="413" customWidth="1"/>
    <col min="12306" max="12306" width="2.85546875" style="413" customWidth="1"/>
    <col min="12307" max="12307" width="0.7109375" style="413" customWidth="1"/>
    <col min="12308" max="12308" width="2" style="413" customWidth="1"/>
    <col min="12309" max="12309" width="3.28515625" style="413" customWidth="1"/>
    <col min="12310" max="12310" width="0.85546875" style="413" customWidth="1"/>
    <col min="12311" max="12311" width="7.85546875" style="413" customWidth="1"/>
    <col min="12312" max="12312" width="4" style="413" customWidth="1"/>
    <col min="12313" max="12313" width="17" style="413" bestFit="1" customWidth="1"/>
    <col min="12314" max="12314" width="17.28515625" style="413" customWidth="1"/>
    <col min="12315" max="12315" width="16.5703125" style="413" customWidth="1"/>
    <col min="12316" max="12316" width="16.140625" style="413" customWidth="1"/>
    <col min="12317" max="12317" width="16" style="413" customWidth="1"/>
    <col min="12318" max="12318" width="15.7109375" style="413" customWidth="1"/>
    <col min="12319" max="12319" width="15.85546875" style="413" customWidth="1"/>
    <col min="12320" max="12320" width="17.28515625" style="413" customWidth="1"/>
    <col min="12321" max="12321" width="14" style="413" customWidth="1"/>
    <col min="12322" max="12322" width="16.5703125" style="413" customWidth="1"/>
    <col min="12323" max="12323" width="17.140625" style="413" customWidth="1"/>
    <col min="12324" max="12544" width="9.140625" style="413"/>
    <col min="12545" max="12561" width="3.28515625" style="413" customWidth="1"/>
    <col min="12562" max="12562" width="2.85546875" style="413" customWidth="1"/>
    <col min="12563" max="12563" width="0.7109375" style="413" customWidth="1"/>
    <col min="12564" max="12564" width="2" style="413" customWidth="1"/>
    <col min="12565" max="12565" width="3.28515625" style="413" customWidth="1"/>
    <col min="12566" max="12566" width="0.85546875" style="413" customWidth="1"/>
    <col min="12567" max="12567" width="7.85546875" style="413" customWidth="1"/>
    <col min="12568" max="12568" width="4" style="413" customWidth="1"/>
    <col min="12569" max="12569" width="17" style="413" bestFit="1" customWidth="1"/>
    <col min="12570" max="12570" width="17.28515625" style="413" customWidth="1"/>
    <col min="12571" max="12571" width="16.5703125" style="413" customWidth="1"/>
    <col min="12572" max="12572" width="16.140625" style="413" customWidth="1"/>
    <col min="12573" max="12573" width="16" style="413" customWidth="1"/>
    <col min="12574" max="12574" width="15.7109375" style="413" customWidth="1"/>
    <col min="12575" max="12575" width="15.85546875" style="413" customWidth="1"/>
    <col min="12576" max="12576" width="17.28515625" style="413" customWidth="1"/>
    <col min="12577" max="12577" width="14" style="413" customWidth="1"/>
    <col min="12578" max="12578" width="16.5703125" style="413" customWidth="1"/>
    <col min="12579" max="12579" width="17.140625" style="413" customWidth="1"/>
    <col min="12580" max="12800" width="9.140625" style="413"/>
    <col min="12801" max="12817" width="3.28515625" style="413" customWidth="1"/>
    <col min="12818" max="12818" width="2.85546875" style="413" customWidth="1"/>
    <col min="12819" max="12819" width="0.7109375" style="413" customWidth="1"/>
    <col min="12820" max="12820" width="2" style="413" customWidth="1"/>
    <col min="12821" max="12821" width="3.28515625" style="413" customWidth="1"/>
    <col min="12822" max="12822" width="0.85546875" style="413" customWidth="1"/>
    <col min="12823" max="12823" width="7.85546875" style="413" customWidth="1"/>
    <col min="12824" max="12824" width="4" style="413" customWidth="1"/>
    <col min="12825" max="12825" width="17" style="413" bestFit="1" customWidth="1"/>
    <col min="12826" max="12826" width="17.28515625" style="413" customWidth="1"/>
    <col min="12827" max="12827" width="16.5703125" style="413" customWidth="1"/>
    <col min="12828" max="12828" width="16.140625" style="413" customWidth="1"/>
    <col min="12829" max="12829" width="16" style="413" customWidth="1"/>
    <col min="12830" max="12830" width="15.7109375" style="413" customWidth="1"/>
    <col min="12831" max="12831" width="15.85546875" style="413" customWidth="1"/>
    <col min="12832" max="12832" width="17.28515625" style="413" customWidth="1"/>
    <col min="12833" max="12833" width="14" style="413" customWidth="1"/>
    <col min="12834" max="12834" width="16.5703125" style="413" customWidth="1"/>
    <col min="12835" max="12835" width="17.140625" style="413" customWidth="1"/>
    <col min="12836" max="13056" width="9.140625" style="413"/>
    <col min="13057" max="13073" width="3.28515625" style="413" customWidth="1"/>
    <col min="13074" max="13074" width="2.85546875" style="413" customWidth="1"/>
    <col min="13075" max="13075" width="0.7109375" style="413" customWidth="1"/>
    <col min="13076" max="13076" width="2" style="413" customWidth="1"/>
    <col min="13077" max="13077" width="3.28515625" style="413" customWidth="1"/>
    <col min="13078" max="13078" width="0.85546875" style="413" customWidth="1"/>
    <col min="13079" max="13079" width="7.85546875" style="413" customWidth="1"/>
    <col min="13080" max="13080" width="4" style="413" customWidth="1"/>
    <col min="13081" max="13081" width="17" style="413" bestFit="1" customWidth="1"/>
    <col min="13082" max="13082" width="17.28515625" style="413" customWidth="1"/>
    <col min="13083" max="13083" width="16.5703125" style="413" customWidth="1"/>
    <col min="13084" max="13084" width="16.140625" style="413" customWidth="1"/>
    <col min="13085" max="13085" width="16" style="413" customWidth="1"/>
    <col min="13086" max="13086" width="15.7109375" style="413" customWidth="1"/>
    <col min="13087" max="13087" width="15.85546875" style="413" customWidth="1"/>
    <col min="13088" max="13088" width="17.28515625" style="413" customWidth="1"/>
    <col min="13089" max="13089" width="14" style="413" customWidth="1"/>
    <col min="13090" max="13090" width="16.5703125" style="413" customWidth="1"/>
    <col min="13091" max="13091" width="17.140625" style="413" customWidth="1"/>
    <col min="13092" max="13312" width="9.140625" style="413"/>
    <col min="13313" max="13329" width="3.28515625" style="413" customWidth="1"/>
    <col min="13330" max="13330" width="2.85546875" style="413" customWidth="1"/>
    <col min="13331" max="13331" width="0.7109375" style="413" customWidth="1"/>
    <col min="13332" max="13332" width="2" style="413" customWidth="1"/>
    <col min="13333" max="13333" width="3.28515625" style="413" customWidth="1"/>
    <col min="13334" max="13334" width="0.85546875" style="413" customWidth="1"/>
    <col min="13335" max="13335" width="7.85546875" style="413" customWidth="1"/>
    <col min="13336" max="13336" width="4" style="413" customWidth="1"/>
    <col min="13337" max="13337" width="17" style="413" bestFit="1" customWidth="1"/>
    <col min="13338" max="13338" width="17.28515625" style="413" customWidth="1"/>
    <col min="13339" max="13339" width="16.5703125" style="413" customWidth="1"/>
    <col min="13340" max="13340" width="16.140625" style="413" customWidth="1"/>
    <col min="13341" max="13341" width="16" style="413" customWidth="1"/>
    <col min="13342" max="13342" width="15.7109375" style="413" customWidth="1"/>
    <col min="13343" max="13343" width="15.85546875" style="413" customWidth="1"/>
    <col min="13344" max="13344" width="17.28515625" style="413" customWidth="1"/>
    <col min="13345" max="13345" width="14" style="413" customWidth="1"/>
    <col min="13346" max="13346" width="16.5703125" style="413" customWidth="1"/>
    <col min="13347" max="13347" width="17.140625" style="413" customWidth="1"/>
    <col min="13348" max="13568" width="9.140625" style="413"/>
    <col min="13569" max="13585" width="3.28515625" style="413" customWidth="1"/>
    <col min="13586" max="13586" width="2.85546875" style="413" customWidth="1"/>
    <col min="13587" max="13587" width="0.7109375" style="413" customWidth="1"/>
    <col min="13588" max="13588" width="2" style="413" customWidth="1"/>
    <col min="13589" max="13589" width="3.28515625" style="413" customWidth="1"/>
    <col min="13590" max="13590" width="0.85546875" style="413" customWidth="1"/>
    <col min="13591" max="13591" width="7.85546875" style="413" customWidth="1"/>
    <col min="13592" max="13592" width="4" style="413" customWidth="1"/>
    <col min="13593" max="13593" width="17" style="413" bestFit="1" customWidth="1"/>
    <col min="13594" max="13594" width="17.28515625" style="413" customWidth="1"/>
    <col min="13595" max="13595" width="16.5703125" style="413" customWidth="1"/>
    <col min="13596" max="13596" width="16.140625" style="413" customWidth="1"/>
    <col min="13597" max="13597" width="16" style="413" customWidth="1"/>
    <col min="13598" max="13598" width="15.7109375" style="413" customWidth="1"/>
    <col min="13599" max="13599" width="15.85546875" style="413" customWidth="1"/>
    <col min="13600" max="13600" width="17.28515625" style="413" customWidth="1"/>
    <col min="13601" max="13601" width="14" style="413" customWidth="1"/>
    <col min="13602" max="13602" width="16.5703125" style="413" customWidth="1"/>
    <col min="13603" max="13603" width="17.140625" style="413" customWidth="1"/>
    <col min="13604" max="13824" width="9.140625" style="413"/>
    <col min="13825" max="13841" width="3.28515625" style="413" customWidth="1"/>
    <col min="13842" max="13842" width="2.85546875" style="413" customWidth="1"/>
    <col min="13843" max="13843" width="0.7109375" style="413" customWidth="1"/>
    <col min="13844" max="13844" width="2" style="413" customWidth="1"/>
    <col min="13845" max="13845" width="3.28515625" style="413" customWidth="1"/>
    <col min="13846" max="13846" width="0.85546875" style="413" customWidth="1"/>
    <col min="13847" max="13847" width="7.85546875" style="413" customWidth="1"/>
    <col min="13848" max="13848" width="4" style="413" customWidth="1"/>
    <col min="13849" max="13849" width="17" style="413" bestFit="1" customWidth="1"/>
    <col min="13850" max="13850" width="17.28515625" style="413" customWidth="1"/>
    <col min="13851" max="13851" width="16.5703125" style="413" customWidth="1"/>
    <col min="13852" max="13852" width="16.140625" style="413" customWidth="1"/>
    <col min="13853" max="13853" width="16" style="413" customWidth="1"/>
    <col min="13854" max="13854" width="15.7109375" style="413" customWidth="1"/>
    <col min="13855" max="13855" width="15.85546875" style="413" customWidth="1"/>
    <col min="13856" max="13856" width="17.28515625" style="413" customWidth="1"/>
    <col min="13857" max="13857" width="14" style="413" customWidth="1"/>
    <col min="13858" max="13858" width="16.5703125" style="413" customWidth="1"/>
    <col min="13859" max="13859" width="17.140625" style="413" customWidth="1"/>
    <col min="13860" max="14080" width="9.140625" style="413"/>
    <col min="14081" max="14097" width="3.28515625" style="413" customWidth="1"/>
    <col min="14098" max="14098" width="2.85546875" style="413" customWidth="1"/>
    <col min="14099" max="14099" width="0.7109375" style="413" customWidth="1"/>
    <col min="14100" max="14100" width="2" style="413" customWidth="1"/>
    <col min="14101" max="14101" width="3.28515625" style="413" customWidth="1"/>
    <col min="14102" max="14102" width="0.85546875" style="413" customWidth="1"/>
    <col min="14103" max="14103" width="7.85546875" style="413" customWidth="1"/>
    <col min="14104" max="14104" width="4" style="413" customWidth="1"/>
    <col min="14105" max="14105" width="17" style="413" bestFit="1" customWidth="1"/>
    <col min="14106" max="14106" width="17.28515625" style="413" customWidth="1"/>
    <col min="14107" max="14107" width="16.5703125" style="413" customWidth="1"/>
    <col min="14108" max="14108" width="16.140625" style="413" customWidth="1"/>
    <col min="14109" max="14109" width="16" style="413" customWidth="1"/>
    <col min="14110" max="14110" width="15.7109375" style="413" customWidth="1"/>
    <col min="14111" max="14111" width="15.85546875" style="413" customWidth="1"/>
    <col min="14112" max="14112" width="17.28515625" style="413" customWidth="1"/>
    <col min="14113" max="14113" width="14" style="413" customWidth="1"/>
    <col min="14114" max="14114" width="16.5703125" style="413" customWidth="1"/>
    <col min="14115" max="14115" width="17.140625" style="413" customWidth="1"/>
    <col min="14116" max="14336" width="9.140625" style="413"/>
    <col min="14337" max="14353" width="3.28515625" style="413" customWidth="1"/>
    <col min="14354" max="14354" width="2.85546875" style="413" customWidth="1"/>
    <col min="14355" max="14355" width="0.7109375" style="413" customWidth="1"/>
    <col min="14356" max="14356" width="2" style="413" customWidth="1"/>
    <col min="14357" max="14357" width="3.28515625" style="413" customWidth="1"/>
    <col min="14358" max="14358" width="0.85546875" style="413" customWidth="1"/>
    <col min="14359" max="14359" width="7.85546875" style="413" customWidth="1"/>
    <col min="14360" max="14360" width="4" style="413" customWidth="1"/>
    <col min="14361" max="14361" width="17" style="413" bestFit="1" customWidth="1"/>
    <col min="14362" max="14362" width="17.28515625" style="413" customWidth="1"/>
    <col min="14363" max="14363" width="16.5703125" style="413" customWidth="1"/>
    <col min="14364" max="14364" width="16.140625" style="413" customWidth="1"/>
    <col min="14365" max="14365" width="16" style="413" customWidth="1"/>
    <col min="14366" max="14366" width="15.7109375" style="413" customWidth="1"/>
    <col min="14367" max="14367" width="15.85546875" style="413" customWidth="1"/>
    <col min="14368" max="14368" width="17.28515625" style="413" customWidth="1"/>
    <col min="14369" max="14369" width="14" style="413" customWidth="1"/>
    <col min="14370" max="14370" width="16.5703125" style="413" customWidth="1"/>
    <col min="14371" max="14371" width="17.140625" style="413" customWidth="1"/>
    <col min="14372" max="14592" width="9.140625" style="413"/>
    <col min="14593" max="14609" width="3.28515625" style="413" customWidth="1"/>
    <col min="14610" max="14610" width="2.85546875" style="413" customWidth="1"/>
    <col min="14611" max="14611" width="0.7109375" style="413" customWidth="1"/>
    <col min="14612" max="14612" width="2" style="413" customWidth="1"/>
    <col min="14613" max="14613" width="3.28515625" style="413" customWidth="1"/>
    <col min="14614" max="14614" width="0.85546875" style="413" customWidth="1"/>
    <col min="14615" max="14615" width="7.85546875" style="413" customWidth="1"/>
    <col min="14616" max="14616" width="4" style="413" customWidth="1"/>
    <col min="14617" max="14617" width="17" style="413" bestFit="1" customWidth="1"/>
    <col min="14618" max="14618" width="17.28515625" style="413" customWidth="1"/>
    <col min="14619" max="14619" width="16.5703125" style="413" customWidth="1"/>
    <col min="14620" max="14620" width="16.140625" style="413" customWidth="1"/>
    <col min="14621" max="14621" width="16" style="413" customWidth="1"/>
    <col min="14622" max="14622" width="15.7109375" style="413" customWidth="1"/>
    <col min="14623" max="14623" width="15.85546875" style="413" customWidth="1"/>
    <col min="14624" max="14624" width="17.28515625" style="413" customWidth="1"/>
    <col min="14625" max="14625" width="14" style="413" customWidth="1"/>
    <col min="14626" max="14626" width="16.5703125" style="413" customWidth="1"/>
    <col min="14627" max="14627" width="17.140625" style="413" customWidth="1"/>
    <col min="14628" max="14848" width="9.140625" style="413"/>
    <col min="14849" max="14865" width="3.28515625" style="413" customWidth="1"/>
    <col min="14866" max="14866" width="2.85546875" style="413" customWidth="1"/>
    <col min="14867" max="14867" width="0.7109375" style="413" customWidth="1"/>
    <col min="14868" max="14868" width="2" style="413" customWidth="1"/>
    <col min="14869" max="14869" width="3.28515625" style="413" customWidth="1"/>
    <col min="14870" max="14870" width="0.85546875" style="413" customWidth="1"/>
    <col min="14871" max="14871" width="7.85546875" style="413" customWidth="1"/>
    <col min="14872" max="14872" width="4" style="413" customWidth="1"/>
    <col min="14873" max="14873" width="17" style="413" bestFit="1" customWidth="1"/>
    <col min="14874" max="14874" width="17.28515625" style="413" customWidth="1"/>
    <col min="14875" max="14875" width="16.5703125" style="413" customWidth="1"/>
    <col min="14876" max="14876" width="16.140625" style="413" customWidth="1"/>
    <col min="14877" max="14877" width="16" style="413" customWidth="1"/>
    <col min="14878" max="14878" width="15.7109375" style="413" customWidth="1"/>
    <col min="14879" max="14879" width="15.85546875" style="413" customWidth="1"/>
    <col min="14880" max="14880" width="17.28515625" style="413" customWidth="1"/>
    <col min="14881" max="14881" width="14" style="413" customWidth="1"/>
    <col min="14882" max="14882" width="16.5703125" style="413" customWidth="1"/>
    <col min="14883" max="14883" width="17.140625" style="413" customWidth="1"/>
    <col min="14884" max="15104" width="9.140625" style="413"/>
    <col min="15105" max="15121" width="3.28515625" style="413" customWidth="1"/>
    <col min="15122" max="15122" width="2.85546875" style="413" customWidth="1"/>
    <col min="15123" max="15123" width="0.7109375" style="413" customWidth="1"/>
    <col min="15124" max="15124" width="2" style="413" customWidth="1"/>
    <col min="15125" max="15125" width="3.28515625" style="413" customWidth="1"/>
    <col min="15126" max="15126" width="0.85546875" style="413" customWidth="1"/>
    <col min="15127" max="15127" width="7.85546875" style="413" customWidth="1"/>
    <col min="15128" max="15128" width="4" style="413" customWidth="1"/>
    <col min="15129" max="15129" width="17" style="413" bestFit="1" customWidth="1"/>
    <col min="15130" max="15130" width="17.28515625" style="413" customWidth="1"/>
    <col min="15131" max="15131" width="16.5703125" style="413" customWidth="1"/>
    <col min="15132" max="15132" width="16.140625" style="413" customWidth="1"/>
    <col min="15133" max="15133" width="16" style="413" customWidth="1"/>
    <col min="15134" max="15134" width="15.7109375" style="413" customWidth="1"/>
    <col min="15135" max="15135" width="15.85546875" style="413" customWidth="1"/>
    <col min="15136" max="15136" width="17.28515625" style="413" customWidth="1"/>
    <col min="15137" max="15137" width="14" style="413" customWidth="1"/>
    <col min="15138" max="15138" width="16.5703125" style="413" customWidth="1"/>
    <col min="15139" max="15139" width="17.140625" style="413" customWidth="1"/>
    <col min="15140" max="15360" width="9.140625" style="413"/>
    <col min="15361" max="15377" width="3.28515625" style="413" customWidth="1"/>
    <col min="15378" max="15378" width="2.85546875" style="413" customWidth="1"/>
    <col min="15379" max="15379" width="0.7109375" style="413" customWidth="1"/>
    <col min="15380" max="15380" width="2" style="413" customWidth="1"/>
    <col min="15381" max="15381" width="3.28515625" style="413" customWidth="1"/>
    <col min="15382" max="15382" width="0.85546875" style="413" customWidth="1"/>
    <col min="15383" max="15383" width="7.85546875" style="413" customWidth="1"/>
    <col min="15384" max="15384" width="4" style="413" customWidth="1"/>
    <col min="15385" max="15385" width="17" style="413" bestFit="1" customWidth="1"/>
    <col min="15386" max="15386" width="17.28515625" style="413" customWidth="1"/>
    <col min="15387" max="15387" width="16.5703125" style="413" customWidth="1"/>
    <col min="15388" max="15388" width="16.140625" style="413" customWidth="1"/>
    <col min="15389" max="15389" width="16" style="413" customWidth="1"/>
    <col min="15390" max="15390" width="15.7109375" style="413" customWidth="1"/>
    <col min="15391" max="15391" width="15.85546875" style="413" customWidth="1"/>
    <col min="15392" max="15392" width="17.28515625" style="413" customWidth="1"/>
    <col min="15393" max="15393" width="14" style="413" customWidth="1"/>
    <col min="15394" max="15394" width="16.5703125" style="413" customWidth="1"/>
    <col min="15395" max="15395" width="17.140625" style="413" customWidth="1"/>
    <col min="15396" max="15616" width="9.140625" style="413"/>
    <col min="15617" max="15633" width="3.28515625" style="413" customWidth="1"/>
    <col min="15634" max="15634" width="2.85546875" style="413" customWidth="1"/>
    <col min="15635" max="15635" width="0.7109375" style="413" customWidth="1"/>
    <col min="15636" max="15636" width="2" style="413" customWidth="1"/>
    <col min="15637" max="15637" width="3.28515625" style="413" customWidth="1"/>
    <col min="15638" max="15638" width="0.85546875" style="413" customWidth="1"/>
    <col min="15639" max="15639" width="7.85546875" style="413" customWidth="1"/>
    <col min="15640" max="15640" width="4" style="413" customWidth="1"/>
    <col min="15641" max="15641" width="17" style="413" bestFit="1" customWidth="1"/>
    <col min="15642" max="15642" width="17.28515625" style="413" customWidth="1"/>
    <col min="15643" max="15643" width="16.5703125" style="413" customWidth="1"/>
    <col min="15644" max="15644" width="16.140625" style="413" customWidth="1"/>
    <col min="15645" max="15645" width="16" style="413" customWidth="1"/>
    <col min="15646" max="15646" width="15.7109375" style="413" customWidth="1"/>
    <col min="15647" max="15647" width="15.85546875" style="413" customWidth="1"/>
    <col min="15648" max="15648" width="17.28515625" style="413" customWidth="1"/>
    <col min="15649" max="15649" width="14" style="413" customWidth="1"/>
    <col min="15650" max="15650" width="16.5703125" style="413" customWidth="1"/>
    <col min="15651" max="15651" width="17.140625" style="413" customWidth="1"/>
    <col min="15652" max="15872" width="9.140625" style="413"/>
    <col min="15873" max="15889" width="3.28515625" style="413" customWidth="1"/>
    <col min="15890" max="15890" width="2.85546875" style="413" customWidth="1"/>
    <col min="15891" max="15891" width="0.7109375" style="413" customWidth="1"/>
    <col min="15892" max="15892" width="2" style="413" customWidth="1"/>
    <col min="15893" max="15893" width="3.28515625" style="413" customWidth="1"/>
    <col min="15894" max="15894" width="0.85546875" style="413" customWidth="1"/>
    <col min="15895" max="15895" width="7.85546875" style="413" customWidth="1"/>
    <col min="15896" max="15896" width="4" style="413" customWidth="1"/>
    <col min="15897" max="15897" width="17" style="413" bestFit="1" customWidth="1"/>
    <col min="15898" max="15898" width="17.28515625" style="413" customWidth="1"/>
    <col min="15899" max="15899" width="16.5703125" style="413" customWidth="1"/>
    <col min="15900" max="15900" width="16.140625" style="413" customWidth="1"/>
    <col min="15901" max="15901" width="16" style="413" customWidth="1"/>
    <col min="15902" max="15902" width="15.7109375" style="413" customWidth="1"/>
    <col min="15903" max="15903" width="15.85546875" style="413" customWidth="1"/>
    <col min="15904" max="15904" width="17.28515625" style="413" customWidth="1"/>
    <col min="15905" max="15905" width="14" style="413" customWidth="1"/>
    <col min="15906" max="15906" width="16.5703125" style="413" customWidth="1"/>
    <col min="15907" max="15907" width="17.140625" style="413" customWidth="1"/>
    <col min="15908" max="16128" width="9.140625" style="413"/>
    <col min="16129" max="16145" width="3.28515625" style="413" customWidth="1"/>
    <col min="16146" max="16146" width="2.85546875" style="413" customWidth="1"/>
    <col min="16147" max="16147" width="0.7109375" style="413" customWidth="1"/>
    <col min="16148" max="16148" width="2" style="413" customWidth="1"/>
    <col min="16149" max="16149" width="3.28515625" style="413" customWidth="1"/>
    <col min="16150" max="16150" width="0.85546875" style="413" customWidth="1"/>
    <col min="16151" max="16151" width="7.85546875" style="413" customWidth="1"/>
    <col min="16152" max="16152" width="4" style="413" customWidth="1"/>
    <col min="16153" max="16153" width="17" style="413" bestFit="1" customWidth="1"/>
    <col min="16154" max="16154" width="17.28515625" style="413" customWidth="1"/>
    <col min="16155" max="16155" width="16.5703125" style="413" customWidth="1"/>
    <col min="16156" max="16156" width="16.140625" style="413" customWidth="1"/>
    <col min="16157" max="16157" width="16" style="413" customWidth="1"/>
    <col min="16158" max="16158" width="15.7109375" style="413" customWidth="1"/>
    <col min="16159" max="16159" width="15.85546875" style="413" customWidth="1"/>
    <col min="16160" max="16160" width="17.28515625" style="413" customWidth="1"/>
    <col min="16161" max="16161" width="14" style="413" customWidth="1"/>
    <col min="16162" max="16162" width="16.5703125" style="413" customWidth="1"/>
    <col min="16163" max="16163" width="17.140625" style="413" customWidth="1"/>
    <col min="16164" max="16384" width="9.140625" style="413"/>
  </cols>
  <sheetData>
    <row r="1" spans="1:35" ht="18.75" x14ac:dyDescent="0.2">
      <c r="A1" s="1121" t="s">
        <v>3</v>
      </c>
      <c r="B1" s="1121"/>
      <c r="C1" s="1121"/>
      <c r="D1" s="1121"/>
      <c r="E1" s="1121"/>
      <c r="F1" s="1121"/>
      <c r="G1" s="1121"/>
      <c r="H1" s="1121"/>
      <c r="I1" s="1121"/>
      <c r="J1" s="1121"/>
      <c r="K1" s="1121"/>
      <c r="L1" s="1121"/>
      <c r="M1" s="1121"/>
      <c r="N1" s="1121"/>
      <c r="O1" s="1121"/>
      <c r="P1" s="1121"/>
      <c r="Q1" s="1121"/>
      <c r="R1" s="1121"/>
      <c r="S1" s="1121"/>
      <c r="T1" s="1121"/>
      <c r="U1" s="1121"/>
      <c r="V1" s="1121"/>
      <c r="W1" s="1121"/>
      <c r="X1" s="1121"/>
      <c r="Y1" s="1121"/>
      <c r="Z1" s="1121"/>
      <c r="AA1" s="1121"/>
      <c r="AB1" s="1121"/>
    </row>
    <row r="2" spans="1:35" ht="15.75" x14ac:dyDescent="0.2">
      <c r="A2" s="1122" t="s">
        <v>656</v>
      </c>
      <c r="B2" s="1122"/>
      <c r="C2" s="1122"/>
      <c r="D2" s="1122"/>
      <c r="E2" s="1122"/>
      <c r="F2" s="1122"/>
      <c r="G2" s="1122"/>
      <c r="H2" s="1122"/>
      <c r="I2" s="1122"/>
      <c r="J2" s="1122"/>
      <c r="K2" s="1122"/>
      <c r="L2" s="1122"/>
      <c r="M2" s="1122"/>
      <c r="N2" s="1122"/>
      <c r="O2" s="1122"/>
      <c r="P2" s="1122"/>
      <c r="Q2" s="1122"/>
      <c r="R2" s="1122"/>
      <c r="S2" s="1122"/>
      <c r="T2" s="1122"/>
      <c r="U2" s="1122"/>
      <c r="V2" s="1122"/>
      <c r="W2" s="1122"/>
      <c r="X2" s="1122"/>
      <c r="Y2" s="1122"/>
      <c r="Z2" s="1122"/>
      <c r="AA2" s="1122"/>
      <c r="AB2" s="1122"/>
      <c r="AC2" s="1122"/>
    </row>
    <row r="3" spans="1:35" ht="15.75" x14ac:dyDescent="0.25">
      <c r="A3" s="839" t="s">
        <v>923</v>
      </c>
      <c r="B3" s="840"/>
      <c r="C3" s="840"/>
      <c r="D3" s="840"/>
      <c r="E3" s="840"/>
      <c r="F3" s="840"/>
      <c r="G3" s="840"/>
      <c r="H3" s="840"/>
      <c r="I3" s="840"/>
      <c r="J3" s="840"/>
      <c r="K3" s="840"/>
      <c r="L3" s="840"/>
      <c r="M3" s="840"/>
      <c r="N3" s="840"/>
      <c r="O3" s="840"/>
      <c r="P3" s="840"/>
      <c r="Q3" s="840"/>
      <c r="R3" s="840"/>
      <c r="S3" s="840"/>
      <c r="T3" s="840"/>
      <c r="U3" s="840"/>
      <c r="V3" s="840"/>
      <c r="W3" s="840"/>
      <c r="X3" s="840"/>
      <c r="Y3" s="840"/>
      <c r="Z3" s="840"/>
      <c r="AA3" s="840"/>
      <c r="AB3" s="840"/>
      <c r="AC3" s="840"/>
      <c r="AD3" s="413" t="s">
        <v>830</v>
      </c>
    </row>
    <row r="4" spans="1:35" ht="15.75" thickBot="1" x14ac:dyDescent="0.3">
      <c r="A4" s="489"/>
      <c r="B4" s="489"/>
      <c r="C4" s="489"/>
      <c r="D4" s="489"/>
      <c r="E4" s="489"/>
      <c r="F4" s="489"/>
      <c r="G4" s="489"/>
      <c r="H4" s="489"/>
      <c r="I4" s="489"/>
      <c r="J4" s="489"/>
      <c r="K4" s="489"/>
      <c r="L4" s="489"/>
      <c r="M4" s="489"/>
      <c r="N4" s="489"/>
      <c r="O4" s="489"/>
      <c r="P4" s="489"/>
      <c r="Q4" s="489"/>
      <c r="R4" s="489"/>
      <c r="S4" s="489"/>
      <c r="T4" s="489"/>
      <c r="U4" s="489"/>
      <c r="V4" s="489"/>
      <c r="W4"/>
      <c r="X4"/>
      <c r="Y4"/>
      <c r="AG4" s="1173"/>
      <c r="AH4" s="1173"/>
    </row>
    <row r="5" spans="1:35" ht="15.75" customHeight="1" x14ac:dyDescent="0.2">
      <c r="A5" s="1123" t="s">
        <v>7</v>
      </c>
      <c r="B5" s="1124"/>
      <c r="C5" s="1124"/>
      <c r="D5" s="1124"/>
      <c r="E5" s="1124"/>
      <c r="F5" s="1124"/>
      <c r="G5" s="1124"/>
      <c r="H5" s="1124"/>
      <c r="I5" s="1124"/>
      <c r="J5" s="1124"/>
      <c r="K5" s="1124"/>
      <c r="L5" s="1124"/>
      <c r="M5" s="1124"/>
      <c r="N5" s="1124"/>
      <c r="O5" s="1124"/>
      <c r="P5" s="1124"/>
      <c r="Q5" s="1124"/>
      <c r="R5" s="1124"/>
      <c r="S5" s="1125"/>
      <c r="T5" s="1132" t="s">
        <v>6</v>
      </c>
      <c r="U5" s="1132"/>
      <c r="V5" s="1133"/>
      <c r="W5" s="627" t="s">
        <v>396</v>
      </c>
      <c r="X5" s="628"/>
      <c r="Y5" s="1136" t="s">
        <v>924</v>
      </c>
      <c r="Z5" s="629" t="s">
        <v>278</v>
      </c>
      <c r="AA5" s="1138" t="s">
        <v>657</v>
      </c>
      <c r="AB5" s="630"/>
      <c r="AC5" s="1140" t="s">
        <v>658</v>
      </c>
      <c r="AD5" s="1182" t="s">
        <v>659</v>
      </c>
      <c r="AE5" s="1094" t="s">
        <v>828</v>
      </c>
      <c r="AF5" s="1094" t="s">
        <v>660</v>
      </c>
      <c r="AG5" s="1094" t="s">
        <v>661</v>
      </c>
      <c r="AH5" s="1094" t="s">
        <v>662</v>
      </c>
      <c r="AI5" s="1094" t="s">
        <v>925</v>
      </c>
    </row>
    <row r="6" spans="1:35" ht="43.5" customHeight="1" thickBot="1" x14ac:dyDescent="0.25">
      <c r="A6" s="1126"/>
      <c r="B6" s="1127"/>
      <c r="C6" s="1127"/>
      <c r="D6" s="1127"/>
      <c r="E6" s="1127"/>
      <c r="F6" s="1127"/>
      <c r="G6" s="1127"/>
      <c r="H6" s="1127"/>
      <c r="I6" s="1127"/>
      <c r="J6" s="1127"/>
      <c r="K6" s="1127"/>
      <c r="L6" s="1127"/>
      <c r="M6" s="1127"/>
      <c r="N6" s="1127"/>
      <c r="O6" s="1127"/>
      <c r="P6" s="1127"/>
      <c r="Q6" s="1127"/>
      <c r="R6" s="1127"/>
      <c r="S6" s="1128"/>
      <c r="T6" s="1134"/>
      <c r="U6" s="1134"/>
      <c r="V6" s="1135"/>
      <c r="W6" s="1142" t="s">
        <v>397</v>
      </c>
      <c r="X6" s="1143"/>
      <c r="Y6" s="1137"/>
      <c r="Z6" s="631" t="s">
        <v>663</v>
      </c>
      <c r="AA6" s="1139"/>
      <c r="AB6" s="632" t="s">
        <v>829</v>
      </c>
      <c r="AC6" s="1141"/>
      <c r="AD6" s="1183"/>
      <c r="AE6" s="1095"/>
      <c r="AF6" s="1095"/>
      <c r="AG6" s="1095"/>
      <c r="AH6" s="1095"/>
      <c r="AI6" s="1095"/>
    </row>
    <row r="7" spans="1:35" ht="13.5" thickBot="1" x14ac:dyDescent="0.25">
      <c r="A7" s="1144" t="s">
        <v>664</v>
      </c>
      <c r="B7" s="1145"/>
      <c r="C7" s="1145"/>
      <c r="D7" s="1145"/>
      <c r="E7" s="1145"/>
      <c r="F7" s="1145"/>
      <c r="G7" s="1145"/>
      <c r="H7" s="1145"/>
      <c r="I7" s="1145"/>
      <c r="J7" s="1145"/>
      <c r="K7" s="1145"/>
      <c r="L7" s="1145"/>
      <c r="M7" s="1145"/>
      <c r="N7" s="1145"/>
      <c r="O7" s="1145"/>
      <c r="P7" s="1145"/>
      <c r="Q7" s="1145"/>
      <c r="R7" s="1145"/>
      <c r="S7" s="1146"/>
      <c r="T7" s="1147" t="s">
        <v>399</v>
      </c>
      <c r="U7" s="1147"/>
      <c r="V7" s="1148"/>
      <c r="W7" s="1149" t="s">
        <v>665</v>
      </c>
      <c r="X7" s="1150"/>
      <c r="Y7" s="633">
        <f>Z7+AA7+AB7+AC7+AD7+AF7+AG7+AH7+AE7</f>
        <v>34245295</v>
      </c>
      <c r="Z7" s="634"/>
      <c r="AA7" s="635">
        <f>[3]éves_bér_és_jár!K11+966000</f>
        <v>18267400</v>
      </c>
      <c r="AB7" s="639">
        <f>5402135+500000</f>
        <v>5902135</v>
      </c>
      <c r="AC7" s="635">
        <f>[3]éves_bér_és_jár!K22</f>
        <v>4647216</v>
      </c>
      <c r="AD7" s="634">
        <f>[3]éves_bér_és_jár!K26</f>
        <v>3360600</v>
      </c>
      <c r="AE7" s="636">
        <v>0</v>
      </c>
      <c r="AF7" s="636">
        <f>1031549+660000</f>
        <v>1691549</v>
      </c>
      <c r="AG7" s="636"/>
      <c r="AH7" s="636">
        <v>376395</v>
      </c>
      <c r="AI7" s="636"/>
    </row>
    <row r="8" spans="1:35" ht="15" customHeight="1" x14ac:dyDescent="0.2">
      <c r="A8" s="1151" t="s">
        <v>666</v>
      </c>
      <c r="B8" s="1152"/>
      <c r="C8" s="1152"/>
      <c r="D8" s="1152"/>
      <c r="E8" s="1152"/>
      <c r="F8" s="1152"/>
      <c r="G8" s="1152"/>
      <c r="H8" s="1152"/>
      <c r="I8" s="1152"/>
      <c r="J8" s="1152"/>
      <c r="K8" s="1152"/>
      <c r="L8" s="1152"/>
      <c r="M8" s="1152"/>
      <c r="N8" s="1152"/>
      <c r="O8" s="1152"/>
      <c r="P8" s="1152"/>
      <c r="Q8" s="1152"/>
      <c r="R8" s="1152"/>
      <c r="S8" s="1153"/>
      <c r="T8" s="1147" t="s">
        <v>402</v>
      </c>
      <c r="U8" s="1147"/>
      <c r="V8" s="1148"/>
      <c r="W8" s="1149" t="s">
        <v>667</v>
      </c>
      <c r="X8" s="1150"/>
      <c r="Y8" s="633">
        <f t="shared" ref="Y8:Y17" si="0">Z8+AA8+AB8+AC8+AD8+AF8+AG8+AH8+AE8</f>
        <v>0</v>
      </c>
      <c r="Z8" s="637"/>
      <c r="AA8" s="638">
        <v>0</v>
      </c>
      <c r="AB8" s="639">
        <v>0</v>
      </c>
      <c r="AC8" s="634"/>
      <c r="AD8" s="634">
        <v>0</v>
      </c>
      <c r="AE8" s="640"/>
      <c r="AF8" s="640"/>
      <c r="AG8" s="640">
        <v>0</v>
      </c>
      <c r="AH8" s="640"/>
      <c r="AI8" s="640"/>
    </row>
    <row r="9" spans="1:35" ht="15" customHeight="1" x14ac:dyDescent="0.2">
      <c r="A9" s="1151" t="s">
        <v>668</v>
      </c>
      <c r="B9" s="1152"/>
      <c r="C9" s="1152"/>
      <c r="D9" s="1152"/>
      <c r="E9" s="1152"/>
      <c r="F9" s="1152"/>
      <c r="G9" s="1152"/>
      <c r="H9" s="1152"/>
      <c r="I9" s="1152"/>
      <c r="J9" s="1152"/>
      <c r="K9" s="1152"/>
      <c r="L9" s="1152"/>
      <c r="M9" s="1152"/>
      <c r="N9" s="1152"/>
      <c r="O9" s="1152"/>
      <c r="P9" s="1152"/>
      <c r="Q9" s="1152"/>
      <c r="R9" s="1152"/>
      <c r="S9" s="1153"/>
      <c r="T9" s="1147" t="s">
        <v>406</v>
      </c>
      <c r="U9" s="1147"/>
      <c r="V9" s="1148"/>
      <c r="W9" s="1149" t="s">
        <v>669</v>
      </c>
      <c r="X9" s="1150"/>
      <c r="Y9" s="633">
        <f t="shared" si="0"/>
        <v>960000</v>
      </c>
      <c r="Z9" s="637">
        <v>0</v>
      </c>
      <c r="AA9" s="637">
        <f>[3]éves_bér_és_jár!N11</f>
        <v>672000</v>
      </c>
      <c r="AB9" s="639">
        <f>[3]éves_bér_és_jár!N41</f>
        <v>96000</v>
      </c>
      <c r="AC9" s="634"/>
      <c r="AD9" s="634">
        <f>[3]éves_bér_és_jár!N26</f>
        <v>192000</v>
      </c>
      <c r="AE9" s="640"/>
      <c r="AF9" s="640"/>
      <c r="AG9" s="640"/>
      <c r="AH9" s="640"/>
      <c r="AI9" s="640"/>
    </row>
    <row r="10" spans="1:35" ht="15" customHeight="1" x14ac:dyDescent="0.2">
      <c r="A10" s="1151" t="s">
        <v>670</v>
      </c>
      <c r="B10" s="1152"/>
      <c r="C10" s="1152"/>
      <c r="D10" s="1152"/>
      <c r="E10" s="1152"/>
      <c r="F10" s="1152"/>
      <c r="G10" s="1152"/>
      <c r="H10" s="1152"/>
      <c r="I10" s="1152"/>
      <c r="J10" s="1152"/>
      <c r="K10" s="1152"/>
      <c r="L10" s="1152"/>
      <c r="M10" s="1152"/>
      <c r="N10" s="1152"/>
      <c r="O10" s="1152"/>
      <c r="P10" s="1152"/>
      <c r="Q10" s="1152"/>
      <c r="R10" s="1152"/>
      <c r="S10" s="1153"/>
      <c r="T10" s="1147" t="s">
        <v>410</v>
      </c>
      <c r="U10" s="1147"/>
      <c r="V10" s="1148"/>
      <c r="W10" s="1149" t="s">
        <v>671</v>
      </c>
      <c r="X10" s="1150"/>
      <c r="Y10" s="633">
        <f t="shared" si="0"/>
        <v>312000</v>
      </c>
      <c r="Z10" s="637">
        <f>[3]éves_bér_és_jár!O39</f>
        <v>0</v>
      </c>
      <c r="AA10" s="637">
        <f>[3]éves_bér_és_jár!O11</f>
        <v>312000</v>
      </c>
      <c r="AB10" s="639"/>
      <c r="AC10" s="634"/>
      <c r="AD10" s="634"/>
      <c r="AE10" s="640"/>
      <c r="AF10" s="640"/>
      <c r="AG10" s="640">
        <v>0</v>
      </c>
      <c r="AH10" s="640"/>
      <c r="AI10" s="640"/>
    </row>
    <row r="11" spans="1:35" ht="15" customHeight="1" x14ac:dyDescent="0.2">
      <c r="A11" s="1151" t="s">
        <v>672</v>
      </c>
      <c r="B11" s="1152"/>
      <c r="C11" s="1152"/>
      <c r="D11" s="1152"/>
      <c r="E11" s="1152"/>
      <c r="F11" s="1152"/>
      <c r="G11" s="1152"/>
      <c r="H11" s="1152"/>
      <c r="I11" s="1152"/>
      <c r="J11" s="1152"/>
      <c r="K11" s="1152"/>
      <c r="L11" s="1152"/>
      <c r="M11" s="1152"/>
      <c r="N11" s="1152"/>
      <c r="O11" s="1152"/>
      <c r="P11" s="1152"/>
      <c r="Q11" s="1152"/>
      <c r="R11" s="1152"/>
      <c r="S11" s="641"/>
      <c r="T11" s="1147" t="s">
        <v>413</v>
      </c>
      <c r="U11" s="1147"/>
      <c r="V11" s="1148"/>
      <c r="W11" s="1149" t="s">
        <v>673</v>
      </c>
      <c r="X11" s="1150"/>
      <c r="Y11" s="633">
        <f t="shared" si="0"/>
        <v>400000</v>
      </c>
      <c r="Z11" s="637">
        <v>0</v>
      </c>
      <c r="AA11" s="637">
        <f>[3]éves_bér_és_jár!S11</f>
        <v>160000</v>
      </c>
      <c r="AB11" s="639">
        <f>[3]éves_bér_és_jár!S41</f>
        <v>30000</v>
      </c>
      <c r="AC11" s="634">
        <f>[3]éves_bér_és_jár!S22</f>
        <v>140000</v>
      </c>
      <c r="AD11" s="634">
        <f>[3]éves_bér_és_jár!S26</f>
        <v>70000</v>
      </c>
      <c r="AE11" s="640">
        <f>[3]éves_bér_és_jár!S44</f>
        <v>0</v>
      </c>
      <c r="AF11" s="640"/>
      <c r="AG11" s="640"/>
      <c r="AH11" s="640"/>
      <c r="AI11" s="640"/>
    </row>
    <row r="12" spans="1:35" ht="15" customHeight="1" x14ac:dyDescent="0.2">
      <c r="A12" s="1151" t="s">
        <v>674</v>
      </c>
      <c r="B12" s="1152"/>
      <c r="C12" s="1152"/>
      <c r="D12" s="1152"/>
      <c r="E12" s="1152"/>
      <c r="F12" s="1152"/>
      <c r="G12" s="1152"/>
      <c r="H12" s="1152"/>
      <c r="I12" s="1152"/>
      <c r="J12" s="1152"/>
      <c r="K12" s="1152"/>
      <c r="L12" s="1152"/>
      <c r="M12" s="1152"/>
      <c r="N12" s="1152"/>
      <c r="O12" s="1152"/>
      <c r="P12" s="1152"/>
      <c r="Q12" s="1152"/>
      <c r="R12" s="1152"/>
      <c r="S12" s="1153"/>
      <c r="T12" s="1147" t="s">
        <v>416</v>
      </c>
      <c r="U12" s="1147"/>
      <c r="V12" s="1148"/>
      <c r="W12" s="1149" t="s">
        <v>675</v>
      </c>
      <c r="X12" s="1150"/>
      <c r="Y12" s="633">
        <f t="shared" si="0"/>
        <v>10982964</v>
      </c>
      <c r="Z12" s="637">
        <v>10982964</v>
      </c>
      <c r="AA12" s="637"/>
      <c r="AB12" s="639"/>
      <c r="AC12" s="634"/>
      <c r="AD12" s="634"/>
      <c r="AE12" s="640"/>
      <c r="AF12" s="640"/>
      <c r="AG12" s="640"/>
      <c r="AH12" s="640"/>
      <c r="AI12" s="640"/>
    </row>
    <row r="13" spans="1:35" ht="15" customHeight="1" x14ac:dyDescent="0.2">
      <c r="A13" s="1151" t="s">
        <v>676</v>
      </c>
      <c r="B13" s="1152"/>
      <c r="C13" s="1152"/>
      <c r="D13" s="1152"/>
      <c r="E13" s="1152"/>
      <c r="F13" s="1152"/>
      <c r="G13" s="1152"/>
      <c r="H13" s="1152"/>
      <c r="I13" s="1152"/>
      <c r="J13" s="1152"/>
      <c r="K13" s="1152"/>
      <c r="L13" s="1152"/>
      <c r="M13" s="1152"/>
      <c r="N13" s="1152"/>
      <c r="O13" s="1152"/>
      <c r="P13" s="1152"/>
      <c r="Q13" s="1152"/>
      <c r="R13" s="1152"/>
      <c r="S13" s="1153"/>
      <c r="T13" s="1147" t="s">
        <v>419</v>
      </c>
      <c r="U13" s="1147"/>
      <c r="V13" s="1148"/>
      <c r="W13" s="1149" t="s">
        <v>677</v>
      </c>
      <c r="X13" s="1150"/>
      <c r="Y13" s="633">
        <f>Z13+AA13+AB13+AC13+AD13+AF13+AG13+AH13+AE13+AI13</f>
        <v>1397300</v>
      </c>
      <c r="Z13" s="637"/>
      <c r="AA13" s="637"/>
      <c r="AB13" s="639"/>
      <c r="AC13" s="634"/>
      <c r="AD13" s="634"/>
      <c r="AE13" s="640">
        <v>225000</v>
      </c>
      <c r="AF13" s="640">
        <f>660000+100000+100000</f>
        <v>860000</v>
      </c>
      <c r="AG13" s="640">
        <f>[3]éves_bér_és_jár!T62</f>
        <v>0</v>
      </c>
      <c r="AH13" s="640">
        <f>[3]éves_bér_és_jár!T76</f>
        <v>0</v>
      </c>
      <c r="AI13" s="640">
        <v>312300</v>
      </c>
    </row>
    <row r="14" spans="1:35" ht="15" customHeight="1" x14ac:dyDescent="0.2">
      <c r="A14" s="1151" t="s">
        <v>678</v>
      </c>
      <c r="B14" s="1152"/>
      <c r="C14" s="1152"/>
      <c r="D14" s="1152"/>
      <c r="E14" s="1152"/>
      <c r="F14" s="1152"/>
      <c r="G14" s="1152"/>
      <c r="H14" s="1152"/>
      <c r="I14" s="1152"/>
      <c r="J14" s="1152"/>
      <c r="K14" s="1152"/>
      <c r="L14" s="1152"/>
      <c r="M14" s="1152"/>
      <c r="N14" s="1152"/>
      <c r="O14" s="1152"/>
      <c r="P14" s="1152"/>
      <c r="Q14" s="1152"/>
      <c r="R14" s="1152"/>
      <c r="S14" s="1153"/>
      <c r="T14" s="1147" t="s">
        <v>421</v>
      </c>
      <c r="U14" s="1147"/>
      <c r="V14" s="1148"/>
      <c r="W14" s="1149" t="s">
        <v>679</v>
      </c>
      <c r="X14" s="1150"/>
      <c r="Y14" s="633">
        <f t="shared" si="0"/>
        <v>421200</v>
      </c>
      <c r="Z14" s="637">
        <v>421200</v>
      </c>
      <c r="AA14" s="637"/>
      <c r="AB14" s="639">
        <v>0</v>
      </c>
      <c r="AC14" s="634"/>
      <c r="AD14" s="634"/>
      <c r="AE14" s="640">
        <v>0</v>
      </c>
      <c r="AF14" s="640"/>
      <c r="AG14" s="640"/>
      <c r="AH14" s="640"/>
      <c r="AI14" s="640"/>
    </row>
    <row r="15" spans="1:35" ht="15.75" customHeight="1" x14ac:dyDescent="0.2">
      <c r="A15" s="1164" t="s">
        <v>680</v>
      </c>
      <c r="B15" s="1165"/>
      <c r="C15" s="1165"/>
      <c r="D15" s="1165"/>
      <c r="E15" s="1165"/>
      <c r="F15" s="1165"/>
      <c r="G15" s="1165"/>
      <c r="H15" s="1165"/>
      <c r="I15" s="1165"/>
      <c r="J15" s="1165"/>
      <c r="K15" s="1165"/>
      <c r="L15" s="1165"/>
      <c r="M15" s="1165"/>
      <c r="N15" s="1165"/>
      <c r="O15" s="1165"/>
      <c r="P15" s="1165"/>
      <c r="Q15" s="1165"/>
      <c r="R15" s="1165"/>
      <c r="S15" s="1166"/>
      <c r="T15" s="1167" t="s">
        <v>424</v>
      </c>
      <c r="U15" s="1167"/>
      <c r="V15" s="1168"/>
      <c r="W15" s="1169"/>
      <c r="X15" s="1170"/>
      <c r="Y15" s="642">
        <f>Y7+Y8+Y9+Y10+Y11+Y12+Y13+Y14</f>
        <v>48718759</v>
      </c>
      <c r="Z15" s="643">
        <f>Z7+Z8+Z9+Z10+Z11+Z12+Z13+Z14</f>
        <v>11404164</v>
      </c>
      <c r="AA15" s="643">
        <f>AA7+AA8+AA9+AA10+AA11+AA12+AA13+AA14</f>
        <v>19411400</v>
      </c>
      <c r="AB15" s="643">
        <f t="shared" ref="AB15:AH15" si="1">AB7+AB8+AB9+AB10+AB11+AB12+AB13+AB14</f>
        <v>6028135</v>
      </c>
      <c r="AC15" s="643">
        <f t="shared" si="1"/>
        <v>4787216</v>
      </c>
      <c r="AD15" s="643">
        <f t="shared" si="1"/>
        <v>3622600</v>
      </c>
      <c r="AE15" s="643">
        <f t="shared" si="1"/>
        <v>225000</v>
      </c>
      <c r="AF15" s="643">
        <f t="shared" si="1"/>
        <v>2551549</v>
      </c>
      <c r="AG15" s="643">
        <f t="shared" si="1"/>
        <v>0</v>
      </c>
      <c r="AH15" s="644">
        <f t="shared" si="1"/>
        <v>376395</v>
      </c>
      <c r="AI15" s="644">
        <f>AI7+AI8+AI9+AI10+AI11+AI12+AI13+AI14</f>
        <v>312300</v>
      </c>
    </row>
    <row r="16" spans="1:35" ht="15.75" customHeight="1" x14ac:dyDescent="0.2">
      <c r="A16" s="1151" t="s">
        <v>681</v>
      </c>
      <c r="B16" s="1152"/>
      <c r="C16" s="1152"/>
      <c r="D16" s="1152"/>
      <c r="E16" s="1152"/>
      <c r="F16" s="1152"/>
      <c r="G16" s="1152"/>
      <c r="H16" s="1152"/>
      <c r="I16" s="1152"/>
      <c r="J16" s="1152"/>
      <c r="K16" s="1152"/>
      <c r="L16" s="1152"/>
      <c r="M16" s="1152"/>
      <c r="N16" s="1152"/>
      <c r="O16" s="1152"/>
      <c r="P16" s="1152"/>
      <c r="Q16" s="1152"/>
      <c r="R16" s="1152"/>
      <c r="S16" s="1153"/>
      <c r="T16" s="1147" t="s">
        <v>428</v>
      </c>
      <c r="U16" s="1147"/>
      <c r="V16" s="1148"/>
      <c r="W16" s="1171" t="s">
        <v>682</v>
      </c>
      <c r="X16" s="1172"/>
      <c r="Y16" s="633">
        <f>Z16+AA16+AB16+AC16+AD16+AF16+AG16+AH16+AE16+AI16</f>
        <v>7794684.4250000007</v>
      </c>
      <c r="Z16" s="637">
        <f>11504164*17.5%-171062</f>
        <v>1842166.7</v>
      </c>
      <c r="AA16" s="637">
        <f>[3]éves_bér_és_jár!W11+149728-192454</f>
        <v>3325219</v>
      </c>
      <c r="AB16" s="637">
        <f>[3]éves_bér_és_jár!W42-55281+87500</f>
        <v>1017142.6249999999</v>
      </c>
      <c r="AC16" s="634">
        <f>[3]éves_bér_és_jár!W22-47872</f>
        <v>371009.4</v>
      </c>
      <c r="AD16" s="634">
        <f>[3]éves_bér_és_jár!W26-36226</f>
        <v>632729</v>
      </c>
      <c r="AE16" s="643">
        <f>AE15*17.5%</f>
        <v>39375</v>
      </c>
      <c r="AF16" s="640">
        <f>AF15*17.5%</f>
        <v>446521.07499999995</v>
      </c>
      <c r="AG16" s="640">
        <f>[3]éves_bér_és_jár!W62</f>
        <v>0</v>
      </c>
      <c r="AH16" s="640">
        <f>AH15*17.5%</f>
        <v>65869.125</v>
      </c>
      <c r="AI16" s="640">
        <f>AI15*17.5%</f>
        <v>54652.5</v>
      </c>
    </row>
    <row r="17" spans="1:35" ht="15.75" customHeight="1" thickBot="1" x14ac:dyDescent="0.25">
      <c r="A17" s="1129" t="s">
        <v>683</v>
      </c>
      <c r="B17" s="1130"/>
      <c r="C17" s="1130"/>
      <c r="D17" s="1130"/>
      <c r="E17" s="1130"/>
      <c r="F17" s="1130"/>
      <c r="G17" s="1130"/>
      <c r="H17" s="1130"/>
      <c r="I17" s="1130"/>
      <c r="J17" s="1130"/>
      <c r="K17" s="1130"/>
      <c r="L17" s="1130"/>
      <c r="M17" s="1130"/>
      <c r="N17" s="1130"/>
      <c r="O17" s="1130"/>
      <c r="P17" s="1130"/>
      <c r="Q17" s="1130"/>
      <c r="R17" s="1130"/>
      <c r="S17" s="1131"/>
      <c r="T17" s="1178" t="s">
        <v>431</v>
      </c>
      <c r="U17" s="1178"/>
      <c r="V17" s="1179"/>
      <c r="W17" s="1180" t="s">
        <v>682</v>
      </c>
      <c r="X17" s="1181"/>
      <c r="Y17" s="633">
        <f t="shared" si="0"/>
        <v>474334</v>
      </c>
      <c r="Z17" s="645">
        <v>330334</v>
      </c>
      <c r="AA17" s="645">
        <f>[3]éves_bér_és_jár!X11</f>
        <v>100800</v>
      </c>
      <c r="AB17" s="645">
        <f>[3]éves_bér_és_jár!X42</f>
        <v>14400</v>
      </c>
      <c r="AC17" s="646"/>
      <c r="AD17" s="646">
        <f>[3]éves_bér_és_jár!X26</f>
        <v>28800</v>
      </c>
      <c r="AE17" s="647"/>
      <c r="AF17" s="647"/>
      <c r="AG17" s="647"/>
      <c r="AH17" s="647"/>
      <c r="AI17" s="647"/>
    </row>
    <row r="18" spans="1:35" ht="16.5" customHeight="1" thickBot="1" x14ac:dyDescent="0.25">
      <c r="A18" s="1154" t="s">
        <v>684</v>
      </c>
      <c r="B18" s="1155"/>
      <c r="C18" s="1155"/>
      <c r="D18" s="1155"/>
      <c r="E18" s="1155"/>
      <c r="F18" s="1155"/>
      <c r="G18" s="1155"/>
      <c r="H18" s="1155"/>
      <c r="I18" s="1155"/>
      <c r="J18" s="1155"/>
      <c r="K18" s="1155"/>
      <c r="L18" s="1155"/>
      <c r="M18" s="1155"/>
      <c r="N18" s="1155"/>
      <c r="O18" s="1155"/>
      <c r="P18" s="1155"/>
      <c r="Q18" s="1155"/>
      <c r="R18" s="1155"/>
      <c r="S18" s="1156"/>
      <c r="T18" s="1157" t="s">
        <v>434</v>
      </c>
      <c r="U18" s="1157"/>
      <c r="V18" s="1158"/>
      <c r="W18" s="1159"/>
      <c r="X18" s="1160"/>
      <c r="Y18" s="642">
        <f>Y16+Y17</f>
        <v>8269018.4250000007</v>
      </c>
      <c r="Z18" s="648">
        <f>Z16+Z17</f>
        <v>2172500.7000000002</v>
      </c>
      <c r="AA18" s="649">
        <f>AA16+AA17</f>
        <v>3426019</v>
      </c>
      <c r="AB18" s="649">
        <f t="shared" ref="AB18:AH18" si="2">AB16+AB17</f>
        <v>1031542.6249999999</v>
      </c>
      <c r="AC18" s="649">
        <f t="shared" si="2"/>
        <v>371009.4</v>
      </c>
      <c r="AD18" s="649">
        <f t="shared" si="2"/>
        <v>661529</v>
      </c>
      <c r="AE18" s="649">
        <f t="shared" si="2"/>
        <v>39375</v>
      </c>
      <c r="AF18" s="649">
        <f t="shared" si="2"/>
        <v>446521.07499999995</v>
      </c>
      <c r="AG18" s="649">
        <f t="shared" si="2"/>
        <v>0</v>
      </c>
      <c r="AH18" s="650">
        <f t="shared" si="2"/>
        <v>65869.125</v>
      </c>
      <c r="AI18" s="650">
        <f>AI16+AI17</f>
        <v>54652.5</v>
      </c>
    </row>
    <row r="19" spans="1:35" s="453" customFormat="1" ht="16.5" customHeight="1" thickBot="1" x14ac:dyDescent="0.3">
      <c r="A19" s="1161" t="s">
        <v>685</v>
      </c>
      <c r="B19" s="1162"/>
      <c r="C19" s="1162"/>
      <c r="D19" s="1162"/>
      <c r="E19" s="1162"/>
      <c r="F19" s="1162"/>
      <c r="G19" s="1162"/>
      <c r="H19" s="1162"/>
      <c r="I19" s="1162"/>
      <c r="J19" s="1162"/>
      <c r="K19" s="1162"/>
      <c r="L19" s="1162"/>
      <c r="M19" s="1162"/>
      <c r="N19" s="1162"/>
      <c r="O19" s="1162"/>
      <c r="P19" s="1162"/>
      <c r="Q19" s="1162"/>
      <c r="R19" s="1162"/>
      <c r="S19" s="1163"/>
      <c r="T19" s="1174" t="s">
        <v>437</v>
      </c>
      <c r="U19" s="1174"/>
      <c r="V19" s="1175"/>
      <c r="W19" s="1176"/>
      <c r="X19" s="1177"/>
      <c r="Y19" s="642">
        <f>Y18+Y15</f>
        <v>56987777.424999997</v>
      </c>
      <c r="Z19" s="651">
        <f>Z15+Z18</f>
        <v>13576664.699999999</v>
      </c>
      <c r="AA19" s="651">
        <f>AA18+AA15</f>
        <v>22837419</v>
      </c>
      <c r="AB19" s="651">
        <f t="shared" ref="AB19:AH19" si="3">AB18+AB15</f>
        <v>7059677.625</v>
      </c>
      <c r="AC19" s="651">
        <f t="shared" si="3"/>
        <v>5158225.4000000004</v>
      </c>
      <c r="AD19" s="651">
        <f t="shared" si="3"/>
        <v>4284129</v>
      </c>
      <c r="AE19" s="651">
        <f t="shared" si="3"/>
        <v>264375</v>
      </c>
      <c r="AF19" s="651">
        <f t="shared" si="3"/>
        <v>2998070.0750000002</v>
      </c>
      <c r="AG19" s="651">
        <f t="shared" si="3"/>
        <v>0</v>
      </c>
      <c r="AH19" s="652">
        <f t="shared" si="3"/>
        <v>442264.125</v>
      </c>
      <c r="AI19" s="652">
        <f>AI18+AI15</f>
        <v>366952.5</v>
      </c>
    </row>
    <row r="20" spans="1:35" ht="16.5" customHeight="1" x14ac:dyDescent="0.2">
      <c r="Y20" s="454"/>
      <c r="Z20" s="454"/>
      <c r="AA20" s="454"/>
      <c r="AB20" s="454"/>
      <c r="AC20" s="454"/>
      <c r="AD20" s="454"/>
      <c r="AE20" s="454"/>
      <c r="AF20" s="454"/>
    </row>
    <row r="21" spans="1:35" ht="16.5" customHeight="1" x14ac:dyDescent="0.2">
      <c r="Y21" s="1096" t="s">
        <v>926</v>
      </c>
      <c r="Z21" s="1096"/>
      <c r="AA21" s="1096"/>
      <c r="AB21" s="454"/>
      <c r="AC21" s="454"/>
      <c r="AD21" s="454"/>
      <c r="AE21" s="454"/>
      <c r="AF21" s="454"/>
    </row>
    <row r="22" spans="1:35" ht="13.5" thickBot="1" x14ac:dyDescent="0.25">
      <c r="Y22" s="454"/>
    </row>
    <row r="23" spans="1:35" ht="16.5" customHeight="1" x14ac:dyDescent="0.25">
      <c r="A23" s="1097" t="s">
        <v>7</v>
      </c>
      <c r="B23" s="1098"/>
      <c r="C23" s="1098"/>
      <c r="D23" s="1098"/>
      <c r="E23" s="1098"/>
      <c r="F23" s="1098"/>
      <c r="G23" s="1098"/>
      <c r="H23" s="1098"/>
      <c r="I23" s="1098"/>
      <c r="J23" s="1098"/>
      <c r="K23" s="1098"/>
      <c r="L23" s="1098"/>
      <c r="M23" s="1098"/>
      <c r="N23" s="1098"/>
      <c r="O23" s="1098"/>
      <c r="P23" s="1098"/>
      <c r="Q23" s="1098"/>
      <c r="R23" s="1098"/>
      <c r="S23" s="1099"/>
      <c r="T23" s="1103" t="s">
        <v>6</v>
      </c>
      <c r="U23" s="1104"/>
      <c r="V23" s="1105"/>
      <c r="W23" s="428" t="s">
        <v>396</v>
      </c>
      <c r="X23" s="429"/>
      <c r="Y23" s="1109" t="s">
        <v>862</v>
      </c>
      <c r="Z23" s="430" t="s">
        <v>278</v>
      </c>
      <c r="AA23" s="1111" t="s">
        <v>657</v>
      </c>
      <c r="AB23" s="431"/>
      <c r="AC23" s="1113" t="s">
        <v>658</v>
      </c>
      <c r="AD23" s="1115" t="s">
        <v>659</v>
      </c>
      <c r="AE23" s="1117" t="s">
        <v>828</v>
      </c>
      <c r="AF23" s="1117" t="s">
        <v>660</v>
      </c>
      <c r="AG23" s="1117" t="s">
        <v>661</v>
      </c>
      <c r="AH23" s="1117" t="s">
        <v>662</v>
      </c>
    </row>
    <row r="24" spans="1:35" ht="33.75" customHeight="1" thickBot="1" x14ac:dyDescent="0.3">
      <c r="A24" s="1100"/>
      <c r="B24" s="1101"/>
      <c r="C24" s="1101"/>
      <c r="D24" s="1101"/>
      <c r="E24" s="1101"/>
      <c r="F24" s="1101"/>
      <c r="G24" s="1101"/>
      <c r="H24" s="1101"/>
      <c r="I24" s="1101"/>
      <c r="J24" s="1101"/>
      <c r="K24" s="1101"/>
      <c r="L24" s="1101"/>
      <c r="M24" s="1101"/>
      <c r="N24" s="1101"/>
      <c r="O24" s="1101"/>
      <c r="P24" s="1101"/>
      <c r="Q24" s="1101"/>
      <c r="R24" s="1101"/>
      <c r="S24" s="1102"/>
      <c r="T24" s="1106"/>
      <c r="U24" s="1107"/>
      <c r="V24" s="1108"/>
      <c r="W24" s="1119" t="s">
        <v>397</v>
      </c>
      <c r="X24" s="1120"/>
      <c r="Y24" s="1110"/>
      <c r="Z24" s="432" t="s">
        <v>663</v>
      </c>
      <c r="AA24" s="1112"/>
      <c r="AB24" s="433" t="s">
        <v>829</v>
      </c>
      <c r="AC24" s="1114"/>
      <c r="AD24" s="1116"/>
      <c r="AE24" s="1118"/>
      <c r="AF24" s="1118"/>
      <c r="AG24" s="1118"/>
      <c r="AH24" s="1118"/>
    </row>
    <row r="25" spans="1:35" ht="15.75" thickBot="1" x14ac:dyDescent="0.3">
      <c r="A25" s="1091" t="s">
        <v>664</v>
      </c>
      <c r="B25" s="1092"/>
      <c r="C25" s="1092"/>
      <c r="D25" s="1092"/>
      <c r="E25" s="1092"/>
      <c r="F25" s="1092"/>
      <c r="G25" s="1092"/>
      <c r="H25" s="1092"/>
      <c r="I25" s="1092"/>
      <c r="J25" s="1092"/>
      <c r="K25" s="1092"/>
      <c r="L25" s="1092"/>
      <c r="M25" s="1092"/>
      <c r="N25" s="1092"/>
      <c r="O25" s="1092"/>
      <c r="P25" s="1092"/>
      <c r="Q25" s="1092"/>
      <c r="R25" s="1092"/>
      <c r="S25" s="1093"/>
      <c r="T25" s="1084" t="s">
        <v>399</v>
      </c>
      <c r="U25" s="1085"/>
      <c r="V25" s="1086"/>
      <c r="W25" s="1089" t="s">
        <v>665</v>
      </c>
      <c r="X25" s="1090"/>
      <c r="Y25" s="434">
        <f>Z25+AA25+AB25+AC25+AD25+AF25+AG25+AH25+AE25</f>
        <v>32119295</v>
      </c>
      <c r="Z25" s="435"/>
      <c r="AA25" s="436">
        <v>17301400</v>
      </c>
      <c r="AB25" s="437">
        <v>5402135</v>
      </c>
      <c r="AC25" s="436">
        <v>4647216</v>
      </c>
      <c r="AD25" s="435">
        <v>3360600</v>
      </c>
      <c r="AE25" s="439">
        <v>0</v>
      </c>
      <c r="AF25" s="439">
        <v>1031549</v>
      </c>
      <c r="AG25" s="439"/>
      <c r="AH25" s="439">
        <v>376395</v>
      </c>
    </row>
    <row r="26" spans="1:35" ht="15" customHeight="1" x14ac:dyDescent="0.25">
      <c r="A26" s="1081" t="s">
        <v>666</v>
      </c>
      <c r="B26" s="1082"/>
      <c r="C26" s="1082"/>
      <c r="D26" s="1082"/>
      <c r="E26" s="1082"/>
      <c r="F26" s="1082"/>
      <c r="G26" s="1082"/>
      <c r="H26" s="1082"/>
      <c r="I26" s="1082"/>
      <c r="J26" s="1082"/>
      <c r="K26" s="1082"/>
      <c r="L26" s="1082"/>
      <c r="M26" s="1082"/>
      <c r="N26" s="1082"/>
      <c r="O26" s="1082"/>
      <c r="P26" s="1082"/>
      <c r="Q26" s="1082"/>
      <c r="R26" s="1082"/>
      <c r="S26" s="1083"/>
      <c r="T26" s="1084" t="s">
        <v>402</v>
      </c>
      <c r="U26" s="1085"/>
      <c r="V26" s="1086"/>
      <c r="W26" s="1089" t="s">
        <v>667</v>
      </c>
      <c r="X26" s="1090"/>
      <c r="Y26" s="434">
        <f t="shared" ref="Y26:Y37" si="4">Z26+AA26+AB26+AC26+AD26+AF26+AG26+AH26+AE26</f>
        <v>1100000</v>
      </c>
      <c r="Z26" s="438"/>
      <c r="AA26" s="440">
        <v>800000</v>
      </c>
      <c r="AB26" s="437">
        <v>100000</v>
      </c>
      <c r="AC26" s="435"/>
      <c r="AD26" s="435">
        <v>200000</v>
      </c>
      <c r="AE26" s="441"/>
      <c r="AF26" s="441"/>
      <c r="AG26" s="441">
        <v>0</v>
      </c>
      <c r="AH26" s="441"/>
    </row>
    <row r="27" spans="1:35" ht="15" customHeight="1" x14ac:dyDescent="0.25">
      <c r="A27" s="1081" t="s">
        <v>668</v>
      </c>
      <c r="B27" s="1082"/>
      <c r="C27" s="1082"/>
      <c r="D27" s="1082"/>
      <c r="E27" s="1082"/>
      <c r="F27" s="1082"/>
      <c r="G27" s="1082"/>
      <c r="H27" s="1082"/>
      <c r="I27" s="1082"/>
      <c r="J27" s="1082"/>
      <c r="K27" s="1082"/>
      <c r="L27" s="1082"/>
      <c r="M27" s="1082"/>
      <c r="N27" s="1082"/>
      <c r="O27" s="1082"/>
      <c r="P27" s="1082"/>
      <c r="Q27" s="1082"/>
      <c r="R27" s="1082"/>
      <c r="S27" s="1083"/>
      <c r="T27" s="1084" t="s">
        <v>406</v>
      </c>
      <c r="U27" s="1085"/>
      <c r="V27" s="1086"/>
      <c r="W27" s="1089" t="s">
        <v>669</v>
      </c>
      <c r="X27" s="1090"/>
      <c r="Y27" s="434">
        <f t="shared" si="4"/>
        <v>960000</v>
      </c>
      <c r="Z27" s="438">
        <v>0</v>
      </c>
      <c r="AA27" s="438">
        <v>672000</v>
      </c>
      <c r="AB27" s="437">
        <v>96000</v>
      </c>
      <c r="AC27" s="435"/>
      <c r="AD27" s="435">
        <v>192000</v>
      </c>
      <c r="AE27" s="441"/>
      <c r="AF27" s="441"/>
      <c r="AG27" s="441"/>
      <c r="AH27" s="441"/>
    </row>
    <row r="28" spans="1:35" ht="15" customHeight="1" x14ac:dyDescent="0.25">
      <c r="A28" s="1081" t="s">
        <v>670</v>
      </c>
      <c r="B28" s="1082"/>
      <c r="C28" s="1082"/>
      <c r="D28" s="1082"/>
      <c r="E28" s="1082"/>
      <c r="F28" s="1082"/>
      <c r="G28" s="1082"/>
      <c r="H28" s="1082"/>
      <c r="I28" s="1082"/>
      <c r="J28" s="1082"/>
      <c r="K28" s="1082"/>
      <c r="L28" s="1082"/>
      <c r="M28" s="1082"/>
      <c r="N28" s="1082"/>
      <c r="O28" s="1082"/>
      <c r="P28" s="1082"/>
      <c r="Q28" s="1082"/>
      <c r="R28" s="1082"/>
      <c r="S28" s="1083"/>
      <c r="T28" s="1084" t="s">
        <v>410</v>
      </c>
      <c r="U28" s="1085"/>
      <c r="V28" s="1086"/>
      <c r="W28" s="1089" t="s">
        <v>671</v>
      </c>
      <c r="X28" s="1090"/>
      <c r="Y28" s="434">
        <f t="shared" si="4"/>
        <v>312000</v>
      </c>
      <c r="Z28" s="438">
        <v>0</v>
      </c>
      <c r="AA28" s="438">
        <v>312000</v>
      </c>
      <c r="AB28" s="437"/>
      <c r="AC28" s="435"/>
      <c r="AD28" s="435"/>
      <c r="AE28" s="441"/>
      <c r="AF28" s="441"/>
      <c r="AG28" s="441">
        <v>0</v>
      </c>
      <c r="AH28" s="441"/>
    </row>
    <row r="29" spans="1:35" ht="15" customHeight="1" x14ac:dyDescent="0.25">
      <c r="A29" s="1081" t="s">
        <v>672</v>
      </c>
      <c r="B29" s="1082"/>
      <c r="C29" s="1082"/>
      <c r="D29" s="1082"/>
      <c r="E29" s="1082"/>
      <c r="F29" s="1082"/>
      <c r="G29" s="1082"/>
      <c r="H29" s="1082"/>
      <c r="I29" s="1082"/>
      <c r="J29" s="1082"/>
      <c r="K29" s="1082"/>
      <c r="L29" s="1082"/>
      <c r="M29" s="1082"/>
      <c r="N29" s="1082"/>
      <c r="O29" s="1082"/>
      <c r="P29" s="1082"/>
      <c r="Q29" s="1082"/>
      <c r="R29" s="1082"/>
      <c r="S29" s="551"/>
      <c r="T29" s="1084" t="s">
        <v>413</v>
      </c>
      <c r="U29" s="1085"/>
      <c r="V29" s="1086"/>
      <c r="W29" s="1089" t="s">
        <v>673</v>
      </c>
      <c r="X29" s="1090"/>
      <c r="Y29" s="434">
        <f t="shared" si="4"/>
        <v>400000</v>
      </c>
      <c r="Z29" s="438">
        <v>0</v>
      </c>
      <c r="AA29" s="438">
        <v>160000</v>
      </c>
      <c r="AB29" s="437">
        <v>30000</v>
      </c>
      <c r="AC29" s="435">
        <v>140000</v>
      </c>
      <c r="AD29" s="435">
        <v>70000</v>
      </c>
      <c r="AE29" s="441">
        <v>0</v>
      </c>
      <c r="AF29" s="441"/>
      <c r="AG29" s="441"/>
      <c r="AH29" s="441"/>
    </row>
    <row r="30" spans="1:35" ht="15" customHeight="1" x14ac:dyDescent="0.25">
      <c r="A30" s="1081" t="s">
        <v>674</v>
      </c>
      <c r="B30" s="1082"/>
      <c r="C30" s="1082"/>
      <c r="D30" s="1082"/>
      <c r="E30" s="1082"/>
      <c r="F30" s="1082"/>
      <c r="G30" s="1082"/>
      <c r="H30" s="1082"/>
      <c r="I30" s="1082"/>
      <c r="J30" s="1082"/>
      <c r="K30" s="1082"/>
      <c r="L30" s="1082"/>
      <c r="M30" s="1082"/>
      <c r="N30" s="1082"/>
      <c r="O30" s="1082"/>
      <c r="P30" s="1082"/>
      <c r="Q30" s="1082"/>
      <c r="R30" s="1082"/>
      <c r="S30" s="1083"/>
      <c r="T30" s="1084" t="s">
        <v>416</v>
      </c>
      <c r="U30" s="1085"/>
      <c r="V30" s="1086"/>
      <c r="W30" s="1089" t="s">
        <v>675</v>
      </c>
      <c r="X30" s="1090"/>
      <c r="Y30" s="434">
        <f t="shared" si="4"/>
        <v>11082964</v>
      </c>
      <c r="Z30" s="438">
        <v>11082964</v>
      </c>
      <c r="AA30" s="438"/>
      <c r="AB30" s="437"/>
      <c r="AC30" s="435"/>
      <c r="AD30" s="435"/>
      <c r="AE30" s="441"/>
      <c r="AF30" s="441"/>
      <c r="AG30" s="441"/>
      <c r="AH30" s="441"/>
    </row>
    <row r="31" spans="1:35" ht="15" customHeight="1" x14ac:dyDescent="0.25">
      <c r="A31" s="1081" t="s">
        <v>676</v>
      </c>
      <c r="B31" s="1082"/>
      <c r="C31" s="1082"/>
      <c r="D31" s="1082"/>
      <c r="E31" s="1082"/>
      <c r="F31" s="1082"/>
      <c r="G31" s="1082"/>
      <c r="H31" s="1082"/>
      <c r="I31" s="1082"/>
      <c r="J31" s="1082"/>
      <c r="K31" s="1082"/>
      <c r="L31" s="1082"/>
      <c r="M31" s="1082"/>
      <c r="N31" s="1082"/>
      <c r="O31" s="1082"/>
      <c r="P31" s="1082"/>
      <c r="Q31" s="1082"/>
      <c r="R31" s="1082"/>
      <c r="S31" s="1083"/>
      <c r="T31" s="1084" t="s">
        <v>419</v>
      </c>
      <c r="U31" s="1085"/>
      <c r="V31" s="1086"/>
      <c r="W31" s="1089" t="s">
        <v>677</v>
      </c>
      <c r="X31" s="1090"/>
      <c r="Y31" s="434">
        <f t="shared" si="4"/>
        <v>860000</v>
      </c>
      <c r="Z31" s="438"/>
      <c r="AA31" s="438"/>
      <c r="AB31" s="437"/>
      <c r="AC31" s="435"/>
      <c r="AD31" s="435"/>
      <c r="AE31" s="441">
        <v>0</v>
      </c>
      <c r="AF31" s="441">
        <f>660000+100000+100000</f>
        <v>860000</v>
      </c>
      <c r="AG31" s="441">
        <v>0</v>
      </c>
      <c r="AH31" s="441">
        <v>0</v>
      </c>
    </row>
    <row r="32" spans="1:35" ht="15" customHeight="1" x14ac:dyDescent="0.25">
      <c r="A32" s="1081" t="s">
        <v>678</v>
      </c>
      <c r="B32" s="1082"/>
      <c r="C32" s="1082"/>
      <c r="D32" s="1082"/>
      <c r="E32" s="1082"/>
      <c r="F32" s="1082"/>
      <c r="G32" s="1082"/>
      <c r="H32" s="1082"/>
      <c r="I32" s="1082"/>
      <c r="J32" s="1082"/>
      <c r="K32" s="1082"/>
      <c r="L32" s="1082"/>
      <c r="M32" s="1082"/>
      <c r="N32" s="1082"/>
      <c r="O32" s="1082"/>
      <c r="P32" s="1082"/>
      <c r="Q32" s="1082"/>
      <c r="R32" s="1082"/>
      <c r="S32" s="1083"/>
      <c r="T32" s="1084" t="s">
        <v>421</v>
      </c>
      <c r="U32" s="1085"/>
      <c r="V32" s="1086"/>
      <c r="W32" s="1089" t="s">
        <v>679</v>
      </c>
      <c r="X32" s="1090"/>
      <c r="Y32" s="434">
        <f t="shared" si="4"/>
        <v>646200</v>
      </c>
      <c r="Z32" s="438">
        <v>421200</v>
      </c>
      <c r="AA32" s="438"/>
      <c r="AB32" s="437">
        <v>0</v>
      </c>
      <c r="AC32" s="435"/>
      <c r="AD32" s="435"/>
      <c r="AE32" s="441">
        <f>25000*9</f>
        <v>225000</v>
      </c>
      <c r="AF32" s="441"/>
      <c r="AG32" s="441">
        <v>0</v>
      </c>
      <c r="AH32" s="441"/>
    </row>
    <row r="33" spans="1:34" ht="15.75" customHeight="1" x14ac:dyDescent="0.25">
      <c r="A33" s="1073" t="s">
        <v>680</v>
      </c>
      <c r="B33" s="1074"/>
      <c r="C33" s="1074"/>
      <c r="D33" s="1074"/>
      <c r="E33" s="1074"/>
      <c r="F33" s="1074"/>
      <c r="G33" s="1074"/>
      <c r="H33" s="1074"/>
      <c r="I33" s="1074"/>
      <c r="J33" s="1074"/>
      <c r="K33" s="1074"/>
      <c r="L33" s="1074"/>
      <c r="M33" s="1074"/>
      <c r="N33" s="1074"/>
      <c r="O33" s="1074"/>
      <c r="P33" s="1074"/>
      <c r="Q33" s="1074"/>
      <c r="R33" s="1074"/>
      <c r="S33" s="1075"/>
      <c r="T33" s="1076" t="s">
        <v>424</v>
      </c>
      <c r="U33" s="1077"/>
      <c r="V33" s="1078"/>
      <c r="W33" s="1079"/>
      <c r="X33" s="1080"/>
      <c r="Y33" s="442">
        <f t="shared" si="4"/>
        <v>47480459</v>
      </c>
      <c r="Z33" s="443">
        <f>Z25+Z26+Z27+Z28+Z29+Z30+Z31+Z32</f>
        <v>11504164</v>
      </c>
      <c r="AA33" s="443">
        <f>AA25+AA26+AA27+AA28+AA29+AA30+AA31+AA32</f>
        <v>19245400</v>
      </c>
      <c r="AB33" s="443">
        <f t="shared" ref="AB33:AH33" si="5">AB25+AB26+AB27+AB28+AB29+AB30+AB31+AB32</f>
        <v>5628135</v>
      </c>
      <c r="AC33" s="443">
        <f t="shared" si="5"/>
        <v>4787216</v>
      </c>
      <c r="AD33" s="443">
        <f t="shared" si="5"/>
        <v>3822600</v>
      </c>
      <c r="AE33" s="443">
        <f t="shared" si="5"/>
        <v>225000</v>
      </c>
      <c r="AF33" s="443">
        <f t="shared" si="5"/>
        <v>1891549</v>
      </c>
      <c r="AG33" s="443">
        <v>0</v>
      </c>
      <c r="AH33" s="444">
        <f t="shared" si="5"/>
        <v>376395</v>
      </c>
    </row>
    <row r="34" spans="1:34" ht="15.75" customHeight="1" x14ac:dyDescent="0.25">
      <c r="A34" s="1081" t="s">
        <v>681</v>
      </c>
      <c r="B34" s="1082"/>
      <c r="C34" s="1082"/>
      <c r="D34" s="1082"/>
      <c r="E34" s="1082"/>
      <c r="F34" s="1082"/>
      <c r="G34" s="1082"/>
      <c r="H34" s="1082"/>
      <c r="I34" s="1082"/>
      <c r="J34" s="1082"/>
      <c r="K34" s="1082"/>
      <c r="L34" s="1082"/>
      <c r="M34" s="1082"/>
      <c r="N34" s="1082"/>
      <c r="O34" s="1082"/>
      <c r="P34" s="1082"/>
      <c r="Q34" s="1082"/>
      <c r="R34" s="1082"/>
      <c r="S34" s="1083"/>
      <c r="T34" s="1084" t="s">
        <v>428</v>
      </c>
      <c r="U34" s="1085"/>
      <c r="V34" s="1086"/>
      <c r="W34" s="1087" t="s">
        <v>682</v>
      </c>
      <c r="X34" s="1088"/>
      <c r="Y34" s="434">
        <f t="shared" si="4"/>
        <v>7890198.5250000004</v>
      </c>
      <c r="Z34" s="438">
        <f>11504164*17.5%</f>
        <v>2013228.7</v>
      </c>
      <c r="AA34" s="438">
        <f>AA33*17.5%</f>
        <v>3367945</v>
      </c>
      <c r="AB34" s="438">
        <f>AB33*17.5%</f>
        <v>984923.62499999988</v>
      </c>
      <c r="AC34" s="438">
        <v>418881</v>
      </c>
      <c r="AD34" s="435">
        <v>668955</v>
      </c>
      <c r="AE34" s="443">
        <f>AE33*17.5%</f>
        <v>39375</v>
      </c>
      <c r="AF34" s="441">
        <f>AF33*17.5%</f>
        <v>331021.07499999995</v>
      </c>
      <c r="AG34" s="441">
        <v>0</v>
      </c>
      <c r="AH34" s="441">
        <f>AH33*17.5%</f>
        <v>65869.125</v>
      </c>
    </row>
    <row r="35" spans="1:34" ht="15.75" customHeight="1" thickBot="1" x14ac:dyDescent="0.3">
      <c r="A35" s="1062" t="s">
        <v>683</v>
      </c>
      <c r="B35" s="1063"/>
      <c r="C35" s="1063"/>
      <c r="D35" s="1063"/>
      <c r="E35" s="1063"/>
      <c r="F35" s="1063"/>
      <c r="G35" s="1063"/>
      <c r="H35" s="1063"/>
      <c r="I35" s="1063"/>
      <c r="J35" s="1063"/>
      <c r="K35" s="1063"/>
      <c r="L35" s="1063"/>
      <c r="M35" s="1063"/>
      <c r="N35" s="1063"/>
      <c r="O35" s="1063"/>
      <c r="P35" s="1063"/>
      <c r="Q35" s="1063"/>
      <c r="R35" s="1063"/>
      <c r="S35" s="1064"/>
      <c r="T35" s="1065" t="s">
        <v>431</v>
      </c>
      <c r="U35" s="1066"/>
      <c r="V35" s="1067"/>
      <c r="W35" s="1068" t="s">
        <v>682</v>
      </c>
      <c r="X35" s="1069"/>
      <c r="Y35" s="434">
        <f t="shared" si="4"/>
        <v>474334</v>
      </c>
      <c r="Z35" s="445">
        <v>330334</v>
      </c>
      <c r="AA35" s="445">
        <v>100800</v>
      </c>
      <c r="AB35" s="445">
        <v>14400</v>
      </c>
      <c r="AC35" s="446"/>
      <c r="AD35" s="446">
        <v>28800</v>
      </c>
      <c r="AE35" s="447"/>
      <c r="AF35" s="447"/>
      <c r="AG35" s="447"/>
      <c r="AH35" s="447"/>
    </row>
    <row r="36" spans="1:34" ht="16.5" customHeight="1" thickBot="1" x14ac:dyDescent="0.3">
      <c r="A36" s="1070" t="s">
        <v>684</v>
      </c>
      <c r="B36" s="1071"/>
      <c r="C36" s="1071"/>
      <c r="D36" s="1071"/>
      <c r="E36" s="1071"/>
      <c r="F36" s="1071"/>
      <c r="G36" s="1071"/>
      <c r="H36" s="1071"/>
      <c r="I36" s="1071"/>
      <c r="J36" s="1071"/>
      <c r="K36" s="1071"/>
      <c r="L36" s="1071"/>
      <c r="M36" s="1071"/>
      <c r="N36" s="1071"/>
      <c r="O36" s="1071"/>
      <c r="P36" s="1071"/>
      <c r="Q36" s="1071"/>
      <c r="R36" s="1071"/>
      <c r="S36" s="1072"/>
      <c r="T36" s="1057" t="s">
        <v>434</v>
      </c>
      <c r="U36" s="1058"/>
      <c r="V36" s="1059"/>
      <c r="W36" s="1060"/>
      <c r="X36" s="1061"/>
      <c r="Y36" s="442">
        <f t="shared" si="4"/>
        <v>8364532.5250000004</v>
      </c>
      <c r="Z36" s="448">
        <f>Z34+Z35</f>
        <v>2343562.7000000002</v>
      </c>
      <c r="AA36" s="449">
        <f>AA34+AA35</f>
        <v>3468745</v>
      </c>
      <c r="AB36" s="449">
        <f t="shared" ref="AB36:AH36" si="6">AB34+AB35</f>
        <v>999323.62499999988</v>
      </c>
      <c r="AC36" s="449">
        <f t="shared" si="6"/>
        <v>418881</v>
      </c>
      <c r="AD36" s="449">
        <f t="shared" si="6"/>
        <v>697755</v>
      </c>
      <c r="AE36" s="449">
        <f t="shared" si="6"/>
        <v>39375</v>
      </c>
      <c r="AF36" s="449">
        <f t="shared" si="6"/>
        <v>331021.07499999995</v>
      </c>
      <c r="AG36" s="449">
        <f t="shared" si="6"/>
        <v>0</v>
      </c>
      <c r="AH36" s="450">
        <f t="shared" si="6"/>
        <v>65869.125</v>
      </c>
    </row>
    <row r="37" spans="1:34" ht="16.5" customHeight="1" thickBot="1" x14ac:dyDescent="0.3">
      <c r="A37" s="1054" t="s">
        <v>685</v>
      </c>
      <c r="B37" s="1055"/>
      <c r="C37" s="1055"/>
      <c r="D37" s="1055"/>
      <c r="E37" s="1055"/>
      <c r="F37" s="1055"/>
      <c r="G37" s="1055"/>
      <c r="H37" s="1055"/>
      <c r="I37" s="1055"/>
      <c r="J37" s="1055"/>
      <c r="K37" s="1055"/>
      <c r="L37" s="1055"/>
      <c r="M37" s="1055"/>
      <c r="N37" s="1055"/>
      <c r="O37" s="1055"/>
      <c r="P37" s="1055"/>
      <c r="Q37" s="1055"/>
      <c r="R37" s="1055"/>
      <c r="S37" s="1056"/>
      <c r="T37" s="1057" t="s">
        <v>437</v>
      </c>
      <c r="U37" s="1058"/>
      <c r="V37" s="1059"/>
      <c r="W37" s="1060"/>
      <c r="X37" s="1061"/>
      <c r="Y37" s="442">
        <f t="shared" si="4"/>
        <v>55844991.525000006</v>
      </c>
      <c r="Z37" s="451">
        <f>Z33+Z36</f>
        <v>13847726.699999999</v>
      </c>
      <c r="AA37" s="451">
        <f>AA36+AA33</f>
        <v>22714145</v>
      </c>
      <c r="AB37" s="451">
        <f t="shared" ref="AB37:AH37" si="7">AB36+AB33</f>
        <v>6627458.625</v>
      </c>
      <c r="AC37" s="451">
        <f t="shared" si="7"/>
        <v>5206097</v>
      </c>
      <c r="AD37" s="451">
        <f t="shared" si="7"/>
        <v>4520355</v>
      </c>
      <c r="AE37" s="451">
        <f t="shared" si="7"/>
        <v>264375</v>
      </c>
      <c r="AF37" s="451">
        <f t="shared" si="7"/>
        <v>2222570.0750000002</v>
      </c>
      <c r="AG37" s="451">
        <f t="shared" si="7"/>
        <v>0</v>
      </c>
      <c r="AH37" s="452">
        <f t="shared" si="7"/>
        <v>442264.125</v>
      </c>
    </row>
  </sheetData>
  <mergeCells count="106">
    <mergeCell ref="AG4:AH4"/>
    <mergeCell ref="T19:V19"/>
    <mergeCell ref="W19:X19"/>
    <mergeCell ref="T17:V17"/>
    <mergeCell ref="W17:X17"/>
    <mergeCell ref="AD5:AD6"/>
    <mergeCell ref="AE5:AE6"/>
    <mergeCell ref="AF5:AF6"/>
    <mergeCell ref="AG5:AG6"/>
    <mergeCell ref="AH5:AH6"/>
    <mergeCell ref="T13:V13"/>
    <mergeCell ref="W13:X13"/>
    <mergeCell ref="A14:S14"/>
    <mergeCell ref="T14:V14"/>
    <mergeCell ref="W14:X14"/>
    <mergeCell ref="A18:S18"/>
    <mergeCell ref="T18:V18"/>
    <mergeCell ref="W18:X18"/>
    <mergeCell ref="A19:S19"/>
    <mergeCell ref="A15:S15"/>
    <mergeCell ref="T15:V15"/>
    <mergeCell ref="W15:X15"/>
    <mergeCell ref="A16:S16"/>
    <mergeCell ref="T16:V16"/>
    <mergeCell ref="W16:X16"/>
    <mergeCell ref="A1:AB1"/>
    <mergeCell ref="A2:AC2"/>
    <mergeCell ref="A3:AC3"/>
    <mergeCell ref="A5:S6"/>
    <mergeCell ref="A17:S17"/>
    <mergeCell ref="T5:V6"/>
    <mergeCell ref="Y5:Y6"/>
    <mergeCell ref="AA5:AA6"/>
    <mergeCell ref="AC5:AC6"/>
    <mergeCell ref="W6:X6"/>
    <mergeCell ref="A7:S7"/>
    <mergeCell ref="T7:V7"/>
    <mergeCell ref="W7:X7"/>
    <mergeCell ref="A8:S8"/>
    <mergeCell ref="T8:V8"/>
    <mergeCell ref="W8:X8"/>
    <mergeCell ref="A9:S9"/>
    <mergeCell ref="T9:V9"/>
    <mergeCell ref="W9:X9"/>
    <mergeCell ref="A10:S10"/>
    <mergeCell ref="T10:V10"/>
    <mergeCell ref="W10:X10"/>
    <mergeCell ref="A11:R11"/>
    <mergeCell ref="T11:V11"/>
    <mergeCell ref="A25:S25"/>
    <mergeCell ref="T25:V25"/>
    <mergeCell ref="W25:X25"/>
    <mergeCell ref="A26:S26"/>
    <mergeCell ref="T26:V26"/>
    <mergeCell ref="W26:X26"/>
    <mergeCell ref="AI5:AI6"/>
    <mergeCell ref="Y21:AA21"/>
    <mergeCell ref="A23:S24"/>
    <mergeCell ref="T23:V24"/>
    <mergeCell ref="Y23:Y24"/>
    <mergeCell ref="AA23:AA24"/>
    <mergeCell ref="AC23:AC24"/>
    <mergeCell ref="AD23:AD24"/>
    <mergeCell ref="AE23:AE24"/>
    <mergeCell ref="AF23:AF24"/>
    <mergeCell ref="AG23:AG24"/>
    <mergeCell ref="AH23:AH24"/>
    <mergeCell ref="W24:X24"/>
    <mergeCell ref="W11:X11"/>
    <mergeCell ref="A12:S12"/>
    <mergeCell ref="T12:V12"/>
    <mergeCell ref="W12:X12"/>
    <mergeCell ref="A13:S13"/>
    <mergeCell ref="A29:R29"/>
    <mergeCell ref="T29:V29"/>
    <mergeCell ref="W29:X29"/>
    <mergeCell ref="A30:S30"/>
    <mergeCell ref="T30:V30"/>
    <mergeCell ref="W30:X30"/>
    <mergeCell ref="A27:S27"/>
    <mergeCell ref="T27:V27"/>
    <mergeCell ref="W27:X27"/>
    <mergeCell ref="A28:S28"/>
    <mergeCell ref="T28:V28"/>
    <mergeCell ref="W28:X28"/>
    <mergeCell ref="A33:S33"/>
    <mergeCell ref="T33:V33"/>
    <mergeCell ref="W33:X33"/>
    <mergeCell ref="A34:S34"/>
    <mergeCell ref="T34:V34"/>
    <mergeCell ref="W34:X34"/>
    <mergeCell ref="A31:S31"/>
    <mergeCell ref="T31:V31"/>
    <mergeCell ref="W31:X31"/>
    <mergeCell ref="A32:S32"/>
    <mergeCell ref="T32:V32"/>
    <mergeCell ref="W32:X32"/>
    <mergeCell ref="A37:S37"/>
    <mergeCell ref="T37:V37"/>
    <mergeCell ref="W37:X37"/>
    <mergeCell ref="A35:S35"/>
    <mergeCell ref="T35:V35"/>
    <mergeCell ref="W35:X35"/>
    <mergeCell ref="A36:S36"/>
    <mergeCell ref="T36:V36"/>
    <mergeCell ref="W36:X36"/>
  </mergeCells>
  <pageMargins left="0.25" right="0.25" top="0.75" bottom="0.75" header="0.3" footer="0.3"/>
  <pageSetup paperSize="9" scale="50" orientation="landscape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7030A0"/>
  </sheetPr>
  <dimension ref="A2:K71"/>
  <sheetViews>
    <sheetView topLeftCell="A55" workbookViewId="0">
      <selection activeCell="K12" sqref="K12"/>
    </sheetView>
  </sheetViews>
  <sheetFormatPr defaultRowHeight="15" x14ac:dyDescent="0.25"/>
  <cols>
    <col min="1" max="1" width="50.42578125" bestFit="1" customWidth="1"/>
    <col min="2" max="2" width="24.5703125" style="553" bestFit="1" customWidth="1"/>
    <col min="3" max="3" width="15.7109375" style="553" bestFit="1" customWidth="1"/>
    <col min="4" max="4" width="17.28515625" style="553" bestFit="1" customWidth="1"/>
    <col min="6" max="6" width="2.28515625" customWidth="1"/>
    <col min="7" max="7" width="8.7109375" customWidth="1"/>
    <col min="8" max="8" width="3" customWidth="1"/>
    <col min="9" max="9" width="3.5703125" customWidth="1"/>
    <col min="10" max="10" width="19" style="306" bestFit="1" customWidth="1"/>
    <col min="11" max="11" width="15.140625" bestFit="1" customWidth="1"/>
    <col min="12" max="12" width="15.28515625" bestFit="1" customWidth="1"/>
    <col min="256" max="256" width="50.42578125" bestFit="1" customWidth="1"/>
    <col min="257" max="257" width="24.5703125" bestFit="1" customWidth="1"/>
    <col min="258" max="258" width="15.7109375" bestFit="1" customWidth="1"/>
    <col min="259" max="259" width="17.28515625" bestFit="1" customWidth="1"/>
    <col min="261" max="261" width="2.28515625" customWidth="1"/>
    <col min="262" max="262" width="8.7109375" customWidth="1"/>
    <col min="263" max="263" width="3" customWidth="1"/>
    <col min="264" max="264" width="3.5703125" customWidth="1"/>
    <col min="265" max="265" width="19" bestFit="1" customWidth="1"/>
    <col min="266" max="266" width="17" customWidth="1"/>
    <col min="267" max="267" width="15.140625" bestFit="1" customWidth="1"/>
    <col min="268" max="268" width="15.28515625" bestFit="1" customWidth="1"/>
    <col min="512" max="512" width="50.42578125" bestFit="1" customWidth="1"/>
    <col min="513" max="513" width="24.5703125" bestFit="1" customWidth="1"/>
    <col min="514" max="514" width="15.7109375" bestFit="1" customWidth="1"/>
    <col min="515" max="515" width="17.28515625" bestFit="1" customWidth="1"/>
    <col min="517" max="517" width="2.28515625" customWidth="1"/>
    <col min="518" max="518" width="8.7109375" customWidth="1"/>
    <col min="519" max="519" width="3" customWidth="1"/>
    <col min="520" max="520" width="3.5703125" customWidth="1"/>
    <col min="521" max="521" width="19" bestFit="1" customWidth="1"/>
    <col min="522" max="522" width="17" customWidth="1"/>
    <col min="523" max="523" width="15.140625" bestFit="1" customWidth="1"/>
    <col min="524" max="524" width="15.28515625" bestFit="1" customWidth="1"/>
    <col min="768" max="768" width="50.42578125" bestFit="1" customWidth="1"/>
    <col min="769" max="769" width="24.5703125" bestFit="1" customWidth="1"/>
    <col min="770" max="770" width="15.7109375" bestFit="1" customWidth="1"/>
    <col min="771" max="771" width="17.28515625" bestFit="1" customWidth="1"/>
    <col min="773" max="773" width="2.28515625" customWidth="1"/>
    <col min="774" max="774" width="8.7109375" customWidth="1"/>
    <col min="775" max="775" width="3" customWidth="1"/>
    <col min="776" max="776" width="3.5703125" customWidth="1"/>
    <col min="777" max="777" width="19" bestFit="1" customWidth="1"/>
    <col min="778" max="778" width="17" customWidth="1"/>
    <col min="779" max="779" width="15.140625" bestFit="1" customWidth="1"/>
    <col min="780" max="780" width="15.28515625" bestFit="1" customWidth="1"/>
    <col min="1024" max="1024" width="50.42578125" bestFit="1" customWidth="1"/>
    <col min="1025" max="1025" width="24.5703125" bestFit="1" customWidth="1"/>
    <col min="1026" max="1026" width="15.7109375" bestFit="1" customWidth="1"/>
    <col min="1027" max="1027" width="17.28515625" bestFit="1" customWidth="1"/>
    <col min="1029" max="1029" width="2.28515625" customWidth="1"/>
    <col min="1030" max="1030" width="8.7109375" customWidth="1"/>
    <col min="1031" max="1031" width="3" customWidth="1"/>
    <col min="1032" max="1032" width="3.5703125" customWidth="1"/>
    <col min="1033" max="1033" width="19" bestFit="1" customWidth="1"/>
    <col min="1034" max="1034" width="17" customWidth="1"/>
    <col min="1035" max="1035" width="15.140625" bestFit="1" customWidth="1"/>
    <col min="1036" max="1036" width="15.28515625" bestFit="1" customWidth="1"/>
    <col min="1280" max="1280" width="50.42578125" bestFit="1" customWidth="1"/>
    <col min="1281" max="1281" width="24.5703125" bestFit="1" customWidth="1"/>
    <col min="1282" max="1282" width="15.7109375" bestFit="1" customWidth="1"/>
    <col min="1283" max="1283" width="17.28515625" bestFit="1" customWidth="1"/>
    <col min="1285" max="1285" width="2.28515625" customWidth="1"/>
    <col min="1286" max="1286" width="8.7109375" customWidth="1"/>
    <col min="1287" max="1287" width="3" customWidth="1"/>
    <col min="1288" max="1288" width="3.5703125" customWidth="1"/>
    <col min="1289" max="1289" width="19" bestFit="1" customWidth="1"/>
    <col min="1290" max="1290" width="17" customWidth="1"/>
    <col min="1291" max="1291" width="15.140625" bestFit="1" customWidth="1"/>
    <col min="1292" max="1292" width="15.28515625" bestFit="1" customWidth="1"/>
    <col min="1536" max="1536" width="50.42578125" bestFit="1" customWidth="1"/>
    <col min="1537" max="1537" width="24.5703125" bestFit="1" customWidth="1"/>
    <col min="1538" max="1538" width="15.7109375" bestFit="1" customWidth="1"/>
    <col min="1539" max="1539" width="17.28515625" bestFit="1" customWidth="1"/>
    <col min="1541" max="1541" width="2.28515625" customWidth="1"/>
    <col min="1542" max="1542" width="8.7109375" customWidth="1"/>
    <col min="1543" max="1543" width="3" customWidth="1"/>
    <col min="1544" max="1544" width="3.5703125" customWidth="1"/>
    <col min="1545" max="1545" width="19" bestFit="1" customWidth="1"/>
    <col min="1546" max="1546" width="17" customWidth="1"/>
    <col min="1547" max="1547" width="15.140625" bestFit="1" customWidth="1"/>
    <col min="1548" max="1548" width="15.28515625" bestFit="1" customWidth="1"/>
    <col min="1792" max="1792" width="50.42578125" bestFit="1" customWidth="1"/>
    <col min="1793" max="1793" width="24.5703125" bestFit="1" customWidth="1"/>
    <col min="1794" max="1794" width="15.7109375" bestFit="1" customWidth="1"/>
    <col min="1795" max="1795" width="17.28515625" bestFit="1" customWidth="1"/>
    <col min="1797" max="1797" width="2.28515625" customWidth="1"/>
    <col min="1798" max="1798" width="8.7109375" customWidth="1"/>
    <col min="1799" max="1799" width="3" customWidth="1"/>
    <col min="1800" max="1800" width="3.5703125" customWidth="1"/>
    <col min="1801" max="1801" width="19" bestFit="1" customWidth="1"/>
    <col min="1802" max="1802" width="17" customWidth="1"/>
    <col min="1803" max="1803" width="15.140625" bestFit="1" customWidth="1"/>
    <col min="1804" max="1804" width="15.28515625" bestFit="1" customWidth="1"/>
    <col min="2048" max="2048" width="50.42578125" bestFit="1" customWidth="1"/>
    <col min="2049" max="2049" width="24.5703125" bestFit="1" customWidth="1"/>
    <col min="2050" max="2050" width="15.7109375" bestFit="1" customWidth="1"/>
    <col min="2051" max="2051" width="17.28515625" bestFit="1" customWidth="1"/>
    <col min="2053" max="2053" width="2.28515625" customWidth="1"/>
    <col min="2054" max="2054" width="8.7109375" customWidth="1"/>
    <col min="2055" max="2055" width="3" customWidth="1"/>
    <col min="2056" max="2056" width="3.5703125" customWidth="1"/>
    <col min="2057" max="2057" width="19" bestFit="1" customWidth="1"/>
    <col min="2058" max="2058" width="17" customWidth="1"/>
    <col min="2059" max="2059" width="15.140625" bestFit="1" customWidth="1"/>
    <col min="2060" max="2060" width="15.28515625" bestFit="1" customWidth="1"/>
    <col min="2304" max="2304" width="50.42578125" bestFit="1" customWidth="1"/>
    <col min="2305" max="2305" width="24.5703125" bestFit="1" customWidth="1"/>
    <col min="2306" max="2306" width="15.7109375" bestFit="1" customWidth="1"/>
    <col min="2307" max="2307" width="17.28515625" bestFit="1" customWidth="1"/>
    <col min="2309" max="2309" width="2.28515625" customWidth="1"/>
    <col min="2310" max="2310" width="8.7109375" customWidth="1"/>
    <col min="2311" max="2311" width="3" customWidth="1"/>
    <col min="2312" max="2312" width="3.5703125" customWidth="1"/>
    <col min="2313" max="2313" width="19" bestFit="1" customWidth="1"/>
    <col min="2314" max="2314" width="17" customWidth="1"/>
    <col min="2315" max="2315" width="15.140625" bestFit="1" customWidth="1"/>
    <col min="2316" max="2316" width="15.28515625" bestFit="1" customWidth="1"/>
    <col min="2560" max="2560" width="50.42578125" bestFit="1" customWidth="1"/>
    <col min="2561" max="2561" width="24.5703125" bestFit="1" customWidth="1"/>
    <col min="2562" max="2562" width="15.7109375" bestFit="1" customWidth="1"/>
    <col min="2563" max="2563" width="17.28515625" bestFit="1" customWidth="1"/>
    <col min="2565" max="2565" width="2.28515625" customWidth="1"/>
    <col min="2566" max="2566" width="8.7109375" customWidth="1"/>
    <col min="2567" max="2567" width="3" customWidth="1"/>
    <col min="2568" max="2568" width="3.5703125" customWidth="1"/>
    <col min="2569" max="2569" width="19" bestFit="1" customWidth="1"/>
    <col min="2570" max="2570" width="17" customWidth="1"/>
    <col min="2571" max="2571" width="15.140625" bestFit="1" customWidth="1"/>
    <col min="2572" max="2572" width="15.28515625" bestFit="1" customWidth="1"/>
    <col min="2816" max="2816" width="50.42578125" bestFit="1" customWidth="1"/>
    <col min="2817" max="2817" width="24.5703125" bestFit="1" customWidth="1"/>
    <col min="2818" max="2818" width="15.7109375" bestFit="1" customWidth="1"/>
    <col min="2819" max="2819" width="17.28515625" bestFit="1" customWidth="1"/>
    <col min="2821" max="2821" width="2.28515625" customWidth="1"/>
    <col min="2822" max="2822" width="8.7109375" customWidth="1"/>
    <col min="2823" max="2823" width="3" customWidth="1"/>
    <col min="2824" max="2824" width="3.5703125" customWidth="1"/>
    <col min="2825" max="2825" width="19" bestFit="1" customWidth="1"/>
    <col min="2826" max="2826" width="17" customWidth="1"/>
    <col min="2827" max="2827" width="15.140625" bestFit="1" customWidth="1"/>
    <col min="2828" max="2828" width="15.28515625" bestFit="1" customWidth="1"/>
    <col min="3072" max="3072" width="50.42578125" bestFit="1" customWidth="1"/>
    <col min="3073" max="3073" width="24.5703125" bestFit="1" customWidth="1"/>
    <col min="3074" max="3074" width="15.7109375" bestFit="1" customWidth="1"/>
    <col min="3075" max="3075" width="17.28515625" bestFit="1" customWidth="1"/>
    <col min="3077" max="3077" width="2.28515625" customWidth="1"/>
    <col min="3078" max="3078" width="8.7109375" customWidth="1"/>
    <col min="3079" max="3079" width="3" customWidth="1"/>
    <col min="3080" max="3080" width="3.5703125" customWidth="1"/>
    <col min="3081" max="3081" width="19" bestFit="1" customWidth="1"/>
    <col min="3082" max="3082" width="17" customWidth="1"/>
    <col min="3083" max="3083" width="15.140625" bestFit="1" customWidth="1"/>
    <col min="3084" max="3084" width="15.28515625" bestFit="1" customWidth="1"/>
    <col min="3328" max="3328" width="50.42578125" bestFit="1" customWidth="1"/>
    <col min="3329" max="3329" width="24.5703125" bestFit="1" customWidth="1"/>
    <col min="3330" max="3330" width="15.7109375" bestFit="1" customWidth="1"/>
    <col min="3331" max="3331" width="17.28515625" bestFit="1" customWidth="1"/>
    <col min="3333" max="3333" width="2.28515625" customWidth="1"/>
    <col min="3334" max="3334" width="8.7109375" customWidth="1"/>
    <col min="3335" max="3335" width="3" customWidth="1"/>
    <col min="3336" max="3336" width="3.5703125" customWidth="1"/>
    <col min="3337" max="3337" width="19" bestFit="1" customWidth="1"/>
    <col min="3338" max="3338" width="17" customWidth="1"/>
    <col min="3339" max="3339" width="15.140625" bestFit="1" customWidth="1"/>
    <col min="3340" max="3340" width="15.28515625" bestFit="1" customWidth="1"/>
    <col min="3584" max="3584" width="50.42578125" bestFit="1" customWidth="1"/>
    <col min="3585" max="3585" width="24.5703125" bestFit="1" customWidth="1"/>
    <col min="3586" max="3586" width="15.7109375" bestFit="1" customWidth="1"/>
    <col min="3587" max="3587" width="17.28515625" bestFit="1" customWidth="1"/>
    <col min="3589" max="3589" width="2.28515625" customWidth="1"/>
    <col min="3590" max="3590" width="8.7109375" customWidth="1"/>
    <col min="3591" max="3591" width="3" customWidth="1"/>
    <col min="3592" max="3592" width="3.5703125" customWidth="1"/>
    <col min="3593" max="3593" width="19" bestFit="1" customWidth="1"/>
    <col min="3594" max="3594" width="17" customWidth="1"/>
    <col min="3595" max="3595" width="15.140625" bestFit="1" customWidth="1"/>
    <col min="3596" max="3596" width="15.28515625" bestFit="1" customWidth="1"/>
    <col min="3840" max="3840" width="50.42578125" bestFit="1" customWidth="1"/>
    <col min="3841" max="3841" width="24.5703125" bestFit="1" customWidth="1"/>
    <col min="3842" max="3842" width="15.7109375" bestFit="1" customWidth="1"/>
    <col min="3843" max="3843" width="17.28515625" bestFit="1" customWidth="1"/>
    <col min="3845" max="3845" width="2.28515625" customWidth="1"/>
    <col min="3846" max="3846" width="8.7109375" customWidth="1"/>
    <col min="3847" max="3847" width="3" customWidth="1"/>
    <col min="3848" max="3848" width="3.5703125" customWidth="1"/>
    <col min="3849" max="3849" width="19" bestFit="1" customWidth="1"/>
    <col min="3850" max="3850" width="17" customWidth="1"/>
    <col min="3851" max="3851" width="15.140625" bestFit="1" customWidth="1"/>
    <col min="3852" max="3852" width="15.28515625" bestFit="1" customWidth="1"/>
    <col min="4096" max="4096" width="50.42578125" bestFit="1" customWidth="1"/>
    <col min="4097" max="4097" width="24.5703125" bestFit="1" customWidth="1"/>
    <col min="4098" max="4098" width="15.7109375" bestFit="1" customWidth="1"/>
    <col min="4099" max="4099" width="17.28515625" bestFit="1" customWidth="1"/>
    <col min="4101" max="4101" width="2.28515625" customWidth="1"/>
    <col min="4102" max="4102" width="8.7109375" customWidth="1"/>
    <col min="4103" max="4103" width="3" customWidth="1"/>
    <col min="4104" max="4104" width="3.5703125" customWidth="1"/>
    <col min="4105" max="4105" width="19" bestFit="1" customWidth="1"/>
    <col min="4106" max="4106" width="17" customWidth="1"/>
    <col min="4107" max="4107" width="15.140625" bestFit="1" customWidth="1"/>
    <col min="4108" max="4108" width="15.28515625" bestFit="1" customWidth="1"/>
    <col min="4352" max="4352" width="50.42578125" bestFit="1" customWidth="1"/>
    <col min="4353" max="4353" width="24.5703125" bestFit="1" customWidth="1"/>
    <col min="4354" max="4354" width="15.7109375" bestFit="1" customWidth="1"/>
    <col min="4355" max="4355" width="17.28515625" bestFit="1" customWidth="1"/>
    <col min="4357" max="4357" width="2.28515625" customWidth="1"/>
    <col min="4358" max="4358" width="8.7109375" customWidth="1"/>
    <col min="4359" max="4359" width="3" customWidth="1"/>
    <col min="4360" max="4360" width="3.5703125" customWidth="1"/>
    <col min="4361" max="4361" width="19" bestFit="1" customWidth="1"/>
    <col min="4362" max="4362" width="17" customWidth="1"/>
    <col min="4363" max="4363" width="15.140625" bestFit="1" customWidth="1"/>
    <col min="4364" max="4364" width="15.28515625" bestFit="1" customWidth="1"/>
    <col min="4608" max="4608" width="50.42578125" bestFit="1" customWidth="1"/>
    <col min="4609" max="4609" width="24.5703125" bestFit="1" customWidth="1"/>
    <col min="4610" max="4610" width="15.7109375" bestFit="1" customWidth="1"/>
    <col min="4611" max="4611" width="17.28515625" bestFit="1" customWidth="1"/>
    <col min="4613" max="4613" width="2.28515625" customWidth="1"/>
    <col min="4614" max="4614" width="8.7109375" customWidth="1"/>
    <col min="4615" max="4615" width="3" customWidth="1"/>
    <col min="4616" max="4616" width="3.5703125" customWidth="1"/>
    <col min="4617" max="4617" width="19" bestFit="1" customWidth="1"/>
    <col min="4618" max="4618" width="17" customWidth="1"/>
    <col min="4619" max="4619" width="15.140625" bestFit="1" customWidth="1"/>
    <col min="4620" max="4620" width="15.28515625" bestFit="1" customWidth="1"/>
    <col min="4864" max="4864" width="50.42578125" bestFit="1" customWidth="1"/>
    <col min="4865" max="4865" width="24.5703125" bestFit="1" customWidth="1"/>
    <col min="4866" max="4866" width="15.7109375" bestFit="1" customWidth="1"/>
    <col min="4867" max="4867" width="17.28515625" bestFit="1" customWidth="1"/>
    <col min="4869" max="4869" width="2.28515625" customWidth="1"/>
    <col min="4870" max="4870" width="8.7109375" customWidth="1"/>
    <col min="4871" max="4871" width="3" customWidth="1"/>
    <col min="4872" max="4872" width="3.5703125" customWidth="1"/>
    <col min="4873" max="4873" width="19" bestFit="1" customWidth="1"/>
    <col min="4874" max="4874" width="17" customWidth="1"/>
    <col min="4875" max="4875" width="15.140625" bestFit="1" customWidth="1"/>
    <col min="4876" max="4876" width="15.28515625" bestFit="1" customWidth="1"/>
    <col min="5120" max="5120" width="50.42578125" bestFit="1" customWidth="1"/>
    <col min="5121" max="5121" width="24.5703125" bestFit="1" customWidth="1"/>
    <col min="5122" max="5122" width="15.7109375" bestFit="1" customWidth="1"/>
    <col min="5123" max="5123" width="17.28515625" bestFit="1" customWidth="1"/>
    <col min="5125" max="5125" width="2.28515625" customWidth="1"/>
    <col min="5126" max="5126" width="8.7109375" customWidth="1"/>
    <col min="5127" max="5127" width="3" customWidth="1"/>
    <col min="5128" max="5128" width="3.5703125" customWidth="1"/>
    <col min="5129" max="5129" width="19" bestFit="1" customWidth="1"/>
    <col min="5130" max="5130" width="17" customWidth="1"/>
    <col min="5131" max="5131" width="15.140625" bestFit="1" customWidth="1"/>
    <col min="5132" max="5132" width="15.28515625" bestFit="1" customWidth="1"/>
    <col min="5376" max="5376" width="50.42578125" bestFit="1" customWidth="1"/>
    <col min="5377" max="5377" width="24.5703125" bestFit="1" customWidth="1"/>
    <col min="5378" max="5378" width="15.7109375" bestFit="1" customWidth="1"/>
    <col min="5379" max="5379" width="17.28515625" bestFit="1" customWidth="1"/>
    <col min="5381" max="5381" width="2.28515625" customWidth="1"/>
    <col min="5382" max="5382" width="8.7109375" customWidth="1"/>
    <col min="5383" max="5383" width="3" customWidth="1"/>
    <col min="5384" max="5384" width="3.5703125" customWidth="1"/>
    <col min="5385" max="5385" width="19" bestFit="1" customWidth="1"/>
    <col min="5386" max="5386" width="17" customWidth="1"/>
    <col min="5387" max="5387" width="15.140625" bestFit="1" customWidth="1"/>
    <col min="5388" max="5388" width="15.28515625" bestFit="1" customWidth="1"/>
    <col min="5632" max="5632" width="50.42578125" bestFit="1" customWidth="1"/>
    <col min="5633" max="5633" width="24.5703125" bestFit="1" customWidth="1"/>
    <col min="5634" max="5634" width="15.7109375" bestFit="1" customWidth="1"/>
    <col min="5635" max="5635" width="17.28515625" bestFit="1" customWidth="1"/>
    <col min="5637" max="5637" width="2.28515625" customWidth="1"/>
    <col min="5638" max="5638" width="8.7109375" customWidth="1"/>
    <col min="5639" max="5639" width="3" customWidth="1"/>
    <col min="5640" max="5640" width="3.5703125" customWidth="1"/>
    <col min="5641" max="5641" width="19" bestFit="1" customWidth="1"/>
    <col min="5642" max="5642" width="17" customWidth="1"/>
    <col min="5643" max="5643" width="15.140625" bestFit="1" customWidth="1"/>
    <col min="5644" max="5644" width="15.28515625" bestFit="1" customWidth="1"/>
    <col min="5888" max="5888" width="50.42578125" bestFit="1" customWidth="1"/>
    <col min="5889" max="5889" width="24.5703125" bestFit="1" customWidth="1"/>
    <col min="5890" max="5890" width="15.7109375" bestFit="1" customWidth="1"/>
    <col min="5891" max="5891" width="17.28515625" bestFit="1" customWidth="1"/>
    <col min="5893" max="5893" width="2.28515625" customWidth="1"/>
    <col min="5894" max="5894" width="8.7109375" customWidth="1"/>
    <col min="5895" max="5895" width="3" customWidth="1"/>
    <col min="5896" max="5896" width="3.5703125" customWidth="1"/>
    <col min="5897" max="5897" width="19" bestFit="1" customWidth="1"/>
    <col min="5898" max="5898" width="17" customWidth="1"/>
    <col min="5899" max="5899" width="15.140625" bestFit="1" customWidth="1"/>
    <col min="5900" max="5900" width="15.28515625" bestFit="1" customWidth="1"/>
    <col min="6144" max="6144" width="50.42578125" bestFit="1" customWidth="1"/>
    <col min="6145" max="6145" width="24.5703125" bestFit="1" customWidth="1"/>
    <col min="6146" max="6146" width="15.7109375" bestFit="1" customWidth="1"/>
    <col min="6147" max="6147" width="17.28515625" bestFit="1" customWidth="1"/>
    <col min="6149" max="6149" width="2.28515625" customWidth="1"/>
    <col min="6150" max="6150" width="8.7109375" customWidth="1"/>
    <col min="6151" max="6151" width="3" customWidth="1"/>
    <col min="6152" max="6152" width="3.5703125" customWidth="1"/>
    <col min="6153" max="6153" width="19" bestFit="1" customWidth="1"/>
    <col min="6154" max="6154" width="17" customWidth="1"/>
    <col min="6155" max="6155" width="15.140625" bestFit="1" customWidth="1"/>
    <col min="6156" max="6156" width="15.28515625" bestFit="1" customWidth="1"/>
    <col min="6400" max="6400" width="50.42578125" bestFit="1" customWidth="1"/>
    <col min="6401" max="6401" width="24.5703125" bestFit="1" customWidth="1"/>
    <col min="6402" max="6402" width="15.7109375" bestFit="1" customWidth="1"/>
    <col min="6403" max="6403" width="17.28515625" bestFit="1" customWidth="1"/>
    <col min="6405" max="6405" width="2.28515625" customWidth="1"/>
    <col min="6406" max="6406" width="8.7109375" customWidth="1"/>
    <col min="6407" max="6407" width="3" customWidth="1"/>
    <col min="6408" max="6408" width="3.5703125" customWidth="1"/>
    <col min="6409" max="6409" width="19" bestFit="1" customWidth="1"/>
    <col min="6410" max="6410" width="17" customWidth="1"/>
    <col min="6411" max="6411" width="15.140625" bestFit="1" customWidth="1"/>
    <col min="6412" max="6412" width="15.28515625" bestFit="1" customWidth="1"/>
    <col min="6656" max="6656" width="50.42578125" bestFit="1" customWidth="1"/>
    <col min="6657" max="6657" width="24.5703125" bestFit="1" customWidth="1"/>
    <col min="6658" max="6658" width="15.7109375" bestFit="1" customWidth="1"/>
    <col min="6659" max="6659" width="17.28515625" bestFit="1" customWidth="1"/>
    <col min="6661" max="6661" width="2.28515625" customWidth="1"/>
    <col min="6662" max="6662" width="8.7109375" customWidth="1"/>
    <col min="6663" max="6663" width="3" customWidth="1"/>
    <col min="6664" max="6664" width="3.5703125" customWidth="1"/>
    <col min="6665" max="6665" width="19" bestFit="1" customWidth="1"/>
    <col min="6666" max="6666" width="17" customWidth="1"/>
    <col min="6667" max="6667" width="15.140625" bestFit="1" customWidth="1"/>
    <col min="6668" max="6668" width="15.28515625" bestFit="1" customWidth="1"/>
    <col min="6912" max="6912" width="50.42578125" bestFit="1" customWidth="1"/>
    <col min="6913" max="6913" width="24.5703125" bestFit="1" customWidth="1"/>
    <col min="6914" max="6914" width="15.7109375" bestFit="1" customWidth="1"/>
    <col min="6915" max="6915" width="17.28515625" bestFit="1" customWidth="1"/>
    <col min="6917" max="6917" width="2.28515625" customWidth="1"/>
    <col min="6918" max="6918" width="8.7109375" customWidth="1"/>
    <col min="6919" max="6919" width="3" customWidth="1"/>
    <col min="6920" max="6920" width="3.5703125" customWidth="1"/>
    <col min="6921" max="6921" width="19" bestFit="1" customWidth="1"/>
    <col min="6922" max="6922" width="17" customWidth="1"/>
    <col min="6923" max="6923" width="15.140625" bestFit="1" customWidth="1"/>
    <col min="6924" max="6924" width="15.28515625" bestFit="1" customWidth="1"/>
    <col min="7168" max="7168" width="50.42578125" bestFit="1" customWidth="1"/>
    <col min="7169" max="7169" width="24.5703125" bestFit="1" customWidth="1"/>
    <col min="7170" max="7170" width="15.7109375" bestFit="1" customWidth="1"/>
    <col min="7171" max="7171" width="17.28515625" bestFit="1" customWidth="1"/>
    <col min="7173" max="7173" width="2.28515625" customWidth="1"/>
    <col min="7174" max="7174" width="8.7109375" customWidth="1"/>
    <col min="7175" max="7175" width="3" customWidth="1"/>
    <col min="7176" max="7176" width="3.5703125" customWidth="1"/>
    <col min="7177" max="7177" width="19" bestFit="1" customWidth="1"/>
    <col min="7178" max="7178" width="17" customWidth="1"/>
    <col min="7179" max="7179" width="15.140625" bestFit="1" customWidth="1"/>
    <col min="7180" max="7180" width="15.28515625" bestFit="1" customWidth="1"/>
    <col min="7424" max="7424" width="50.42578125" bestFit="1" customWidth="1"/>
    <col min="7425" max="7425" width="24.5703125" bestFit="1" customWidth="1"/>
    <col min="7426" max="7426" width="15.7109375" bestFit="1" customWidth="1"/>
    <col min="7427" max="7427" width="17.28515625" bestFit="1" customWidth="1"/>
    <col min="7429" max="7429" width="2.28515625" customWidth="1"/>
    <col min="7430" max="7430" width="8.7109375" customWidth="1"/>
    <col min="7431" max="7431" width="3" customWidth="1"/>
    <col min="7432" max="7432" width="3.5703125" customWidth="1"/>
    <col min="7433" max="7433" width="19" bestFit="1" customWidth="1"/>
    <col min="7434" max="7434" width="17" customWidth="1"/>
    <col min="7435" max="7435" width="15.140625" bestFit="1" customWidth="1"/>
    <col min="7436" max="7436" width="15.28515625" bestFit="1" customWidth="1"/>
    <col min="7680" max="7680" width="50.42578125" bestFit="1" customWidth="1"/>
    <col min="7681" max="7681" width="24.5703125" bestFit="1" customWidth="1"/>
    <col min="7682" max="7682" width="15.7109375" bestFit="1" customWidth="1"/>
    <col min="7683" max="7683" width="17.28515625" bestFit="1" customWidth="1"/>
    <col min="7685" max="7685" width="2.28515625" customWidth="1"/>
    <col min="7686" max="7686" width="8.7109375" customWidth="1"/>
    <col min="7687" max="7687" width="3" customWidth="1"/>
    <col min="7688" max="7688" width="3.5703125" customWidth="1"/>
    <col min="7689" max="7689" width="19" bestFit="1" customWidth="1"/>
    <col min="7690" max="7690" width="17" customWidth="1"/>
    <col min="7691" max="7691" width="15.140625" bestFit="1" customWidth="1"/>
    <col min="7692" max="7692" width="15.28515625" bestFit="1" customWidth="1"/>
    <col min="7936" max="7936" width="50.42578125" bestFit="1" customWidth="1"/>
    <col min="7937" max="7937" width="24.5703125" bestFit="1" customWidth="1"/>
    <col min="7938" max="7938" width="15.7109375" bestFit="1" customWidth="1"/>
    <col min="7939" max="7939" width="17.28515625" bestFit="1" customWidth="1"/>
    <col min="7941" max="7941" width="2.28515625" customWidth="1"/>
    <col min="7942" max="7942" width="8.7109375" customWidth="1"/>
    <col min="7943" max="7943" width="3" customWidth="1"/>
    <col min="7944" max="7944" width="3.5703125" customWidth="1"/>
    <col min="7945" max="7945" width="19" bestFit="1" customWidth="1"/>
    <col min="7946" max="7946" width="17" customWidth="1"/>
    <col min="7947" max="7947" width="15.140625" bestFit="1" customWidth="1"/>
    <col min="7948" max="7948" width="15.28515625" bestFit="1" customWidth="1"/>
    <col min="8192" max="8192" width="50.42578125" bestFit="1" customWidth="1"/>
    <col min="8193" max="8193" width="24.5703125" bestFit="1" customWidth="1"/>
    <col min="8194" max="8194" width="15.7109375" bestFit="1" customWidth="1"/>
    <col min="8195" max="8195" width="17.28515625" bestFit="1" customWidth="1"/>
    <col min="8197" max="8197" width="2.28515625" customWidth="1"/>
    <col min="8198" max="8198" width="8.7109375" customWidth="1"/>
    <col min="8199" max="8199" width="3" customWidth="1"/>
    <col min="8200" max="8200" width="3.5703125" customWidth="1"/>
    <col min="8201" max="8201" width="19" bestFit="1" customWidth="1"/>
    <col min="8202" max="8202" width="17" customWidth="1"/>
    <col min="8203" max="8203" width="15.140625" bestFit="1" customWidth="1"/>
    <col min="8204" max="8204" width="15.28515625" bestFit="1" customWidth="1"/>
    <col min="8448" max="8448" width="50.42578125" bestFit="1" customWidth="1"/>
    <col min="8449" max="8449" width="24.5703125" bestFit="1" customWidth="1"/>
    <col min="8450" max="8450" width="15.7109375" bestFit="1" customWidth="1"/>
    <col min="8451" max="8451" width="17.28515625" bestFit="1" customWidth="1"/>
    <col min="8453" max="8453" width="2.28515625" customWidth="1"/>
    <col min="8454" max="8454" width="8.7109375" customWidth="1"/>
    <col min="8455" max="8455" width="3" customWidth="1"/>
    <col min="8456" max="8456" width="3.5703125" customWidth="1"/>
    <col min="8457" max="8457" width="19" bestFit="1" customWidth="1"/>
    <col min="8458" max="8458" width="17" customWidth="1"/>
    <col min="8459" max="8459" width="15.140625" bestFit="1" customWidth="1"/>
    <col min="8460" max="8460" width="15.28515625" bestFit="1" customWidth="1"/>
    <col min="8704" max="8704" width="50.42578125" bestFit="1" customWidth="1"/>
    <col min="8705" max="8705" width="24.5703125" bestFit="1" customWidth="1"/>
    <col min="8706" max="8706" width="15.7109375" bestFit="1" customWidth="1"/>
    <col min="8707" max="8707" width="17.28515625" bestFit="1" customWidth="1"/>
    <col min="8709" max="8709" width="2.28515625" customWidth="1"/>
    <col min="8710" max="8710" width="8.7109375" customWidth="1"/>
    <col min="8711" max="8711" width="3" customWidth="1"/>
    <col min="8712" max="8712" width="3.5703125" customWidth="1"/>
    <col min="8713" max="8713" width="19" bestFit="1" customWidth="1"/>
    <col min="8714" max="8714" width="17" customWidth="1"/>
    <col min="8715" max="8715" width="15.140625" bestFit="1" customWidth="1"/>
    <col min="8716" max="8716" width="15.28515625" bestFit="1" customWidth="1"/>
    <col min="8960" max="8960" width="50.42578125" bestFit="1" customWidth="1"/>
    <col min="8961" max="8961" width="24.5703125" bestFit="1" customWidth="1"/>
    <col min="8962" max="8962" width="15.7109375" bestFit="1" customWidth="1"/>
    <col min="8963" max="8963" width="17.28515625" bestFit="1" customWidth="1"/>
    <col min="8965" max="8965" width="2.28515625" customWidth="1"/>
    <col min="8966" max="8966" width="8.7109375" customWidth="1"/>
    <col min="8967" max="8967" width="3" customWidth="1"/>
    <col min="8968" max="8968" width="3.5703125" customWidth="1"/>
    <col min="8969" max="8969" width="19" bestFit="1" customWidth="1"/>
    <col min="8970" max="8970" width="17" customWidth="1"/>
    <col min="8971" max="8971" width="15.140625" bestFit="1" customWidth="1"/>
    <col min="8972" max="8972" width="15.28515625" bestFit="1" customWidth="1"/>
    <col min="9216" max="9216" width="50.42578125" bestFit="1" customWidth="1"/>
    <col min="9217" max="9217" width="24.5703125" bestFit="1" customWidth="1"/>
    <col min="9218" max="9218" width="15.7109375" bestFit="1" customWidth="1"/>
    <col min="9219" max="9219" width="17.28515625" bestFit="1" customWidth="1"/>
    <col min="9221" max="9221" width="2.28515625" customWidth="1"/>
    <col min="9222" max="9222" width="8.7109375" customWidth="1"/>
    <col min="9223" max="9223" width="3" customWidth="1"/>
    <col min="9224" max="9224" width="3.5703125" customWidth="1"/>
    <col min="9225" max="9225" width="19" bestFit="1" customWidth="1"/>
    <col min="9226" max="9226" width="17" customWidth="1"/>
    <col min="9227" max="9227" width="15.140625" bestFit="1" customWidth="1"/>
    <col min="9228" max="9228" width="15.28515625" bestFit="1" customWidth="1"/>
    <col min="9472" max="9472" width="50.42578125" bestFit="1" customWidth="1"/>
    <col min="9473" max="9473" width="24.5703125" bestFit="1" customWidth="1"/>
    <col min="9474" max="9474" width="15.7109375" bestFit="1" customWidth="1"/>
    <col min="9475" max="9475" width="17.28515625" bestFit="1" customWidth="1"/>
    <col min="9477" max="9477" width="2.28515625" customWidth="1"/>
    <col min="9478" max="9478" width="8.7109375" customWidth="1"/>
    <col min="9479" max="9479" width="3" customWidth="1"/>
    <col min="9480" max="9480" width="3.5703125" customWidth="1"/>
    <col min="9481" max="9481" width="19" bestFit="1" customWidth="1"/>
    <col min="9482" max="9482" width="17" customWidth="1"/>
    <col min="9483" max="9483" width="15.140625" bestFit="1" customWidth="1"/>
    <col min="9484" max="9484" width="15.28515625" bestFit="1" customWidth="1"/>
    <col min="9728" max="9728" width="50.42578125" bestFit="1" customWidth="1"/>
    <col min="9729" max="9729" width="24.5703125" bestFit="1" customWidth="1"/>
    <col min="9730" max="9730" width="15.7109375" bestFit="1" customWidth="1"/>
    <col min="9731" max="9731" width="17.28515625" bestFit="1" customWidth="1"/>
    <col min="9733" max="9733" width="2.28515625" customWidth="1"/>
    <col min="9734" max="9734" width="8.7109375" customWidth="1"/>
    <col min="9735" max="9735" width="3" customWidth="1"/>
    <col min="9736" max="9736" width="3.5703125" customWidth="1"/>
    <col min="9737" max="9737" width="19" bestFit="1" customWidth="1"/>
    <col min="9738" max="9738" width="17" customWidth="1"/>
    <col min="9739" max="9739" width="15.140625" bestFit="1" customWidth="1"/>
    <col min="9740" max="9740" width="15.28515625" bestFit="1" customWidth="1"/>
    <col min="9984" max="9984" width="50.42578125" bestFit="1" customWidth="1"/>
    <col min="9985" max="9985" width="24.5703125" bestFit="1" customWidth="1"/>
    <col min="9986" max="9986" width="15.7109375" bestFit="1" customWidth="1"/>
    <col min="9987" max="9987" width="17.28515625" bestFit="1" customWidth="1"/>
    <col min="9989" max="9989" width="2.28515625" customWidth="1"/>
    <col min="9990" max="9990" width="8.7109375" customWidth="1"/>
    <col min="9991" max="9991" width="3" customWidth="1"/>
    <col min="9992" max="9992" width="3.5703125" customWidth="1"/>
    <col min="9993" max="9993" width="19" bestFit="1" customWidth="1"/>
    <col min="9994" max="9994" width="17" customWidth="1"/>
    <col min="9995" max="9995" width="15.140625" bestFit="1" customWidth="1"/>
    <col min="9996" max="9996" width="15.28515625" bestFit="1" customWidth="1"/>
    <col min="10240" max="10240" width="50.42578125" bestFit="1" customWidth="1"/>
    <col min="10241" max="10241" width="24.5703125" bestFit="1" customWidth="1"/>
    <col min="10242" max="10242" width="15.7109375" bestFit="1" customWidth="1"/>
    <col min="10243" max="10243" width="17.28515625" bestFit="1" customWidth="1"/>
    <col min="10245" max="10245" width="2.28515625" customWidth="1"/>
    <col min="10246" max="10246" width="8.7109375" customWidth="1"/>
    <col min="10247" max="10247" width="3" customWidth="1"/>
    <col min="10248" max="10248" width="3.5703125" customWidth="1"/>
    <col min="10249" max="10249" width="19" bestFit="1" customWidth="1"/>
    <col min="10250" max="10250" width="17" customWidth="1"/>
    <col min="10251" max="10251" width="15.140625" bestFit="1" customWidth="1"/>
    <col min="10252" max="10252" width="15.28515625" bestFit="1" customWidth="1"/>
    <col min="10496" max="10496" width="50.42578125" bestFit="1" customWidth="1"/>
    <col min="10497" max="10497" width="24.5703125" bestFit="1" customWidth="1"/>
    <col min="10498" max="10498" width="15.7109375" bestFit="1" customWidth="1"/>
    <col min="10499" max="10499" width="17.28515625" bestFit="1" customWidth="1"/>
    <col min="10501" max="10501" width="2.28515625" customWidth="1"/>
    <col min="10502" max="10502" width="8.7109375" customWidth="1"/>
    <col min="10503" max="10503" width="3" customWidth="1"/>
    <col min="10504" max="10504" width="3.5703125" customWidth="1"/>
    <col min="10505" max="10505" width="19" bestFit="1" customWidth="1"/>
    <col min="10506" max="10506" width="17" customWidth="1"/>
    <col min="10507" max="10507" width="15.140625" bestFit="1" customWidth="1"/>
    <col min="10508" max="10508" width="15.28515625" bestFit="1" customWidth="1"/>
    <col min="10752" max="10752" width="50.42578125" bestFit="1" customWidth="1"/>
    <col min="10753" max="10753" width="24.5703125" bestFit="1" customWidth="1"/>
    <col min="10754" max="10754" width="15.7109375" bestFit="1" customWidth="1"/>
    <col min="10755" max="10755" width="17.28515625" bestFit="1" customWidth="1"/>
    <col min="10757" max="10757" width="2.28515625" customWidth="1"/>
    <col min="10758" max="10758" width="8.7109375" customWidth="1"/>
    <col min="10759" max="10759" width="3" customWidth="1"/>
    <col min="10760" max="10760" width="3.5703125" customWidth="1"/>
    <col min="10761" max="10761" width="19" bestFit="1" customWidth="1"/>
    <col min="10762" max="10762" width="17" customWidth="1"/>
    <col min="10763" max="10763" width="15.140625" bestFit="1" customWidth="1"/>
    <col min="10764" max="10764" width="15.28515625" bestFit="1" customWidth="1"/>
    <col min="11008" max="11008" width="50.42578125" bestFit="1" customWidth="1"/>
    <col min="11009" max="11009" width="24.5703125" bestFit="1" customWidth="1"/>
    <col min="11010" max="11010" width="15.7109375" bestFit="1" customWidth="1"/>
    <col min="11011" max="11011" width="17.28515625" bestFit="1" customWidth="1"/>
    <col min="11013" max="11013" width="2.28515625" customWidth="1"/>
    <col min="11014" max="11014" width="8.7109375" customWidth="1"/>
    <col min="11015" max="11015" width="3" customWidth="1"/>
    <col min="11016" max="11016" width="3.5703125" customWidth="1"/>
    <col min="11017" max="11017" width="19" bestFit="1" customWidth="1"/>
    <col min="11018" max="11018" width="17" customWidth="1"/>
    <col min="11019" max="11019" width="15.140625" bestFit="1" customWidth="1"/>
    <col min="11020" max="11020" width="15.28515625" bestFit="1" customWidth="1"/>
    <col min="11264" max="11264" width="50.42578125" bestFit="1" customWidth="1"/>
    <col min="11265" max="11265" width="24.5703125" bestFit="1" customWidth="1"/>
    <col min="11266" max="11266" width="15.7109375" bestFit="1" customWidth="1"/>
    <col min="11267" max="11267" width="17.28515625" bestFit="1" customWidth="1"/>
    <col min="11269" max="11269" width="2.28515625" customWidth="1"/>
    <col min="11270" max="11270" width="8.7109375" customWidth="1"/>
    <col min="11271" max="11271" width="3" customWidth="1"/>
    <col min="11272" max="11272" width="3.5703125" customWidth="1"/>
    <col min="11273" max="11273" width="19" bestFit="1" customWidth="1"/>
    <col min="11274" max="11274" width="17" customWidth="1"/>
    <col min="11275" max="11275" width="15.140625" bestFit="1" customWidth="1"/>
    <col min="11276" max="11276" width="15.28515625" bestFit="1" customWidth="1"/>
    <col min="11520" max="11520" width="50.42578125" bestFit="1" customWidth="1"/>
    <col min="11521" max="11521" width="24.5703125" bestFit="1" customWidth="1"/>
    <col min="11522" max="11522" width="15.7109375" bestFit="1" customWidth="1"/>
    <col min="11523" max="11523" width="17.28515625" bestFit="1" customWidth="1"/>
    <col min="11525" max="11525" width="2.28515625" customWidth="1"/>
    <col min="11526" max="11526" width="8.7109375" customWidth="1"/>
    <col min="11527" max="11527" width="3" customWidth="1"/>
    <col min="11528" max="11528" width="3.5703125" customWidth="1"/>
    <col min="11529" max="11529" width="19" bestFit="1" customWidth="1"/>
    <col min="11530" max="11530" width="17" customWidth="1"/>
    <col min="11531" max="11531" width="15.140625" bestFit="1" customWidth="1"/>
    <col min="11532" max="11532" width="15.28515625" bestFit="1" customWidth="1"/>
    <col min="11776" max="11776" width="50.42578125" bestFit="1" customWidth="1"/>
    <col min="11777" max="11777" width="24.5703125" bestFit="1" customWidth="1"/>
    <col min="11778" max="11778" width="15.7109375" bestFit="1" customWidth="1"/>
    <col min="11779" max="11779" width="17.28515625" bestFit="1" customWidth="1"/>
    <col min="11781" max="11781" width="2.28515625" customWidth="1"/>
    <col min="11782" max="11782" width="8.7109375" customWidth="1"/>
    <col min="11783" max="11783" width="3" customWidth="1"/>
    <col min="11784" max="11784" width="3.5703125" customWidth="1"/>
    <col min="11785" max="11785" width="19" bestFit="1" customWidth="1"/>
    <col min="11786" max="11786" width="17" customWidth="1"/>
    <col min="11787" max="11787" width="15.140625" bestFit="1" customWidth="1"/>
    <col min="11788" max="11788" width="15.28515625" bestFit="1" customWidth="1"/>
    <col min="12032" max="12032" width="50.42578125" bestFit="1" customWidth="1"/>
    <col min="12033" max="12033" width="24.5703125" bestFit="1" customWidth="1"/>
    <col min="12034" max="12034" width="15.7109375" bestFit="1" customWidth="1"/>
    <col min="12035" max="12035" width="17.28515625" bestFit="1" customWidth="1"/>
    <col min="12037" max="12037" width="2.28515625" customWidth="1"/>
    <col min="12038" max="12038" width="8.7109375" customWidth="1"/>
    <col min="12039" max="12039" width="3" customWidth="1"/>
    <col min="12040" max="12040" width="3.5703125" customWidth="1"/>
    <col min="12041" max="12041" width="19" bestFit="1" customWidth="1"/>
    <col min="12042" max="12042" width="17" customWidth="1"/>
    <col min="12043" max="12043" width="15.140625" bestFit="1" customWidth="1"/>
    <col min="12044" max="12044" width="15.28515625" bestFit="1" customWidth="1"/>
    <col min="12288" max="12288" width="50.42578125" bestFit="1" customWidth="1"/>
    <col min="12289" max="12289" width="24.5703125" bestFit="1" customWidth="1"/>
    <col min="12290" max="12290" width="15.7109375" bestFit="1" customWidth="1"/>
    <col min="12291" max="12291" width="17.28515625" bestFit="1" customWidth="1"/>
    <col min="12293" max="12293" width="2.28515625" customWidth="1"/>
    <col min="12294" max="12294" width="8.7109375" customWidth="1"/>
    <col min="12295" max="12295" width="3" customWidth="1"/>
    <col min="12296" max="12296" width="3.5703125" customWidth="1"/>
    <col min="12297" max="12297" width="19" bestFit="1" customWidth="1"/>
    <col min="12298" max="12298" width="17" customWidth="1"/>
    <col min="12299" max="12299" width="15.140625" bestFit="1" customWidth="1"/>
    <col min="12300" max="12300" width="15.28515625" bestFit="1" customWidth="1"/>
    <col min="12544" max="12544" width="50.42578125" bestFit="1" customWidth="1"/>
    <col min="12545" max="12545" width="24.5703125" bestFit="1" customWidth="1"/>
    <col min="12546" max="12546" width="15.7109375" bestFit="1" customWidth="1"/>
    <col min="12547" max="12547" width="17.28515625" bestFit="1" customWidth="1"/>
    <col min="12549" max="12549" width="2.28515625" customWidth="1"/>
    <col min="12550" max="12550" width="8.7109375" customWidth="1"/>
    <col min="12551" max="12551" width="3" customWidth="1"/>
    <col min="12552" max="12552" width="3.5703125" customWidth="1"/>
    <col min="12553" max="12553" width="19" bestFit="1" customWidth="1"/>
    <col min="12554" max="12554" width="17" customWidth="1"/>
    <col min="12555" max="12555" width="15.140625" bestFit="1" customWidth="1"/>
    <col min="12556" max="12556" width="15.28515625" bestFit="1" customWidth="1"/>
    <col min="12800" max="12800" width="50.42578125" bestFit="1" customWidth="1"/>
    <col min="12801" max="12801" width="24.5703125" bestFit="1" customWidth="1"/>
    <col min="12802" max="12802" width="15.7109375" bestFit="1" customWidth="1"/>
    <col min="12803" max="12803" width="17.28515625" bestFit="1" customWidth="1"/>
    <col min="12805" max="12805" width="2.28515625" customWidth="1"/>
    <col min="12806" max="12806" width="8.7109375" customWidth="1"/>
    <col min="12807" max="12807" width="3" customWidth="1"/>
    <col min="12808" max="12808" width="3.5703125" customWidth="1"/>
    <col min="12809" max="12809" width="19" bestFit="1" customWidth="1"/>
    <col min="12810" max="12810" width="17" customWidth="1"/>
    <col min="12811" max="12811" width="15.140625" bestFit="1" customWidth="1"/>
    <col min="12812" max="12812" width="15.28515625" bestFit="1" customWidth="1"/>
    <col min="13056" max="13056" width="50.42578125" bestFit="1" customWidth="1"/>
    <col min="13057" max="13057" width="24.5703125" bestFit="1" customWidth="1"/>
    <col min="13058" max="13058" width="15.7109375" bestFit="1" customWidth="1"/>
    <col min="13059" max="13059" width="17.28515625" bestFit="1" customWidth="1"/>
    <col min="13061" max="13061" width="2.28515625" customWidth="1"/>
    <col min="13062" max="13062" width="8.7109375" customWidth="1"/>
    <col min="13063" max="13063" width="3" customWidth="1"/>
    <col min="13064" max="13064" width="3.5703125" customWidth="1"/>
    <col min="13065" max="13065" width="19" bestFit="1" customWidth="1"/>
    <col min="13066" max="13066" width="17" customWidth="1"/>
    <col min="13067" max="13067" width="15.140625" bestFit="1" customWidth="1"/>
    <col min="13068" max="13068" width="15.28515625" bestFit="1" customWidth="1"/>
    <col min="13312" max="13312" width="50.42578125" bestFit="1" customWidth="1"/>
    <col min="13313" max="13313" width="24.5703125" bestFit="1" customWidth="1"/>
    <col min="13314" max="13314" width="15.7109375" bestFit="1" customWidth="1"/>
    <col min="13315" max="13315" width="17.28515625" bestFit="1" customWidth="1"/>
    <col min="13317" max="13317" width="2.28515625" customWidth="1"/>
    <col min="13318" max="13318" width="8.7109375" customWidth="1"/>
    <col min="13319" max="13319" width="3" customWidth="1"/>
    <col min="13320" max="13320" width="3.5703125" customWidth="1"/>
    <col min="13321" max="13321" width="19" bestFit="1" customWidth="1"/>
    <col min="13322" max="13322" width="17" customWidth="1"/>
    <col min="13323" max="13323" width="15.140625" bestFit="1" customWidth="1"/>
    <col min="13324" max="13324" width="15.28515625" bestFit="1" customWidth="1"/>
    <col min="13568" max="13568" width="50.42578125" bestFit="1" customWidth="1"/>
    <col min="13569" max="13569" width="24.5703125" bestFit="1" customWidth="1"/>
    <col min="13570" max="13570" width="15.7109375" bestFit="1" customWidth="1"/>
    <col min="13571" max="13571" width="17.28515625" bestFit="1" customWidth="1"/>
    <col min="13573" max="13573" width="2.28515625" customWidth="1"/>
    <col min="13574" max="13574" width="8.7109375" customWidth="1"/>
    <col min="13575" max="13575" width="3" customWidth="1"/>
    <col min="13576" max="13576" width="3.5703125" customWidth="1"/>
    <col min="13577" max="13577" width="19" bestFit="1" customWidth="1"/>
    <col min="13578" max="13578" width="17" customWidth="1"/>
    <col min="13579" max="13579" width="15.140625" bestFit="1" customWidth="1"/>
    <col min="13580" max="13580" width="15.28515625" bestFit="1" customWidth="1"/>
    <col min="13824" max="13824" width="50.42578125" bestFit="1" customWidth="1"/>
    <col min="13825" max="13825" width="24.5703125" bestFit="1" customWidth="1"/>
    <col min="13826" max="13826" width="15.7109375" bestFit="1" customWidth="1"/>
    <col min="13827" max="13827" width="17.28515625" bestFit="1" customWidth="1"/>
    <col min="13829" max="13829" width="2.28515625" customWidth="1"/>
    <col min="13830" max="13830" width="8.7109375" customWidth="1"/>
    <col min="13831" max="13831" width="3" customWidth="1"/>
    <col min="13832" max="13832" width="3.5703125" customWidth="1"/>
    <col min="13833" max="13833" width="19" bestFit="1" customWidth="1"/>
    <col min="13834" max="13834" width="17" customWidth="1"/>
    <col min="13835" max="13835" width="15.140625" bestFit="1" customWidth="1"/>
    <col min="13836" max="13836" width="15.28515625" bestFit="1" customWidth="1"/>
    <col min="14080" max="14080" width="50.42578125" bestFit="1" customWidth="1"/>
    <col min="14081" max="14081" width="24.5703125" bestFit="1" customWidth="1"/>
    <col min="14082" max="14082" width="15.7109375" bestFit="1" customWidth="1"/>
    <col min="14083" max="14083" width="17.28515625" bestFit="1" customWidth="1"/>
    <col min="14085" max="14085" width="2.28515625" customWidth="1"/>
    <col min="14086" max="14086" width="8.7109375" customWidth="1"/>
    <col min="14087" max="14087" width="3" customWidth="1"/>
    <col min="14088" max="14088" width="3.5703125" customWidth="1"/>
    <col min="14089" max="14089" width="19" bestFit="1" customWidth="1"/>
    <col min="14090" max="14090" width="17" customWidth="1"/>
    <col min="14091" max="14091" width="15.140625" bestFit="1" customWidth="1"/>
    <col min="14092" max="14092" width="15.28515625" bestFit="1" customWidth="1"/>
    <col min="14336" max="14336" width="50.42578125" bestFit="1" customWidth="1"/>
    <col min="14337" max="14337" width="24.5703125" bestFit="1" customWidth="1"/>
    <col min="14338" max="14338" width="15.7109375" bestFit="1" customWidth="1"/>
    <col min="14339" max="14339" width="17.28515625" bestFit="1" customWidth="1"/>
    <col min="14341" max="14341" width="2.28515625" customWidth="1"/>
    <col min="14342" max="14342" width="8.7109375" customWidth="1"/>
    <col min="14343" max="14343" width="3" customWidth="1"/>
    <col min="14344" max="14344" width="3.5703125" customWidth="1"/>
    <col min="14345" max="14345" width="19" bestFit="1" customWidth="1"/>
    <col min="14346" max="14346" width="17" customWidth="1"/>
    <col min="14347" max="14347" width="15.140625" bestFit="1" customWidth="1"/>
    <col min="14348" max="14348" width="15.28515625" bestFit="1" customWidth="1"/>
    <col min="14592" max="14592" width="50.42578125" bestFit="1" customWidth="1"/>
    <col min="14593" max="14593" width="24.5703125" bestFit="1" customWidth="1"/>
    <col min="14594" max="14594" width="15.7109375" bestFit="1" customWidth="1"/>
    <col min="14595" max="14595" width="17.28515625" bestFit="1" customWidth="1"/>
    <col min="14597" max="14597" width="2.28515625" customWidth="1"/>
    <col min="14598" max="14598" width="8.7109375" customWidth="1"/>
    <col min="14599" max="14599" width="3" customWidth="1"/>
    <col min="14600" max="14600" width="3.5703125" customWidth="1"/>
    <col min="14601" max="14601" width="19" bestFit="1" customWidth="1"/>
    <col min="14602" max="14602" width="17" customWidth="1"/>
    <col min="14603" max="14603" width="15.140625" bestFit="1" customWidth="1"/>
    <col min="14604" max="14604" width="15.28515625" bestFit="1" customWidth="1"/>
    <col min="14848" max="14848" width="50.42578125" bestFit="1" customWidth="1"/>
    <col min="14849" max="14849" width="24.5703125" bestFit="1" customWidth="1"/>
    <col min="14850" max="14850" width="15.7109375" bestFit="1" customWidth="1"/>
    <col min="14851" max="14851" width="17.28515625" bestFit="1" customWidth="1"/>
    <col min="14853" max="14853" width="2.28515625" customWidth="1"/>
    <col min="14854" max="14854" width="8.7109375" customWidth="1"/>
    <col min="14855" max="14855" width="3" customWidth="1"/>
    <col min="14856" max="14856" width="3.5703125" customWidth="1"/>
    <col min="14857" max="14857" width="19" bestFit="1" customWidth="1"/>
    <col min="14858" max="14858" width="17" customWidth="1"/>
    <col min="14859" max="14859" width="15.140625" bestFit="1" customWidth="1"/>
    <col min="14860" max="14860" width="15.28515625" bestFit="1" customWidth="1"/>
    <col min="15104" max="15104" width="50.42578125" bestFit="1" customWidth="1"/>
    <col min="15105" max="15105" width="24.5703125" bestFit="1" customWidth="1"/>
    <col min="15106" max="15106" width="15.7109375" bestFit="1" customWidth="1"/>
    <col min="15107" max="15107" width="17.28515625" bestFit="1" customWidth="1"/>
    <col min="15109" max="15109" width="2.28515625" customWidth="1"/>
    <col min="15110" max="15110" width="8.7109375" customWidth="1"/>
    <col min="15111" max="15111" width="3" customWidth="1"/>
    <col min="15112" max="15112" width="3.5703125" customWidth="1"/>
    <col min="15113" max="15113" width="19" bestFit="1" customWidth="1"/>
    <col min="15114" max="15114" width="17" customWidth="1"/>
    <col min="15115" max="15115" width="15.140625" bestFit="1" customWidth="1"/>
    <col min="15116" max="15116" width="15.28515625" bestFit="1" customWidth="1"/>
    <col min="15360" max="15360" width="50.42578125" bestFit="1" customWidth="1"/>
    <col min="15361" max="15361" width="24.5703125" bestFit="1" customWidth="1"/>
    <col min="15362" max="15362" width="15.7109375" bestFit="1" customWidth="1"/>
    <col min="15363" max="15363" width="17.28515625" bestFit="1" customWidth="1"/>
    <col min="15365" max="15365" width="2.28515625" customWidth="1"/>
    <col min="15366" max="15366" width="8.7109375" customWidth="1"/>
    <col min="15367" max="15367" width="3" customWidth="1"/>
    <col min="15368" max="15368" width="3.5703125" customWidth="1"/>
    <col min="15369" max="15369" width="19" bestFit="1" customWidth="1"/>
    <col min="15370" max="15370" width="17" customWidth="1"/>
    <col min="15371" max="15371" width="15.140625" bestFit="1" customWidth="1"/>
    <col min="15372" max="15372" width="15.28515625" bestFit="1" customWidth="1"/>
    <col min="15616" max="15616" width="50.42578125" bestFit="1" customWidth="1"/>
    <col min="15617" max="15617" width="24.5703125" bestFit="1" customWidth="1"/>
    <col min="15618" max="15618" width="15.7109375" bestFit="1" customWidth="1"/>
    <col min="15619" max="15619" width="17.28515625" bestFit="1" customWidth="1"/>
    <col min="15621" max="15621" width="2.28515625" customWidth="1"/>
    <col min="15622" max="15622" width="8.7109375" customWidth="1"/>
    <col min="15623" max="15623" width="3" customWidth="1"/>
    <col min="15624" max="15624" width="3.5703125" customWidth="1"/>
    <col min="15625" max="15625" width="19" bestFit="1" customWidth="1"/>
    <col min="15626" max="15626" width="17" customWidth="1"/>
    <col min="15627" max="15627" width="15.140625" bestFit="1" customWidth="1"/>
    <col min="15628" max="15628" width="15.28515625" bestFit="1" customWidth="1"/>
    <col min="15872" max="15872" width="50.42578125" bestFit="1" customWidth="1"/>
    <col min="15873" max="15873" width="24.5703125" bestFit="1" customWidth="1"/>
    <col min="15874" max="15874" width="15.7109375" bestFit="1" customWidth="1"/>
    <col min="15875" max="15875" width="17.28515625" bestFit="1" customWidth="1"/>
    <col min="15877" max="15877" width="2.28515625" customWidth="1"/>
    <col min="15878" max="15878" width="8.7109375" customWidth="1"/>
    <col min="15879" max="15879" width="3" customWidth="1"/>
    <col min="15880" max="15880" width="3.5703125" customWidth="1"/>
    <col min="15881" max="15881" width="19" bestFit="1" customWidth="1"/>
    <col min="15882" max="15882" width="17" customWidth="1"/>
    <col min="15883" max="15883" width="15.140625" bestFit="1" customWidth="1"/>
    <col min="15884" max="15884" width="15.28515625" bestFit="1" customWidth="1"/>
    <col min="16128" max="16128" width="50.42578125" bestFit="1" customWidth="1"/>
    <col min="16129" max="16129" width="24.5703125" bestFit="1" customWidth="1"/>
    <col min="16130" max="16130" width="15.7109375" bestFit="1" customWidth="1"/>
    <col min="16131" max="16131" width="17.28515625" bestFit="1" customWidth="1"/>
    <col min="16133" max="16133" width="2.28515625" customWidth="1"/>
    <col min="16134" max="16134" width="8.7109375" customWidth="1"/>
    <col min="16135" max="16135" width="3" customWidth="1"/>
    <col min="16136" max="16136" width="3.5703125" customWidth="1"/>
    <col min="16137" max="16137" width="19" bestFit="1" customWidth="1"/>
    <col min="16138" max="16138" width="17" customWidth="1"/>
    <col min="16139" max="16139" width="15.140625" bestFit="1" customWidth="1"/>
    <col min="16140" max="16140" width="15.28515625" bestFit="1" customWidth="1"/>
  </cols>
  <sheetData>
    <row r="2" spans="1:10" x14ac:dyDescent="0.25">
      <c r="A2" s="1017" t="s">
        <v>927</v>
      </c>
      <c r="B2" s="709"/>
      <c r="C2" s="709"/>
      <c r="D2" s="709"/>
      <c r="E2" s="709"/>
      <c r="F2" s="709"/>
      <c r="G2" s="709"/>
    </row>
    <row r="4" spans="1:10" x14ac:dyDescent="0.25">
      <c r="B4" s="1184" t="s">
        <v>928</v>
      </c>
      <c r="C4" s="1184"/>
      <c r="D4" s="1184"/>
      <c r="E4" s="1184"/>
      <c r="F4" s="1184"/>
      <c r="G4" s="1184"/>
      <c r="J4" s="306" t="s">
        <v>929</v>
      </c>
    </row>
    <row r="5" spans="1:10" x14ac:dyDescent="0.25">
      <c r="A5" t="s">
        <v>522</v>
      </c>
      <c r="B5" s="553" t="s">
        <v>523</v>
      </c>
      <c r="C5" s="553" t="s">
        <v>308</v>
      </c>
      <c r="D5" s="553" t="s">
        <v>524</v>
      </c>
    </row>
    <row r="6" spans="1:10" x14ac:dyDescent="0.25">
      <c r="A6" t="s">
        <v>525</v>
      </c>
      <c r="B6" s="553">
        <v>30000</v>
      </c>
      <c r="D6" s="553">
        <f>B6</f>
        <v>30000</v>
      </c>
      <c r="E6" s="709" t="s">
        <v>526</v>
      </c>
      <c r="F6" s="709"/>
      <c r="G6" s="709" t="s">
        <v>308</v>
      </c>
      <c r="H6" s="709"/>
      <c r="J6" s="306">
        <v>30000</v>
      </c>
    </row>
    <row r="7" spans="1:10" x14ac:dyDescent="0.25">
      <c r="A7" t="s">
        <v>527</v>
      </c>
      <c r="B7" s="378">
        <v>36000</v>
      </c>
      <c r="C7" s="384"/>
      <c r="D7" s="553">
        <f>B7</f>
        <v>36000</v>
      </c>
      <c r="E7" s="518" t="s">
        <v>528</v>
      </c>
      <c r="F7" s="518"/>
      <c r="G7" s="518"/>
      <c r="H7" s="518"/>
      <c r="J7" s="306">
        <v>36000</v>
      </c>
    </row>
    <row r="8" spans="1:10" x14ac:dyDescent="0.25">
      <c r="A8" t="s">
        <v>529</v>
      </c>
      <c r="B8" s="494">
        <v>600000</v>
      </c>
      <c r="C8" s="384"/>
      <c r="D8" s="553">
        <f>B8</f>
        <v>600000</v>
      </c>
      <c r="E8" s="518" t="s">
        <v>528</v>
      </c>
      <c r="F8" s="518"/>
      <c r="G8" s="518"/>
      <c r="H8" s="518"/>
      <c r="J8" s="306">
        <v>600000</v>
      </c>
    </row>
    <row r="9" spans="1:10" x14ac:dyDescent="0.25">
      <c r="A9" t="s">
        <v>530</v>
      </c>
      <c r="B9" s="378">
        <v>737008</v>
      </c>
      <c r="C9" s="378">
        <f>B9*0.27</f>
        <v>198992.16</v>
      </c>
      <c r="D9" s="553">
        <f>B9+C9</f>
        <v>936000.16</v>
      </c>
      <c r="E9" s="518" t="s">
        <v>528</v>
      </c>
      <c r="F9" s="518"/>
      <c r="G9" s="518" t="s">
        <v>531</v>
      </c>
      <c r="H9" s="518"/>
      <c r="J9" s="306">
        <v>936000</v>
      </c>
    </row>
    <row r="10" spans="1:10" x14ac:dyDescent="0.25">
      <c r="A10" t="s">
        <v>532</v>
      </c>
      <c r="B10" s="378">
        <v>104700</v>
      </c>
      <c r="C10" s="384"/>
      <c r="D10" s="553">
        <f>B10</f>
        <v>104700</v>
      </c>
      <c r="E10" s="518" t="s">
        <v>528</v>
      </c>
      <c r="F10" s="518"/>
      <c r="G10" s="518"/>
      <c r="H10" s="518"/>
      <c r="J10" s="306">
        <v>104700</v>
      </c>
    </row>
    <row r="11" spans="1:10" x14ac:dyDescent="0.25">
      <c r="A11" t="s">
        <v>533</v>
      </c>
      <c r="B11" s="378">
        <v>200000</v>
      </c>
      <c r="C11" s="384"/>
      <c r="D11" s="553">
        <f>B11</f>
        <v>200000</v>
      </c>
      <c r="E11" s="518" t="s">
        <v>528</v>
      </c>
      <c r="F11" s="518"/>
      <c r="G11" s="518"/>
      <c r="H11" s="518"/>
      <c r="J11" s="306">
        <v>200000</v>
      </c>
    </row>
    <row r="12" spans="1:10" x14ac:dyDescent="0.25">
      <c r="A12" t="s">
        <v>534</v>
      </c>
      <c r="B12" s="378">
        <v>200000</v>
      </c>
      <c r="C12" s="384"/>
      <c r="D12" s="553">
        <v>200000</v>
      </c>
      <c r="E12" s="518" t="s">
        <v>528</v>
      </c>
      <c r="F12" s="518"/>
      <c r="G12" s="518"/>
      <c r="H12" s="518"/>
      <c r="J12" s="306">
        <v>200000</v>
      </c>
    </row>
    <row r="13" spans="1:10" ht="15.75" thickBot="1" x14ac:dyDescent="0.3">
      <c r="A13" t="s">
        <v>535</v>
      </c>
      <c r="B13" s="378">
        <v>1300000</v>
      </c>
      <c r="C13" s="384"/>
      <c r="D13" s="553">
        <v>1300000</v>
      </c>
      <c r="E13" s="518"/>
      <c r="F13" s="518"/>
      <c r="G13" s="518"/>
      <c r="H13" s="518"/>
      <c r="J13" s="306">
        <v>1300000</v>
      </c>
    </row>
    <row r="14" spans="1:10" s="391" customFormat="1" ht="19.5" thickBot="1" x14ac:dyDescent="0.35">
      <c r="B14" s="653">
        <f>SUM(B6:B13)</f>
        <v>3207708</v>
      </c>
      <c r="C14" s="653">
        <f>SUM(C7:C12)</f>
        <v>198992.16</v>
      </c>
      <c r="D14" s="653">
        <f>SUM(D6:D13)</f>
        <v>3406700.16</v>
      </c>
      <c r="E14" s="490"/>
      <c r="F14" s="490"/>
      <c r="G14" s="490"/>
      <c r="H14" s="490"/>
      <c r="J14" s="654">
        <f>SUM(J6:J13)</f>
        <v>3406700</v>
      </c>
    </row>
    <row r="15" spans="1:10" x14ac:dyDescent="0.25">
      <c r="E15" s="518"/>
      <c r="F15" s="518"/>
      <c r="G15" s="518"/>
      <c r="H15" s="518"/>
    </row>
    <row r="16" spans="1:10" x14ac:dyDescent="0.25">
      <c r="E16" s="709" t="s">
        <v>526</v>
      </c>
      <c r="F16" s="709"/>
      <c r="G16" s="709" t="s">
        <v>308</v>
      </c>
      <c r="H16" s="709"/>
    </row>
    <row r="17" spans="1:11" x14ac:dyDescent="0.25">
      <c r="A17" t="s">
        <v>536</v>
      </c>
      <c r="B17" s="378">
        <v>88828</v>
      </c>
      <c r="C17" s="378">
        <f>B17*27%</f>
        <v>23983.56</v>
      </c>
      <c r="D17" s="378">
        <f>+B17+C17</f>
        <v>112811.56</v>
      </c>
      <c r="E17" s="518" t="s">
        <v>537</v>
      </c>
      <c r="F17" s="518"/>
      <c r="G17" s="518" t="s">
        <v>531</v>
      </c>
      <c r="H17" s="518"/>
    </row>
    <row r="18" spans="1:11" x14ac:dyDescent="0.25">
      <c r="A18" t="s">
        <v>538</v>
      </c>
      <c r="B18" s="378">
        <v>3285625</v>
      </c>
      <c r="C18" s="378">
        <v>1063423</v>
      </c>
      <c r="D18" s="378">
        <f>+B18+C18</f>
        <v>4349048</v>
      </c>
      <c r="E18" s="518" t="s">
        <v>537</v>
      </c>
      <c r="F18" s="518"/>
      <c r="G18" s="518" t="s">
        <v>531</v>
      </c>
      <c r="H18" s="518"/>
    </row>
    <row r="19" spans="1:11" x14ac:dyDescent="0.25">
      <c r="A19" t="s">
        <v>539</v>
      </c>
      <c r="B19" s="378">
        <v>5630870</v>
      </c>
      <c r="C19" s="378">
        <f>B19*27%</f>
        <v>1520334.9000000001</v>
      </c>
      <c r="D19" s="553">
        <f>SUM(B19:C19)</f>
        <v>7151204.9000000004</v>
      </c>
      <c r="E19" s="518" t="s">
        <v>537</v>
      </c>
      <c r="F19" s="518"/>
      <c r="G19" s="518" t="s">
        <v>531</v>
      </c>
      <c r="H19" s="518"/>
    </row>
    <row r="20" spans="1:11" ht="15.75" thickBot="1" x14ac:dyDescent="0.3">
      <c r="A20" t="s">
        <v>831</v>
      </c>
      <c r="J20" s="306">
        <v>0</v>
      </c>
      <c r="K20" s="141"/>
    </row>
    <row r="21" spans="1:11" ht="16.5" thickBot="1" x14ac:dyDescent="0.3">
      <c r="A21" t="s">
        <v>581</v>
      </c>
      <c r="B21" s="392">
        <f>SUM(B17:B20)</f>
        <v>9005323</v>
      </c>
      <c r="C21" s="392">
        <f>SUM(C17:C20)</f>
        <v>2607741.46</v>
      </c>
      <c r="D21" s="392">
        <f>SUM(D17:D20)</f>
        <v>11613064.460000001</v>
      </c>
      <c r="J21" s="306">
        <v>11613064</v>
      </c>
    </row>
    <row r="22" spans="1:11" s="391" customFormat="1" ht="15.75" x14ac:dyDescent="0.25">
      <c r="B22" s="655"/>
      <c r="C22" s="655"/>
      <c r="D22" s="653">
        <f>+D21+D14</f>
        <v>15019764.620000001</v>
      </c>
      <c r="J22" s="491"/>
    </row>
    <row r="23" spans="1:11" ht="15" customHeight="1" x14ac:dyDescent="0.25">
      <c r="D23" s="142"/>
    </row>
    <row r="25" spans="1:11" x14ac:dyDescent="0.25">
      <c r="A25" t="s">
        <v>464</v>
      </c>
      <c r="D25" s="306">
        <v>2607741</v>
      </c>
      <c r="E25" t="s">
        <v>531</v>
      </c>
      <c r="J25" s="306">
        <v>2607741</v>
      </c>
    </row>
    <row r="26" spans="1:11" x14ac:dyDescent="0.25">
      <c r="A26" t="s">
        <v>540</v>
      </c>
    </row>
    <row r="27" spans="1:11" x14ac:dyDescent="0.25">
      <c r="A27" t="s">
        <v>541</v>
      </c>
    </row>
    <row r="28" spans="1:11" x14ac:dyDescent="0.25">
      <c r="A28" t="s">
        <v>542</v>
      </c>
      <c r="C28" s="553">
        <f>+C27-C25</f>
        <v>0</v>
      </c>
      <c r="D28" s="495">
        <v>1000000</v>
      </c>
      <c r="E28" s="656" t="s">
        <v>543</v>
      </c>
      <c r="J28" s="306">
        <v>1000000</v>
      </c>
    </row>
    <row r="29" spans="1:11" x14ac:dyDescent="0.25">
      <c r="A29" t="s">
        <v>544</v>
      </c>
      <c r="D29" s="378">
        <v>0</v>
      </c>
    </row>
    <row r="30" spans="1:11" s="391" customFormat="1" ht="15.75" x14ac:dyDescent="0.25">
      <c r="A30" s="391" t="s">
        <v>545</v>
      </c>
      <c r="B30" s="655"/>
      <c r="C30" s="655"/>
      <c r="D30" s="653">
        <f>D29+D28</f>
        <v>1000000</v>
      </c>
      <c r="J30" s="491">
        <f>J28</f>
        <v>1000000</v>
      </c>
    </row>
    <row r="31" spans="1:11" ht="15.75" x14ac:dyDescent="0.25">
      <c r="D31" s="142"/>
    </row>
    <row r="32" spans="1:11" x14ac:dyDescent="0.25">
      <c r="A32" t="s">
        <v>546</v>
      </c>
      <c r="B32" s="553">
        <v>1500000</v>
      </c>
      <c r="D32" s="553">
        <f>+B32+C32</f>
        <v>1500000</v>
      </c>
      <c r="E32" t="s">
        <v>547</v>
      </c>
      <c r="J32" s="306">
        <v>1500000</v>
      </c>
    </row>
    <row r="33" spans="1:10" x14ac:dyDescent="0.25">
      <c r="A33" t="s">
        <v>548</v>
      </c>
      <c r="B33" s="553">
        <v>1900000</v>
      </c>
      <c r="D33" s="553">
        <f>+B33+C33</f>
        <v>1900000</v>
      </c>
      <c r="E33" t="s">
        <v>549</v>
      </c>
      <c r="J33" s="306">
        <v>1900000</v>
      </c>
    </row>
    <row r="34" spans="1:10" x14ac:dyDescent="0.25">
      <c r="A34" t="s">
        <v>550</v>
      </c>
      <c r="C34" s="553">
        <f>+B34*0.27</f>
        <v>0</v>
      </c>
      <c r="D34" s="553">
        <f>+B34+C34</f>
        <v>0</v>
      </c>
      <c r="E34" t="s">
        <v>549</v>
      </c>
      <c r="G34" t="s">
        <v>531</v>
      </c>
    </row>
    <row r="35" spans="1:10" x14ac:dyDescent="0.25">
      <c r="A35" t="s">
        <v>551</v>
      </c>
      <c r="B35" s="553">
        <v>949298</v>
      </c>
      <c r="D35" s="553">
        <f>+B35+C35</f>
        <v>949298</v>
      </c>
      <c r="E35" t="s">
        <v>549</v>
      </c>
      <c r="J35" s="306">
        <v>949298</v>
      </c>
    </row>
    <row r="36" spans="1:10" s="659" customFormat="1" x14ac:dyDescent="0.25">
      <c r="A36" s="657" t="s">
        <v>552</v>
      </c>
      <c r="B36" s="385">
        <f>SUM(B32:B35)</f>
        <v>4349298</v>
      </c>
      <c r="C36" s="386">
        <f>SUM(C32:C35)</f>
        <v>0</v>
      </c>
      <c r="D36" s="658">
        <f>SUM(D32:D35)</f>
        <v>4349298</v>
      </c>
      <c r="J36" s="660">
        <f>J32+J33+J35</f>
        <v>4349298</v>
      </c>
    </row>
    <row r="37" spans="1:10" s="659" customFormat="1" x14ac:dyDescent="0.25">
      <c r="A37" s="657"/>
      <c r="B37" s="386"/>
      <c r="C37" s="386"/>
      <c r="D37" s="658"/>
      <c r="J37" s="660"/>
    </row>
    <row r="38" spans="1:10" ht="15.75" x14ac:dyDescent="0.25">
      <c r="A38" s="387"/>
      <c r="D38" s="388"/>
    </row>
    <row r="39" spans="1:10" s="391" customFormat="1" ht="15.75" x14ac:dyDescent="0.25">
      <c r="A39" s="391" t="s">
        <v>553</v>
      </c>
      <c r="B39" s="653">
        <f>B40+B41</f>
        <v>401664135</v>
      </c>
      <c r="C39" s="655" t="s">
        <v>554</v>
      </c>
      <c r="D39" s="655"/>
      <c r="J39" s="491">
        <f>J40+J41</f>
        <v>401664135</v>
      </c>
    </row>
    <row r="40" spans="1:10" ht="15.75" x14ac:dyDescent="0.25">
      <c r="A40" t="s">
        <v>555</v>
      </c>
      <c r="B40" s="142">
        <v>160075</v>
      </c>
      <c r="J40" s="306">
        <v>160075</v>
      </c>
    </row>
    <row r="41" spans="1:10" x14ac:dyDescent="0.25">
      <c r="A41" t="s">
        <v>556</v>
      </c>
      <c r="B41" s="553">
        <v>401504060</v>
      </c>
      <c r="J41" s="306">
        <v>401504060</v>
      </c>
    </row>
    <row r="43" spans="1:10" s="312" customFormat="1" ht="15.75" x14ac:dyDescent="0.25">
      <c r="A43" s="312" t="s">
        <v>832</v>
      </c>
      <c r="B43" s="496"/>
      <c r="C43" s="496"/>
      <c r="D43" s="496"/>
      <c r="J43" s="492">
        <v>405607624</v>
      </c>
    </row>
    <row r="45" spans="1:10" ht="15.75" thickBot="1" x14ac:dyDescent="0.3">
      <c r="A45" t="s">
        <v>557</v>
      </c>
      <c r="C45" s="553" t="s">
        <v>558</v>
      </c>
      <c r="J45" s="306">
        <v>3518600</v>
      </c>
    </row>
    <row r="46" spans="1:10" x14ac:dyDescent="0.25">
      <c r="A46" s="29" t="s">
        <v>559</v>
      </c>
      <c r="B46" s="389">
        <f>B47+B48+B49+B50</f>
        <v>3518600</v>
      </c>
      <c r="C46" s="661"/>
    </row>
    <row r="47" spans="1:10" x14ac:dyDescent="0.25">
      <c r="A47" t="s">
        <v>560</v>
      </c>
      <c r="B47" s="662">
        <v>1376000</v>
      </c>
    </row>
    <row r="48" spans="1:10" x14ac:dyDescent="0.25">
      <c r="A48" t="s">
        <v>561</v>
      </c>
      <c r="B48" s="662">
        <v>570600</v>
      </c>
    </row>
    <row r="49" spans="1:10" x14ac:dyDescent="0.25">
      <c r="A49" t="s">
        <v>691</v>
      </c>
      <c r="B49" s="662">
        <f>106000*12</f>
        <v>1272000</v>
      </c>
    </row>
    <row r="50" spans="1:10" x14ac:dyDescent="0.25">
      <c r="A50" t="s">
        <v>562</v>
      </c>
      <c r="B50" s="390">
        <v>300000</v>
      </c>
    </row>
    <row r="51" spans="1:10" x14ac:dyDescent="0.25">
      <c r="B51" s="494"/>
    </row>
    <row r="54" spans="1:10" x14ac:dyDescent="0.25">
      <c r="A54" s="553" t="s">
        <v>48</v>
      </c>
      <c r="C54"/>
      <c r="D54"/>
    </row>
    <row r="55" spans="1:10" x14ac:dyDescent="0.25">
      <c r="A55" t="s">
        <v>563</v>
      </c>
      <c r="B55" s="306">
        <v>3500000</v>
      </c>
      <c r="C55" t="s">
        <v>564</v>
      </c>
      <c r="J55" s="306">
        <v>3500000</v>
      </c>
    </row>
    <row r="56" spans="1:10" x14ac:dyDescent="0.25">
      <c r="A56" t="s">
        <v>692</v>
      </c>
      <c r="B56" s="306">
        <v>8200000</v>
      </c>
      <c r="C56" t="s">
        <v>565</v>
      </c>
      <c r="J56" s="306">
        <v>8200000</v>
      </c>
    </row>
    <row r="57" spans="1:10" x14ac:dyDescent="0.25">
      <c r="A57" t="s">
        <v>566</v>
      </c>
      <c r="B57" s="306">
        <v>25000000</v>
      </c>
      <c r="C57" t="s">
        <v>567</v>
      </c>
      <c r="J57" s="306">
        <v>25000000</v>
      </c>
    </row>
    <row r="58" spans="1:10" x14ac:dyDescent="0.25">
      <c r="A58" t="s">
        <v>568</v>
      </c>
      <c r="B58" s="306">
        <v>800000</v>
      </c>
      <c r="C58" t="s">
        <v>569</v>
      </c>
      <c r="J58" s="306">
        <v>800000</v>
      </c>
    </row>
    <row r="59" spans="1:10" x14ac:dyDescent="0.25">
      <c r="A59" t="s">
        <v>570</v>
      </c>
      <c r="B59" s="306">
        <v>5500000</v>
      </c>
      <c r="C59" t="s">
        <v>571</v>
      </c>
      <c r="J59" s="306">
        <v>0</v>
      </c>
    </row>
    <row r="60" spans="1:10" x14ac:dyDescent="0.25">
      <c r="A60" t="s">
        <v>572</v>
      </c>
      <c r="B60" s="306"/>
      <c r="C60" t="s">
        <v>573</v>
      </c>
    </row>
    <row r="61" spans="1:10" x14ac:dyDescent="0.25">
      <c r="A61" t="s">
        <v>574</v>
      </c>
      <c r="B61" s="306"/>
      <c r="C61" t="s">
        <v>575</v>
      </c>
    </row>
    <row r="62" spans="1:10" x14ac:dyDescent="0.25">
      <c r="A62" t="s">
        <v>693</v>
      </c>
      <c r="B62" s="306">
        <v>500000</v>
      </c>
      <c r="C62" t="s">
        <v>575</v>
      </c>
      <c r="J62" s="306">
        <v>500000</v>
      </c>
    </row>
    <row r="63" spans="1:10" x14ac:dyDescent="0.25">
      <c r="A63" t="s">
        <v>576</v>
      </c>
      <c r="B63" s="306">
        <v>80000</v>
      </c>
      <c r="C63" t="s">
        <v>577</v>
      </c>
      <c r="J63" s="306">
        <v>80000</v>
      </c>
    </row>
    <row r="64" spans="1:10" x14ac:dyDescent="0.25">
      <c r="A64" t="s">
        <v>578</v>
      </c>
      <c r="B64" s="306">
        <v>5000</v>
      </c>
      <c r="C64" t="s">
        <v>575</v>
      </c>
      <c r="J64" s="306">
        <v>5000</v>
      </c>
    </row>
    <row r="65" spans="1:10" x14ac:dyDescent="0.25">
      <c r="A65" t="s">
        <v>579</v>
      </c>
      <c r="B65" s="306">
        <v>800000</v>
      </c>
      <c r="C65" t="s">
        <v>569</v>
      </c>
      <c r="J65" s="306">
        <v>800000</v>
      </c>
    </row>
    <row r="66" spans="1:10" s="391" customFormat="1" ht="15.75" x14ac:dyDescent="0.25">
      <c r="A66" s="659" t="s">
        <v>580</v>
      </c>
      <c r="B66" s="653">
        <f>SUM(B55:B65)</f>
        <v>44385000</v>
      </c>
      <c r="D66" s="386">
        <f>SUM(D55:D64)</f>
        <v>0</v>
      </c>
      <c r="J66" s="653">
        <f>SUM(J55:J65)</f>
        <v>38885000</v>
      </c>
    </row>
    <row r="67" spans="1:10" ht="15.75" x14ac:dyDescent="0.25">
      <c r="B67" s="142">
        <f>B66+D66</f>
        <v>44385000</v>
      </c>
      <c r="C67"/>
      <c r="D67"/>
    </row>
    <row r="68" spans="1:10" x14ac:dyDescent="0.25">
      <c r="C68"/>
      <c r="D68"/>
    </row>
    <row r="69" spans="1:10" x14ac:dyDescent="0.25">
      <c r="A69" t="s">
        <v>930</v>
      </c>
      <c r="C69" s="553" t="s">
        <v>931</v>
      </c>
      <c r="J69" s="306">
        <v>2000</v>
      </c>
    </row>
    <row r="70" spans="1:10" s="307" customFormat="1" x14ac:dyDescent="0.25">
      <c r="B70" s="663"/>
      <c r="C70" s="663"/>
      <c r="D70" s="663"/>
      <c r="J70" s="613"/>
    </row>
    <row r="71" spans="1:10" x14ac:dyDescent="0.25">
      <c r="A71" t="s">
        <v>820</v>
      </c>
      <c r="C71" s="553" t="s">
        <v>932</v>
      </c>
      <c r="J71" s="306">
        <v>7289</v>
      </c>
    </row>
  </sheetData>
  <mergeCells count="6">
    <mergeCell ref="E16:F16"/>
    <mergeCell ref="G16:H16"/>
    <mergeCell ref="A2:G2"/>
    <mergeCell ref="B4:G4"/>
    <mergeCell ref="E6:F6"/>
    <mergeCell ref="G6:H6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7030A0"/>
  </sheetPr>
  <dimension ref="A1:AG50"/>
  <sheetViews>
    <sheetView topLeftCell="A25" workbookViewId="0">
      <selection activeCell="F9" sqref="F9"/>
    </sheetView>
  </sheetViews>
  <sheetFormatPr defaultRowHeight="15" x14ac:dyDescent="0.25"/>
  <cols>
    <col min="1" max="1" width="95.85546875" bestFit="1" customWidth="1"/>
    <col min="2" max="2" width="22.28515625" style="553" bestFit="1" customWidth="1"/>
    <col min="3" max="3" width="16.7109375" customWidth="1"/>
    <col min="5" max="5" width="18.42578125" style="306" bestFit="1" customWidth="1"/>
    <col min="6" max="6" width="18.42578125" style="406" bestFit="1" customWidth="1"/>
    <col min="256" max="256" width="95.85546875" bestFit="1" customWidth="1"/>
    <col min="257" max="257" width="22.28515625" bestFit="1" customWidth="1"/>
    <col min="258" max="258" width="16.7109375" customWidth="1"/>
    <col min="260" max="260" width="18.42578125" bestFit="1" customWidth="1"/>
    <col min="261" max="261" width="17" bestFit="1" customWidth="1"/>
    <col min="262" max="262" width="18.42578125" bestFit="1" customWidth="1"/>
    <col min="512" max="512" width="95.85546875" bestFit="1" customWidth="1"/>
    <col min="513" max="513" width="22.28515625" bestFit="1" customWidth="1"/>
    <col min="514" max="514" width="16.7109375" customWidth="1"/>
    <col min="516" max="516" width="18.42578125" bestFit="1" customWidth="1"/>
    <col min="517" max="517" width="17" bestFit="1" customWidth="1"/>
    <col min="518" max="518" width="18.42578125" bestFit="1" customWidth="1"/>
    <col min="768" max="768" width="95.85546875" bestFit="1" customWidth="1"/>
    <col min="769" max="769" width="22.28515625" bestFit="1" customWidth="1"/>
    <col min="770" max="770" width="16.7109375" customWidth="1"/>
    <col min="772" max="772" width="18.42578125" bestFit="1" customWidth="1"/>
    <col min="773" max="773" width="17" bestFit="1" customWidth="1"/>
    <col min="774" max="774" width="18.42578125" bestFit="1" customWidth="1"/>
    <col min="1024" max="1024" width="95.85546875" bestFit="1" customWidth="1"/>
    <col min="1025" max="1025" width="22.28515625" bestFit="1" customWidth="1"/>
    <col min="1026" max="1026" width="16.7109375" customWidth="1"/>
    <col min="1028" max="1028" width="18.42578125" bestFit="1" customWidth="1"/>
    <col min="1029" max="1029" width="17" bestFit="1" customWidth="1"/>
    <col min="1030" max="1030" width="18.42578125" bestFit="1" customWidth="1"/>
    <col min="1280" max="1280" width="95.85546875" bestFit="1" customWidth="1"/>
    <col min="1281" max="1281" width="22.28515625" bestFit="1" customWidth="1"/>
    <col min="1282" max="1282" width="16.7109375" customWidth="1"/>
    <col min="1284" max="1284" width="18.42578125" bestFit="1" customWidth="1"/>
    <col min="1285" max="1285" width="17" bestFit="1" customWidth="1"/>
    <col min="1286" max="1286" width="18.42578125" bestFit="1" customWidth="1"/>
    <col min="1536" max="1536" width="95.85546875" bestFit="1" customWidth="1"/>
    <col min="1537" max="1537" width="22.28515625" bestFit="1" customWidth="1"/>
    <col min="1538" max="1538" width="16.7109375" customWidth="1"/>
    <col min="1540" max="1540" width="18.42578125" bestFit="1" customWidth="1"/>
    <col min="1541" max="1541" width="17" bestFit="1" customWidth="1"/>
    <col min="1542" max="1542" width="18.42578125" bestFit="1" customWidth="1"/>
    <col min="1792" max="1792" width="95.85546875" bestFit="1" customWidth="1"/>
    <col min="1793" max="1793" width="22.28515625" bestFit="1" customWidth="1"/>
    <col min="1794" max="1794" width="16.7109375" customWidth="1"/>
    <col min="1796" max="1796" width="18.42578125" bestFit="1" customWidth="1"/>
    <col min="1797" max="1797" width="17" bestFit="1" customWidth="1"/>
    <col min="1798" max="1798" width="18.42578125" bestFit="1" customWidth="1"/>
    <col min="2048" max="2048" width="95.85546875" bestFit="1" customWidth="1"/>
    <col min="2049" max="2049" width="22.28515625" bestFit="1" customWidth="1"/>
    <col min="2050" max="2050" width="16.7109375" customWidth="1"/>
    <col min="2052" max="2052" width="18.42578125" bestFit="1" customWidth="1"/>
    <col min="2053" max="2053" width="17" bestFit="1" customWidth="1"/>
    <col min="2054" max="2054" width="18.42578125" bestFit="1" customWidth="1"/>
    <col min="2304" max="2304" width="95.85546875" bestFit="1" customWidth="1"/>
    <col min="2305" max="2305" width="22.28515625" bestFit="1" customWidth="1"/>
    <col min="2306" max="2306" width="16.7109375" customWidth="1"/>
    <col min="2308" max="2308" width="18.42578125" bestFit="1" customWidth="1"/>
    <col min="2309" max="2309" width="17" bestFit="1" customWidth="1"/>
    <col min="2310" max="2310" width="18.42578125" bestFit="1" customWidth="1"/>
    <col min="2560" max="2560" width="95.85546875" bestFit="1" customWidth="1"/>
    <col min="2561" max="2561" width="22.28515625" bestFit="1" customWidth="1"/>
    <col min="2562" max="2562" width="16.7109375" customWidth="1"/>
    <col min="2564" max="2564" width="18.42578125" bestFit="1" customWidth="1"/>
    <col min="2565" max="2565" width="17" bestFit="1" customWidth="1"/>
    <col min="2566" max="2566" width="18.42578125" bestFit="1" customWidth="1"/>
    <col min="2816" max="2816" width="95.85546875" bestFit="1" customWidth="1"/>
    <col min="2817" max="2817" width="22.28515625" bestFit="1" customWidth="1"/>
    <col min="2818" max="2818" width="16.7109375" customWidth="1"/>
    <col min="2820" max="2820" width="18.42578125" bestFit="1" customWidth="1"/>
    <col min="2821" max="2821" width="17" bestFit="1" customWidth="1"/>
    <col min="2822" max="2822" width="18.42578125" bestFit="1" customWidth="1"/>
    <col min="3072" max="3072" width="95.85546875" bestFit="1" customWidth="1"/>
    <col min="3073" max="3073" width="22.28515625" bestFit="1" customWidth="1"/>
    <col min="3074" max="3074" width="16.7109375" customWidth="1"/>
    <col min="3076" max="3076" width="18.42578125" bestFit="1" customWidth="1"/>
    <col min="3077" max="3077" width="17" bestFit="1" customWidth="1"/>
    <col min="3078" max="3078" width="18.42578125" bestFit="1" customWidth="1"/>
    <col min="3328" max="3328" width="95.85546875" bestFit="1" customWidth="1"/>
    <col min="3329" max="3329" width="22.28515625" bestFit="1" customWidth="1"/>
    <col min="3330" max="3330" width="16.7109375" customWidth="1"/>
    <col min="3332" max="3332" width="18.42578125" bestFit="1" customWidth="1"/>
    <col min="3333" max="3333" width="17" bestFit="1" customWidth="1"/>
    <col min="3334" max="3334" width="18.42578125" bestFit="1" customWidth="1"/>
    <col min="3584" max="3584" width="95.85546875" bestFit="1" customWidth="1"/>
    <col min="3585" max="3585" width="22.28515625" bestFit="1" customWidth="1"/>
    <col min="3586" max="3586" width="16.7109375" customWidth="1"/>
    <col min="3588" max="3588" width="18.42578125" bestFit="1" customWidth="1"/>
    <col min="3589" max="3589" width="17" bestFit="1" customWidth="1"/>
    <col min="3590" max="3590" width="18.42578125" bestFit="1" customWidth="1"/>
    <col min="3840" max="3840" width="95.85546875" bestFit="1" customWidth="1"/>
    <col min="3841" max="3841" width="22.28515625" bestFit="1" customWidth="1"/>
    <col min="3842" max="3842" width="16.7109375" customWidth="1"/>
    <col min="3844" max="3844" width="18.42578125" bestFit="1" customWidth="1"/>
    <col min="3845" max="3845" width="17" bestFit="1" customWidth="1"/>
    <col min="3846" max="3846" width="18.42578125" bestFit="1" customWidth="1"/>
    <col min="4096" max="4096" width="95.85546875" bestFit="1" customWidth="1"/>
    <col min="4097" max="4097" width="22.28515625" bestFit="1" customWidth="1"/>
    <col min="4098" max="4098" width="16.7109375" customWidth="1"/>
    <col min="4100" max="4100" width="18.42578125" bestFit="1" customWidth="1"/>
    <col min="4101" max="4101" width="17" bestFit="1" customWidth="1"/>
    <col min="4102" max="4102" width="18.42578125" bestFit="1" customWidth="1"/>
    <col min="4352" max="4352" width="95.85546875" bestFit="1" customWidth="1"/>
    <col min="4353" max="4353" width="22.28515625" bestFit="1" customWidth="1"/>
    <col min="4354" max="4354" width="16.7109375" customWidth="1"/>
    <col min="4356" max="4356" width="18.42578125" bestFit="1" customWidth="1"/>
    <col min="4357" max="4357" width="17" bestFit="1" customWidth="1"/>
    <col min="4358" max="4358" width="18.42578125" bestFit="1" customWidth="1"/>
    <col min="4608" max="4608" width="95.85546875" bestFit="1" customWidth="1"/>
    <col min="4609" max="4609" width="22.28515625" bestFit="1" customWidth="1"/>
    <col min="4610" max="4610" width="16.7109375" customWidth="1"/>
    <col min="4612" max="4612" width="18.42578125" bestFit="1" customWidth="1"/>
    <col min="4613" max="4613" width="17" bestFit="1" customWidth="1"/>
    <col min="4614" max="4614" width="18.42578125" bestFit="1" customWidth="1"/>
    <col min="4864" max="4864" width="95.85546875" bestFit="1" customWidth="1"/>
    <col min="4865" max="4865" width="22.28515625" bestFit="1" customWidth="1"/>
    <col min="4866" max="4866" width="16.7109375" customWidth="1"/>
    <col min="4868" max="4868" width="18.42578125" bestFit="1" customWidth="1"/>
    <col min="4869" max="4869" width="17" bestFit="1" customWidth="1"/>
    <col min="4870" max="4870" width="18.42578125" bestFit="1" customWidth="1"/>
    <col min="5120" max="5120" width="95.85546875" bestFit="1" customWidth="1"/>
    <col min="5121" max="5121" width="22.28515625" bestFit="1" customWidth="1"/>
    <col min="5122" max="5122" width="16.7109375" customWidth="1"/>
    <col min="5124" max="5124" width="18.42578125" bestFit="1" customWidth="1"/>
    <col min="5125" max="5125" width="17" bestFit="1" customWidth="1"/>
    <col min="5126" max="5126" width="18.42578125" bestFit="1" customWidth="1"/>
    <col min="5376" max="5376" width="95.85546875" bestFit="1" customWidth="1"/>
    <col min="5377" max="5377" width="22.28515625" bestFit="1" customWidth="1"/>
    <col min="5378" max="5378" width="16.7109375" customWidth="1"/>
    <col min="5380" max="5380" width="18.42578125" bestFit="1" customWidth="1"/>
    <col min="5381" max="5381" width="17" bestFit="1" customWidth="1"/>
    <col min="5382" max="5382" width="18.42578125" bestFit="1" customWidth="1"/>
    <col min="5632" max="5632" width="95.85546875" bestFit="1" customWidth="1"/>
    <col min="5633" max="5633" width="22.28515625" bestFit="1" customWidth="1"/>
    <col min="5634" max="5634" width="16.7109375" customWidth="1"/>
    <col min="5636" max="5636" width="18.42578125" bestFit="1" customWidth="1"/>
    <col min="5637" max="5637" width="17" bestFit="1" customWidth="1"/>
    <col min="5638" max="5638" width="18.42578125" bestFit="1" customWidth="1"/>
    <col min="5888" max="5888" width="95.85546875" bestFit="1" customWidth="1"/>
    <col min="5889" max="5889" width="22.28515625" bestFit="1" customWidth="1"/>
    <col min="5890" max="5890" width="16.7109375" customWidth="1"/>
    <col min="5892" max="5892" width="18.42578125" bestFit="1" customWidth="1"/>
    <col min="5893" max="5893" width="17" bestFit="1" customWidth="1"/>
    <col min="5894" max="5894" width="18.42578125" bestFit="1" customWidth="1"/>
    <col min="6144" max="6144" width="95.85546875" bestFit="1" customWidth="1"/>
    <col min="6145" max="6145" width="22.28515625" bestFit="1" customWidth="1"/>
    <col min="6146" max="6146" width="16.7109375" customWidth="1"/>
    <col min="6148" max="6148" width="18.42578125" bestFit="1" customWidth="1"/>
    <col min="6149" max="6149" width="17" bestFit="1" customWidth="1"/>
    <col min="6150" max="6150" width="18.42578125" bestFit="1" customWidth="1"/>
    <col min="6400" max="6400" width="95.85546875" bestFit="1" customWidth="1"/>
    <col min="6401" max="6401" width="22.28515625" bestFit="1" customWidth="1"/>
    <col min="6402" max="6402" width="16.7109375" customWidth="1"/>
    <col min="6404" max="6404" width="18.42578125" bestFit="1" customWidth="1"/>
    <col min="6405" max="6405" width="17" bestFit="1" customWidth="1"/>
    <col min="6406" max="6406" width="18.42578125" bestFit="1" customWidth="1"/>
    <col min="6656" max="6656" width="95.85546875" bestFit="1" customWidth="1"/>
    <col min="6657" max="6657" width="22.28515625" bestFit="1" customWidth="1"/>
    <col min="6658" max="6658" width="16.7109375" customWidth="1"/>
    <col min="6660" max="6660" width="18.42578125" bestFit="1" customWidth="1"/>
    <col min="6661" max="6661" width="17" bestFit="1" customWidth="1"/>
    <col min="6662" max="6662" width="18.42578125" bestFit="1" customWidth="1"/>
    <col min="6912" max="6912" width="95.85546875" bestFit="1" customWidth="1"/>
    <col min="6913" max="6913" width="22.28515625" bestFit="1" customWidth="1"/>
    <col min="6914" max="6914" width="16.7109375" customWidth="1"/>
    <col min="6916" max="6916" width="18.42578125" bestFit="1" customWidth="1"/>
    <col min="6917" max="6917" width="17" bestFit="1" customWidth="1"/>
    <col min="6918" max="6918" width="18.42578125" bestFit="1" customWidth="1"/>
    <col min="7168" max="7168" width="95.85546875" bestFit="1" customWidth="1"/>
    <col min="7169" max="7169" width="22.28515625" bestFit="1" customWidth="1"/>
    <col min="7170" max="7170" width="16.7109375" customWidth="1"/>
    <col min="7172" max="7172" width="18.42578125" bestFit="1" customWidth="1"/>
    <col min="7173" max="7173" width="17" bestFit="1" customWidth="1"/>
    <col min="7174" max="7174" width="18.42578125" bestFit="1" customWidth="1"/>
    <col min="7424" max="7424" width="95.85546875" bestFit="1" customWidth="1"/>
    <col min="7425" max="7425" width="22.28515625" bestFit="1" customWidth="1"/>
    <col min="7426" max="7426" width="16.7109375" customWidth="1"/>
    <col min="7428" max="7428" width="18.42578125" bestFit="1" customWidth="1"/>
    <col min="7429" max="7429" width="17" bestFit="1" customWidth="1"/>
    <col min="7430" max="7430" width="18.42578125" bestFit="1" customWidth="1"/>
    <col min="7680" max="7680" width="95.85546875" bestFit="1" customWidth="1"/>
    <col min="7681" max="7681" width="22.28515625" bestFit="1" customWidth="1"/>
    <col min="7682" max="7682" width="16.7109375" customWidth="1"/>
    <col min="7684" max="7684" width="18.42578125" bestFit="1" customWidth="1"/>
    <col min="7685" max="7685" width="17" bestFit="1" customWidth="1"/>
    <col min="7686" max="7686" width="18.42578125" bestFit="1" customWidth="1"/>
    <col min="7936" max="7936" width="95.85546875" bestFit="1" customWidth="1"/>
    <col min="7937" max="7937" width="22.28515625" bestFit="1" customWidth="1"/>
    <col min="7938" max="7938" width="16.7109375" customWidth="1"/>
    <col min="7940" max="7940" width="18.42578125" bestFit="1" customWidth="1"/>
    <col min="7941" max="7941" width="17" bestFit="1" customWidth="1"/>
    <col min="7942" max="7942" width="18.42578125" bestFit="1" customWidth="1"/>
    <col min="8192" max="8192" width="95.85546875" bestFit="1" customWidth="1"/>
    <col min="8193" max="8193" width="22.28515625" bestFit="1" customWidth="1"/>
    <col min="8194" max="8194" width="16.7109375" customWidth="1"/>
    <col min="8196" max="8196" width="18.42578125" bestFit="1" customWidth="1"/>
    <col min="8197" max="8197" width="17" bestFit="1" customWidth="1"/>
    <col min="8198" max="8198" width="18.42578125" bestFit="1" customWidth="1"/>
    <col min="8448" max="8448" width="95.85546875" bestFit="1" customWidth="1"/>
    <col min="8449" max="8449" width="22.28515625" bestFit="1" customWidth="1"/>
    <col min="8450" max="8450" width="16.7109375" customWidth="1"/>
    <col min="8452" max="8452" width="18.42578125" bestFit="1" customWidth="1"/>
    <col min="8453" max="8453" width="17" bestFit="1" customWidth="1"/>
    <col min="8454" max="8454" width="18.42578125" bestFit="1" customWidth="1"/>
    <col min="8704" max="8704" width="95.85546875" bestFit="1" customWidth="1"/>
    <col min="8705" max="8705" width="22.28515625" bestFit="1" customWidth="1"/>
    <col min="8706" max="8706" width="16.7109375" customWidth="1"/>
    <col min="8708" max="8708" width="18.42578125" bestFit="1" customWidth="1"/>
    <col min="8709" max="8709" width="17" bestFit="1" customWidth="1"/>
    <col min="8710" max="8710" width="18.42578125" bestFit="1" customWidth="1"/>
    <col min="8960" max="8960" width="95.85546875" bestFit="1" customWidth="1"/>
    <col min="8961" max="8961" width="22.28515625" bestFit="1" customWidth="1"/>
    <col min="8962" max="8962" width="16.7109375" customWidth="1"/>
    <col min="8964" max="8964" width="18.42578125" bestFit="1" customWidth="1"/>
    <col min="8965" max="8965" width="17" bestFit="1" customWidth="1"/>
    <col min="8966" max="8966" width="18.42578125" bestFit="1" customWidth="1"/>
    <col min="9216" max="9216" width="95.85546875" bestFit="1" customWidth="1"/>
    <col min="9217" max="9217" width="22.28515625" bestFit="1" customWidth="1"/>
    <col min="9218" max="9218" width="16.7109375" customWidth="1"/>
    <col min="9220" max="9220" width="18.42578125" bestFit="1" customWidth="1"/>
    <col min="9221" max="9221" width="17" bestFit="1" customWidth="1"/>
    <col min="9222" max="9222" width="18.42578125" bestFit="1" customWidth="1"/>
    <col min="9472" max="9472" width="95.85546875" bestFit="1" customWidth="1"/>
    <col min="9473" max="9473" width="22.28515625" bestFit="1" customWidth="1"/>
    <col min="9474" max="9474" width="16.7109375" customWidth="1"/>
    <col min="9476" max="9476" width="18.42578125" bestFit="1" customWidth="1"/>
    <col min="9477" max="9477" width="17" bestFit="1" customWidth="1"/>
    <col min="9478" max="9478" width="18.42578125" bestFit="1" customWidth="1"/>
    <col min="9728" max="9728" width="95.85546875" bestFit="1" customWidth="1"/>
    <col min="9729" max="9729" width="22.28515625" bestFit="1" customWidth="1"/>
    <col min="9730" max="9730" width="16.7109375" customWidth="1"/>
    <col min="9732" max="9732" width="18.42578125" bestFit="1" customWidth="1"/>
    <col min="9733" max="9733" width="17" bestFit="1" customWidth="1"/>
    <col min="9734" max="9734" width="18.42578125" bestFit="1" customWidth="1"/>
    <col min="9984" max="9984" width="95.85546875" bestFit="1" customWidth="1"/>
    <col min="9985" max="9985" width="22.28515625" bestFit="1" customWidth="1"/>
    <col min="9986" max="9986" width="16.7109375" customWidth="1"/>
    <col min="9988" max="9988" width="18.42578125" bestFit="1" customWidth="1"/>
    <col min="9989" max="9989" width="17" bestFit="1" customWidth="1"/>
    <col min="9990" max="9990" width="18.42578125" bestFit="1" customWidth="1"/>
    <col min="10240" max="10240" width="95.85546875" bestFit="1" customWidth="1"/>
    <col min="10241" max="10241" width="22.28515625" bestFit="1" customWidth="1"/>
    <col min="10242" max="10242" width="16.7109375" customWidth="1"/>
    <col min="10244" max="10244" width="18.42578125" bestFit="1" customWidth="1"/>
    <col min="10245" max="10245" width="17" bestFit="1" customWidth="1"/>
    <col min="10246" max="10246" width="18.42578125" bestFit="1" customWidth="1"/>
    <col min="10496" max="10496" width="95.85546875" bestFit="1" customWidth="1"/>
    <col min="10497" max="10497" width="22.28515625" bestFit="1" customWidth="1"/>
    <col min="10498" max="10498" width="16.7109375" customWidth="1"/>
    <col min="10500" max="10500" width="18.42578125" bestFit="1" customWidth="1"/>
    <col min="10501" max="10501" width="17" bestFit="1" customWidth="1"/>
    <col min="10502" max="10502" width="18.42578125" bestFit="1" customWidth="1"/>
    <col min="10752" max="10752" width="95.85546875" bestFit="1" customWidth="1"/>
    <col min="10753" max="10753" width="22.28515625" bestFit="1" customWidth="1"/>
    <col min="10754" max="10754" width="16.7109375" customWidth="1"/>
    <col min="10756" max="10756" width="18.42578125" bestFit="1" customWidth="1"/>
    <col min="10757" max="10757" width="17" bestFit="1" customWidth="1"/>
    <col min="10758" max="10758" width="18.42578125" bestFit="1" customWidth="1"/>
    <col min="11008" max="11008" width="95.85546875" bestFit="1" customWidth="1"/>
    <col min="11009" max="11009" width="22.28515625" bestFit="1" customWidth="1"/>
    <col min="11010" max="11010" width="16.7109375" customWidth="1"/>
    <col min="11012" max="11012" width="18.42578125" bestFit="1" customWidth="1"/>
    <col min="11013" max="11013" width="17" bestFit="1" customWidth="1"/>
    <col min="11014" max="11014" width="18.42578125" bestFit="1" customWidth="1"/>
    <col min="11264" max="11264" width="95.85546875" bestFit="1" customWidth="1"/>
    <col min="11265" max="11265" width="22.28515625" bestFit="1" customWidth="1"/>
    <col min="11266" max="11266" width="16.7109375" customWidth="1"/>
    <col min="11268" max="11268" width="18.42578125" bestFit="1" customWidth="1"/>
    <col min="11269" max="11269" width="17" bestFit="1" customWidth="1"/>
    <col min="11270" max="11270" width="18.42578125" bestFit="1" customWidth="1"/>
    <col min="11520" max="11520" width="95.85546875" bestFit="1" customWidth="1"/>
    <col min="11521" max="11521" width="22.28515625" bestFit="1" customWidth="1"/>
    <col min="11522" max="11522" width="16.7109375" customWidth="1"/>
    <col min="11524" max="11524" width="18.42578125" bestFit="1" customWidth="1"/>
    <col min="11525" max="11525" width="17" bestFit="1" customWidth="1"/>
    <col min="11526" max="11526" width="18.42578125" bestFit="1" customWidth="1"/>
    <col min="11776" max="11776" width="95.85546875" bestFit="1" customWidth="1"/>
    <col min="11777" max="11777" width="22.28515625" bestFit="1" customWidth="1"/>
    <col min="11778" max="11778" width="16.7109375" customWidth="1"/>
    <col min="11780" max="11780" width="18.42578125" bestFit="1" customWidth="1"/>
    <col min="11781" max="11781" width="17" bestFit="1" customWidth="1"/>
    <col min="11782" max="11782" width="18.42578125" bestFit="1" customWidth="1"/>
    <col min="12032" max="12032" width="95.85546875" bestFit="1" customWidth="1"/>
    <col min="12033" max="12033" width="22.28515625" bestFit="1" customWidth="1"/>
    <col min="12034" max="12034" width="16.7109375" customWidth="1"/>
    <col min="12036" max="12036" width="18.42578125" bestFit="1" customWidth="1"/>
    <col min="12037" max="12037" width="17" bestFit="1" customWidth="1"/>
    <col min="12038" max="12038" width="18.42578125" bestFit="1" customWidth="1"/>
    <col min="12288" max="12288" width="95.85546875" bestFit="1" customWidth="1"/>
    <col min="12289" max="12289" width="22.28515625" bestFit="1" customWidth="1"/>
    <col min="12290" max="12290" width="16.7109375" customWidth="1"/>
    <col min="12292" max="12292" width="18.42578125" bestFit="1" customWidth="1"/>
    <col min="12293" max="12293" width="17" bestFit="1" customWidth="1"/>
    <col min="12294" max="12294" width="18.42578125" bestFit="1" customWidth="1"/>
    <col min="12544" max="12544" width="95.85546875" bestFit="1" customWidth="1"/>
    <col min="12545" max="12545" width="22.28515625" bestFit="1" customWidth="1"/>
    <col min="12546" max="12546" width="16.7109375" customWidth="1"/>
    <col min="12548" max="12548" width="18.42578125" bestFit="1" customWidth="1"/>
    <col min="12549" max="12549" width="17" bestFit="1" customWidth="1"/>
    <col min="12550" max="12550" width="18.42578125" bestFit="1" customWidth="1"/>
    <col min="12800" max="12800" width="95.85546875" bestFit="1" customWidth="1"/>
    <col min="12801" max="12801" width="22.28515625" bestFit="1" customWidth="1"/>
    <col min="12802" max="12802" width="16.7109375" customWidth="1"/>
    <col min="12804" max="12804" width="18.42578125" bestFit="1" customWidth="1"/>
    <col min="12805" max="12805" width="17" bestFit="1" customWidth="1"/>
    <col min="12806" max="12806" width="18.42578125" bestFit="1" customWidth="1"/>
    <col min="13056" max="13056" width="95.85546875" bestFit="1" customWidth="1"/>
    <col min="13057" max="13057" width="22.28515625" bestFit="1" customWidth="1"/>
    <col min="13058" max="13058" width="16.7109375" customWidth="1"/>
    <col min="13060" max="13060" width="18.42578125" bestFit="1" customWidth="1"/>
    <col min="13061" max="13061" width="17" bestFit="1" customWidth="1"/>
    <col min="13062" max="13062" width="18.42578125" bestFit="1" customWidth="1"/>
    <col min="13312" max="13312" width="95.85546875" bestFit="1" customWidth="1"/>
    <col min="13313" max="13313" width="22.28515625" bestFit="1" customWidth="1"/>
    <col min="13314" max="13314" width="16.7109375" customWidth="1"/>
    <col min="13316" max="13316" width="18.42578125" bestFit="1" customWidth="1"/>
    <col min="13317" max="13317" width="17" bestFit="1" customWidth="1"/>
    <col min="13318" max="13318" width="18.42578125" bestFit="1" customWidth="1"/>
    <col min="13568" max="13568" width="95.85546875" bestFit="1" customWidth="1"/>
    <col min="13569" max="13569" width="22.28515625" bestFit="1" customWidth="1"/>
    <col min="13570" max="13570" width="16.7109375" customWidth="1"/>
    <col min="13572" max="13572" width="18.42578125" bestFit="1" customWidth="1"/>
    <col min="13573" max="13573" width="17" bestFit="1" customWidth="1"/>
    <col min="13574" max="13574" width="18.42578125" bestFit="1" customWidth="1"/>
    <col min="13824" max="13824" width="95.85546875" bestFit="1" customWidth="1"/>
    <col min="13825" max="13825" width="22.28515625" bestFit="1" customWidth="1"/>
    <col min="13826" max="13826" width="16.7109375" customWidth="1"/>
    <col min="13828" max="13828" width="18.42578125" bestFit="1" customWidth="1"/>
    <col min="13829" max="13829" width="17" bestFit="1" customWidth="1"/>
    <col min="13830" max="13830" width="18.42578125" bestFit="1" customWidth="1"/>
    <col min="14080" max="14080" width="95.85546875" bestFit="1" customWidth="1"/>
    <col min="14081" max="14081" width="22.28515625" bestFit="1" customWidth="1"/>
    <col min="14082" max="14082" width="16.7109375" customWidth="1"/>
    <col min="14084" max="14084" width="18.42578125" bestFit="1" customWidth="1"/>
    <col min="14085" max="14085" width="17" bestFit="1" customWidth="1"/>
    <col min="14086" max="14086" width="18.42578125" bestFit="1" customWidth="1"/>
    <col min="14336" max="14336" width="95.85546875" bestFit="1" customWidth="1"/>
    <col min="14337" max="14337" width="22.28515625" bestFit="1" customWidth="1"/>
    <col min="14338" max="14338" width="16.7109375" customWidth="1"/>
    <col min="14340" max="14340" width="18.42578125" bestFit="1" customWidth="1"/>
    <col min="14341" max="14341" width="17" bestFit="1" customWidth="1"/>
    <col min="14342" max="14342" width="18.42578125" bestFit="1" customWidth="1"/>
    <col min="14592" max="14592" width="95.85546875" bestFit="1" customWidth="1"/>
    <col min="14593" max="14593" width="22.28515625" bestFit="1" customWidth="1"/>
    <col min="14594" max="14594" width="16.7109375" customWidth="1"/>
    <col min="14596" max="14596" width="18.42578125" bestFit="1" customWidth="1"/>
    <col min="14597" max="14597" width="17" bestFit="1" customWidth="1"/>
    <col min="14598" max="14598" width="18.42578125" bestFit="1" customWidth="1"/>
    <col min="14848" max="14848" width="95.85546875" bestFit="1" customWidth="1"/>
    <col min="14849" max="14849" width="22.28515625" bestFit="1" customWidth="1"/>
    <col min="14850" max="14850" width="16.7109375" customWidth="1"/>
    <col min="14852" max="14852" width="18.42578125" bestFit="1" customWidth="1"/>
    <col min="14853" max="14853" width="17" bestFit="1" customWidth="1"/>
    <col min="14854" max="14854" width="18.42578125" bestFit="1" customWidth="1"/>
    <col min="15104" max="15104" width="95.85546875" bestFit="1" customWidth="1"/>
    <col min="15105" max="15105" width="22.28515625" bestFit="1" customWidth="1"/>
    <col min="15106" max="15106" width="16.7109375" customWidth="1"/>
    <col min="15108" max="15108" width="18.42578125" bestFit="1" customWidth="1"/>
    <col min="15109" max="15109" width="17" bestFit="1" customWidth="1"/>
    <col min="15110" max="15110" width="18.42578125" bestFit="1" customWidth="1"/>
    <col min="15360" max="15360" width="95.85546875" bestFit="1" customWidth="1"/>
    <col min="15361" max="15361" width="22.28515625" bestFit="1" customWidth="1"/>
    <col min="15362" max="15362" width="16.7109375" customWidth="1"/>
    <col min="15364" max="15364" width="18.42578125" bestFit="1" customWidth="1"/>
    <col min="15365" max="15365" width="17" bestFit="1" customWidth="1"/>
    <col min="15366" max="15366" width="18.42578125" bestFit="1" customWidth="1"/>
    <col min="15616" max="15616" width="95.85546875" bestFit="1" customWidth="1"/>
    <col min="15617" max="15617" width="22.28515625" bestFit="1" customWidth="1"/>
    <col min="15618" max="15618" width="16.7109375" customWidth="1"/>
    <col min="15620" max="15620" width="18.42578125" bestFit="1" customWidth="1"/>
    <col min="15621" max="15621" width="17" bestFit="1" customWidth="1"/>
    <col min="15622" max="15622" width="18.42578125" bestFit="1" customWidth="1"/>
    <col min="15872" max="15872" width="95.85546875" bestFit="1" customWidth="1"/>
    <col min="15873" max="15873" width="22.28515625" bestFit="1" customWidth="1"/>
    <col min="15874" max="15874" width="16.7109375" customWidth="1"/>
    <col min="15876" max="15876" width="18.42578125" bestFit="1" customWidth="1"/>
    <col min="15877" max="15877" width="17" bestFit="1" customWidth="1"/>
    <col min="15878" max="15878" width="18.42578125" bestFit="1" customWidth="1"/>
    <col min="16128" max="16128" width="95.85546875" bestFit="1" customWidth="1"/>
    <col min="16129" max="16129" width="22.28515625" bestFit="1" customWidth="1"/>
    <col min="16130" max="16130" width="16.7109375" customWidth="1"/>
    <col min="16132" max="16132" width="18.42578125" bestFit="1" customWidth="1"/>
    <col min="16133" max="16133" width="17" bestFit="1" customWidth="1"/>
    <col min="16134" max="16134" width="18.42578125" bestFit="1" customWidth="1"/>
  </cols>
  <sheetData>
    <row r="1" spans="1:33" x14ac:dyDescent="0.25">
      <c r="A1" s="1017" t="s">
        <v>933</v>
      </c>
      <c r="B1" s="1017"/>
      <c r="C1" s="1017"/>
      <c r="D1" s="1017"/>
      <c r="E1" s="1017"/>
    </row>
    <row r="2" spans="1:33" x14ac:dyDescent="0.25">
      <c r="B2" s="464" t="s">
        <v>863</v>
      </c>
      <c r="E2" s="464" t="s">
        <v>934</v>
      </c>
    </row>
    <row r="3" spans="1:33" x14ac:dyDescent="0.25">
      <c r="A3" t="s">
        <v>503</v>
      </c>
      <c r="B3" s="306">
        <v>66733896</v>
      </c>
      <c r="D3" t="s">
        <v>504</v>
      </c>
      <c r="E3" s="306">
        <v>66733896</v>
      </c>
    </row>
    <row r="4" spans="1:33" x14ac:dyDescent="0.25">
      <c r="A4" t="s">
        <v>505</v>
      </c>
      <c r="B4" s="306">
        <v>28705670</v>
      </c>
      <c r="D4" t="s">
        <v>506</v>
      </c>
      <c r="E4" s="306">
        <v>28705670</v>
      </c>
    </row>
    <row r="5" spans="1:33" x14ac:dyDescent="0.25">
      <c r="A5" t="s">
        <v>507</v>
      </c>
      <c r="B5" s="306">
        <v>56062057</v>
      </c>
      <c r="D5" t="s">
        <v>508</v>
      </c>
      <c r="E5" s="306">
        <v>56062057</v>
      </c>
    </row>
    <row r="6" spans="1:33" x14ac:dyDescent="0.25">
      <c r="A6" t="s">
        <v>509</v>
      </c>
      <c r="B6" s="306">
        <v>2305593</v>
      </c>
      <c r="D6" t="s">
        <v>510</v>
      </c>
      <c r="E6" s="306">
        <v>2305593</v>
      </c>
    </row>
    <row r="7" spans="1:33" x14ac:dyDescent="0.25">
      <c r="B7" s="518"/>
    </row>
    <row r="8" spans="1:33" x14ac:dyDescent="0.25">
      <c r="B8" s="518"/>
    </row>
    <row r="9" spans="1:33" x14ac:dyDescent="0.25">
      <c r="B9" s="518"/>
    </row>
    <row r="10" spans="1:33" x14ac:dyDescent="0.25">
      <c r="A10" t="s">
        <v>511</v>
      </c>
    </row>
    <row r="11" spans="1:33" s="377" customFormat="1" x14ac:dyDescent="0.25">
      <c r="A11" s="490" t="s">
        <v>512</v>
      </c>
      <c r="B11" s="655"/>
      <c r="C11" s="391"/>
      <c r="D11" s="391" t="s">
        <v>513</v>
      </c>
      <c r="E11" s="391"/>
      <c r="F11" s="407"/>
      <c r="G11" s="391"/>
      <c r="H11" s="391"/>
      <c r="I11" s="391"/>
      <c r="J11" s="391"/>
      <c r="K11" s="391"/>
      <c r="L11" s="391"/>
      <c r="M11" s="391"/>
      <c r="N11" s="391"/>
      <c r="O11" s="391"/>
      <c r="P11" s="391"/>
      <c r="Q11" s="391"/>
      <c r="R11" s="391"/>
      <c r="S11" s="391"/>
      <c r="T11" s="391"/>
      <c r="U11" s="391"/>
      <c r="V11" s="391"/>
      <c r="W11" s="391"/>
      <c r="X11" s="391"/>
      <c r="Y11" s="391"/>
      <c r="Z11" s="391"/>
      <c r="AA11" s="391"/>
      <c r="AB11" s="391"/>
      <c r="AC11" s="391"/>
      <c r="AD11" s="391"/>
      <c r="AE11" s="391"/>
      <c r="AF11" s="391"/>
      <c r="AG11" s="391"/>
    </row>
    <row r="12" spans="1:33" s="377" customFormat="1" x14ac:dyDescent="0.25">
      <c r="A12" s="490" t="s">
        <v>514</v>
      </c>
      <c r="B12" s="655"/>
      <c r="C12" s="391"/>
      <c r="D12" s="391" t="s">
        <v>513</v>
      </c>
      <c r="E12" s="391"/>
      <c r="F12" s="407"/>
      <c r="G12" s="391"/>
      <c r="H12" s="391"/>
      <c r="I12" s="391"/>
      <c r="J12" s="391"/>
      <c r="K12" s="391"/>
      <c r="L12" s="391"/>
      <c r="M12" s="391"/>
      <c r="N12" s="391"/>
      <c r="O12" s="391"/>
      <c r="P12" s="391"/>
      <c r="Q12" s="391"/>
      <c r="R12" s="391"/>
      <c r="S12" s="391"/>
      <c r="T12" s="391"/>
      <c r="U12" s="391"/>
      <c r="V12" s="391"/>
      <c r="W12" s="391"/>
      <c r="X12" s="391"/>
      <c r="Y12" s="391"/>
      <c r="Z12" s="391"/>
      <c r="AA12" s="391"/>
      <c r="AB12" s="391"/>
      <c r="AC12" s="391"/>
      <c r="AD12" s="391"/>
      <c r="AE12" s="391"/>
      <c r="AF12" s="391"/>
      <c r="AG12" s="391"/>
    </row>
    <row r="13" spans="1:33" s="377" customFormat="1" x14ac:dyDescent="0.25">
      <c r="A13" s="490" t="s">
        <v>515</v>
      </c>
      <c r="B13" s="655"/>
      <c r="C13" s="391"/>
      <c r="D13" s="391" t="s">
        <v>513</v>
      </c>
      <c r="E13" s="391"/>
      <c r="F13" s="407"/>
      <c r="G13" s="391"/>
      <c r="H13" s="391"/>
      <c r="I13" s="391"/>
      <c r="J13" s="391"/>
      <c r="K13" s="391"/>
      <c r="L13" s="391"/>
      <c r="M13" s="391"/>
      <c r="N13" s="391"/>
      <c r="O13" s="391"/>
      <c r="P13" s="391"/>
      <c r="Q13" s="391"/>
      <c r="R13" s="391"/>
      <c r="S13" s="391"/>
      <c r="T13" s="391"/>
      <c r="U13" s="391"/>
      <c r="V13" s="391"/>
      <c r="W13" s="391"/>
      <c r="X13" s="391"/>
      <c r="Y13" s="391"/>
      <c r="Z13" s="391"/>
      <c r="AA13" s="391"/>
      <c r="AB13" s="391"/>
      <c r="AC13" s="391"/>
      <c r="AD13" s="391"/>
      <c r="AE13" s="391"/>
      <c r="AF13" s="391"/>
      <c r="AG13" s="391"/>
    </row>
    <row r="14" spans="1:33" ht="16.5" thickBot="1" x14ac:dyDescent="0.3">
      <c r="B14" s="383"/>
    </row>
    <row r="15" spans="1:33" s="457" customFormat="1" ht="18.75" thickBot="1" x14ac:dyDescent="0.3">
      <c r="A15" s="455" t="s">
        <v>686</v>
      </c>
      <c r="B15" s="456">
        <f>B3+B4+B5+B6</f>
        <v>153807216</v>
      </c>
      <c r="E15" s="426">
        <f>E3+E4+E5+E6</f>
        <v>153807216</v>
      </c>
      <c r="F15" s="458"/>
    </row>
    <row r="16" spans="1:33" x14ac:dyDescent="0.25">
      <c r="A16" t="s">
        <v>516</v>
      </c>
      <c r="B16" s="378">
        <f>270000*4</f>
        <v>1080000</v>
      </c>
      <c r="D16" s="379" t="s">
        <v>517</v>
      </c>
      <c r="E16" s="306">
        <v>1080000</v>
      </c>
    </row>
    <row r="17" spans="1:6" x14ac:dyDescent="0.25">
      <c r="A17" t="s">
        <v>687</v>
      </c>
      <c r="B17" s="378">
        <v>4164878</v>
      </c>
      <c r="D17" s="379" t="s">
        <v>518</v>
      </c>
      <c r="E17" s="306">
        <v>4164878</v>
      </c>
    </row>
    <row r="18" spans="1:6" x14ac:dyDescent="0.25">
      <c r="A18" t="s">
        <v>935</v>
      </c>
      <c r="B18" s="378"/>
      <c r="D18" s="379" t="s">
        <v>936</v>
      </c>
      <c r="E18" s="306">
        <v>1115728</v>
      </c>
    </row>
    <row r="19" spans="1:6" x14ac:dyDescent="0.25">
      <c r="A19" t="s">
        <v>688</v>
      </c>
      <c r="B19" s="553">
        <f>8400*12+407200*12</f>
        <v>4987200</v>
      </c>
      <c r="D19" s="379" t="s">
        <v>519</v>
      </c>
      <c r="E19" s="306">
        <v>4987200</v>
      </c>
    </row>
    <row r="20" spans="1:6" x14ac:dyDescent="0.25">
      <c r="A20" t="s">
        <v>937</v>
      </c>
      <c r="D20" s="379" t="s">
        <v>936</v>
      </c>
      <c r="E20" s="306">
        <v>587500</v>
      </c>
    </row>
    <row r="21" spans="1:6" x14ac:dyDescent="0.25">
      <c r="A21" s="382" t="s">
        <v>938</v>
      </c>
      <c r="D21" t="s">
        <v>936</v>
      </c>
      <c r="E21" s="306">
        <v>15580360</v>
      </c>
    </row>
    <row r="22" spans="1:6" ht="15.75" thickBot="1" x14ac:dyDescent="0.3">
      <c r="B22" s="378"/>
    </row>
    <row r="23" spans="1:6" s="391" customFormat="1" ht="16.5" thickBot="1" x14ac:dyDescent="0.3">
      <c r="B23" s="653">
        <f>SUM(B16:B22)</f>
        <v>10232078</v>
      </c>
      <c r="D23" s="664"/>
      <c r="E23" s="665">
        <f>E16+E17+E19+E21+E18+E20</f>
        <v>27515666</v>
      </c>
      <c r="F23" s="407"/>
    </row>
    <row r="24" spans="1:6" ht="15.75" x14ac:dyDescent="0.25">
      <c r="B24" s="142"/>
    </row>
    <row r="25" spans="1:6" x14ac:dyDescent="0.25">
      <c r="A25" s="380" t="s">
        <v>520</v>
      </c>
      <c r="B25" s="381"/>
    </row>
    <row r="26" spans="1:6" x14ac:dyDescent="0.25">
      <c r="A26" s="382" t="s">
        <v>938</v>
      </c>
      <c r="D26" t="s">
        <v>939</v>
      </c>
      <c r="E26" s="306">
        <v>132538346</v>
      </c>
    </row>
    <row r="27" spans="1:6" x14ac:dyDescent="0.25">
      <c r="A27" s="493" t="s">
        <v>940</v>
      </c>
      <c r="B27" s="306">
        <v>32488107</v>
      </c>
      <c r="D27" t="s">
        <v>939</v>
      </c>
      <c r="E27" s="306">
        <v>32488107</v>
      </c>
    </row>
    <row r="28" spans="1:6" ht="15.75" thickBot="1" x14ac:dyDescent="0.3">
      <c r="A28" t="s">
        <v>689</v>
      </c>
      <c r="B28" s="306"/>
    </row>
    <row r="29" spans="1:6" s="669" customFormat="1" ht="16.5" thickBot="1" x14ac:dyDescent="0.3">
      <c r="A29" s="666" t="s">
        <v>521</v>
      </c>
      <c r="B29" s="392">
        <f>B27</f>
        <v>32488107</v>
      </c>
      <c r="C29" s="392"/>
      <c r="D29" s="392"/>
      <c r="E29" s="667">
        <f>E26+E27</f>
        <v>165026453</v>
      </c>
      <c r="F29" s="668"/>
    </row>
    <row r="30" spans="1:6" s="391" customFormat="1" ht="18" x14ac:dyDescent="0.25">
      <c r="A30" s="391" t="s">
        <v>941</v>
      </c>
      <c r="B30" s="670"/>
      <c r="E30" s="491"/>
      <c r="F30" s="407"/>
    </row>
    <row r="31" spans="1:6" x14ac:dyDescent="0.25">
      <c r="A31" t="s">
        <v>942</v>
      </c>
      <c r="D31" t="s">
        <v>943</v>
      </c>
      <c r="E31" s="306">
        <v>23905</v>
      </c>
    </row>
    <row r="32" spans="1:6" ht="15.75" thickBot="1" x14ac:dyDescent="0.3">
      <c r="A32" t="s">
        <v>944</v>
      </c>
      <c r="D32" t="s">
        <v>945</v>
      </c>
      <c r="E32" s="306">
        <v>1000000</v>
      </c>
    </row>
    <row r="33" spans="1:5" ht="21.75" thickBot="1" x14ac:dyDescent="0.4">
      <c r="A33" t="s">
        <v>690</v>
      </c>
      <c r="B33" s="459">
        <f>B29+B23+B15</f>
        <v>196527401</v>
      </c>
      <c r="E33" s="400">
        <f>E15+E23+E29+E31+E32</f>
        <v>347373240</v>
      </c>
    </row>
    <row r="37" spans="1:5" x14ac:dyDescent="0.25">
      <c r="C37" s="553"/>
    </row>
    <row r="38" spans="1:5" x14ac:dyDescent="0.25">
      <c r="C38" s="553"/>
    </row>
    <row r="39" spans="1:5" x14ac:dyDescent="0.25">
      <c r="B39" s="381"/>
      <c r="C39" s="381"/>
    </row>
    <row r="40" spans="1:5" x14ac:dyDescent="0.25">
      <c r="B40" s="381"/>
      <c r="C40" s="381"/>
    </row>
    <row r="41" spans="1:5" x14ac:dyDescent="0.25">
      <c r="C41" s="553"/>
    </row>
    <row r="42" spans="1:5" x14ac:dyDescent="0.25">
      <c r="C42" s="553"/>
    </row>
    <row r="43" spans="1:5" x14ac:dyDescent="0.25">
      <c r="C43" s="553"/>
    </row>
    <row r="44" spans="1:5" x14ac:dyDescent="0.25">
      <c r="C44" s="553"/>
    </row>
    <row r="45" spans="1:5" x14ac:dyDescent="0.25">
      <c r="B45" s="381"/>
      <c r="C45" s="381"/>
    </row>
    <row r="46" spans="1:5" x14ac:dyDescent="0.25">
      <c r="B46" s="381"/>
      <c r="C46" s="381"/>
    </row>
    <row r="47" spans="1:5" x14ac:dyDescent="0.25">
      <c r="C47" s="553"/>
    </row>
    <row r="48" spans="1:5" x14ac:dyDescent="0.25">
      <c r="C48" s="553"/>
    </row>
    <row r="49" spans="2:3" x14ac:dyDescent="0.25">
      <c r="B49" s="381"/>
      <c r="C49" s="381"/>
    </row>
    <row r="50" spans="2:3" x14ac:dyDescent="0.25">
      <c r="C50" s="553"/>
    </row>
  </sheetData>
  <mergeCells count="1">
    <mergeCell ref="A1:E1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A1:I85"/>
  <sheetViews>
    <sheetView topLeftCell="B1" workbookViewId="0">
      <selection activeCell="I29" sqref="I29"/>
    </sheetView>
  </sheetViews>
  <sheetFormatPr defaultRowHeight="15" x14ac:dyDescent="0.25"/>
  <cols>
    <col min="3" max="3" width="60.7109375" bestFit="1" customWidth="1"/>
    <col min="4" max="9" width="19.140625" bestFit="1" customWidth="1"/>
  </cols>
  <sheetData>
    <row r="1" spans="1:9" ht="18.75" x14ac:dyDescent="0.3">
      <c r="A1" s="708" t="s">
        <v>707</v>
      </c>
      <c r="B1" s="709"/>
      <c r="C1" s="709"/>
      <c r="D1" s="709"/>
      <c r="E1" s="709"/>
      <c r="F1" s="709"/>
    </row>
    <row r="2" spans="1:9" ht="15.75" x14ac:dyDescent="0.25">
      <c r="A2" s="672"/>
      <c r="B2" s="672"/>
      <c r="C2" s="672"/>
      <c r="D2" s="672"/>
      <c r="E2" s="672"/>
      <c r="F2" s="672"/>
    </row>
    <row r="3" spans="1:9" ht="15.75" x14ac:dyDescent="0.25">
      <c r="A3" s="710" t="s">
        <v>3</v>
      </c>
      <c r="B3" s="710"/>
      <c r="C3" s="710"/>
      <c r="D3" s="710"/>
      <c r="E3" s="710"/>
      <c r="F3" s="710"/>
    </row>
    <row r="4" spans="1:9" ht="15.75" x14ac:dyDescent="0.25">
      <c r="A4" s="672" t="s">
        <v>496</v>
      </c>
      <c r="B4" s="672"/>
      <c r="C4" s="672"/>
      <c r="D4" s="672"/>
      <c r="E4" s="672"/>
      <c r="F4" s="672"/>
    </row>
    <row r="5" spans="1:9" ht="16.5" thickBot="1" x14ac:dyDescent="0.3">
      <c r="A5" s="711" t="s">
        <v>497</v>
      </c>
      <c r="B5" s="711"/>
      <c r="C5" s="711"/>
      <c r="D5" s="711"/>
      <c r="E5" s="711"/>
      <c r="F5" s="711"/>
    </row>
    <row r="6" spans="1:9" ht="12.75" customHeight="1" x14ac:dyDescent="0.25">
      <c r="A6" s="712" t="s">
        <v>6</v>
      </c>
      <c r="B6" s="715" t="s">
        <v>7</v>
      </c>
      <c r="C6" s="715"/>
      <c r="D6" s="1021">
        <v>2020</v>
      </c>
      <c r="E6" s="720">
        <v>2021</v>
      </c>
      <c r="F6" s="704">
        <v>2022</v>
      </c>
      <c r="G6" s="1021">
        <v>2020</v>
      </c>
      <c r="H6" s="720">
        <v>2021</v>
      </c>
      <c r="I6" s="704">
        <v>2022</v>
      </c>
    </row>
    <row r="7" spans="1:9" ht="35.25" customHeight="1" x14ac:dyDescent="0.25">
      <c r="A7" s="713"/>
      <c r="B7" s="716"/>
      <c r="C7" s="716"/>
      <c r="D7" s="1022"/>
      <c r="E7" s="721"/>
      <c r="F7" s="705"/>
      <c r="G7" s="1022"/>
      <c r="H7" s="721"/>
      <c r="I7" s="705"/>
    </row>
    <row r="8" spans="1:9" ht="21" customHeight="1" thickBot="1" x14ac:dyDescent="0.3">
      <c r="A8" s="905"/>
      <c r="B8" s="906"/>
      <c r="C8" s="906"/>
      <c r="D8" s="901" t="s">
        <v>823</v>
      </c>
      <c r="E8" s="719"/>
      <c r="F8" s="1185"/>
      <c r="G8" s="901" t="s">
        <v>919</v>
      </c>
      <c r="H8" s="719"/>
      <c r="I8" s="1185"/>
    </row>
    <row r="9" spans="1:9" ht="15.75" x14ac:dyDescent="0.25">
      <c r="A9" s="284"/>
      <c r="B9" s="715" t="s">
        <v>12</v>
      </c>
      <c r="C9" s="715"/>
      <c r="D9" s="287"/>
      <c r="E9" s="287"/>
      <c r="F9" s="351"/>
      <c r="G9" s="287"/>
      <c r="H9" s="287"/>
      <c r="I9" s="351"/>
    </row>
    <row r="10" spans="1:9" ht="15.75" x14ac:dyDescent="0.25">
      <c r="A10" s="9">
        <v>1</v>
      </c>
      <c r="B10" s="689" t="s">
        <v>13</v>
      </c>
      <c r="C10" s="689"/>
      <c r="D10" s="17">
        <v>123581666</v>
      </c>
      <c r="E10" s="23">
        <f>D10*102%</f>
        <v>126053299.32000001</v>
      </c>
      <c r="F10" s="23">
        <f>D10*103%</f>
        <v>127289115.98</v>
      </c>
      <c r="G10" s="17">
        <v>124621103</v>
      </c>
      <c r="H10" s="23">
        <f>G10*102%</f>
        <v>127113525.06</v>
      </c>
      <c r="I10" s="23">
        <f>G10*103%</f>
        <v>128359736.09</v>
      </c>
    </row>
    <row r="11" spans="1:9" ht="15.75" x14ac:dyDescent="0.25">
      <c r="A11" s="9">
        <v>2</v>
      </c>
      <c r="B11" s="689" t="s">
        <v>14</v>
      </c>
      <c r="C11" s="689"/>
      <c r="D11" s="17">
        <v>22751012</v>
      </c>
      <c r="E11" s="23">
        <f t="shared" ref="E11" si="0">D11*102%</f>
        <v>23206032.240000002</v>
      </c>
      <c r="F11" s="23">
        <f t="shared" ref="F11" si="1">D11*103%</f>
        <v>23433542.359999999</v>
      </c>
      <c r="G11" s="17">
        <v>21372322</v>
      </c>
      <c r="H11" s="23">
        <f t="shared" ref="H11:H12" si="2">G11*102%</f>
        <v>21799768.440000001</v>
      </c>
      <c r="I11" s="23">
        <f t="shared" ref="I11:I12" si="3">G11*103%</f>
        <v>22013491.66</v>
      </c>
    </row>
    <row r="12" spans="1:9" ht="15.75" x14ac:dyDescent="0.25">
      <c r="A12" s="9">
        <v>3</v>
      </c>
      <c r="B12" s="689" t="s">
        <v>15</v>
      </c>
      <c r="C12" s="689"/>
      <c r="D12" s="17">
        <v>82049134</v>
      </c>
      <c r="E12" s="23">
        <v>89500000</v>
      </c>
      <c r="F12" s="23">
        <f>E12*103%</f>
        <v>92185000</v>
      </c>
      <c r="G12" s="17">
        <v>119569374</v>
      </c>
      <c r="H12" s="23">
        <f t="shared" si="2"/>
        <v>121960761.48</v>
      </c>
      <c r="I12" s="23">
        <f t="shared" si="3"/>
        <v>123156455.22</v>
      </c>
    </row>
    <row r="13" spans="1:9" ht="15.75" x14ac:dyDescent="0.25">
      <c r="A13" s="9" t="s">
        <v>16</v>
      </c>
      <c r="B13" s="689" t="s">
        <v>17</v>
      </c>
      <c r="C13" s="689"/>
      <c r="D13" s="17">
        <f t="shared" ref="D13:D17" si="4">SUM(E13:G13)</f>
        <v>0</v>
      </c>
      <c r="E13" s="23"/>
      <c r="F13" s="23"/>
      <c r="G13" s="17">
        <f t="shared" ref="G13" si="5">SUM(H13:J13)</f>
        <v>0</v>
      </c>
      <c r="H13" s="23"/>
      <c r="I13" s="23"/>
    </row>
    <row r="14" spans="1:9" ht="15.75" x14ac:dyDescent="0.25">
      <c r="A14" s="9" t="s">
        <v>18</v>
      </c>
      <c r="B14" s="695" t="s">
        <v>19</v>
      </c>
      <c r="C14" s="695"/>
      <c r="D14" s="17">
        <f>D15+D16+D17+D18</f>
        <v>32067719</v>
      </c>
      <c r="E14" s="23">
        <f>+E15+E16+E17+E18+E19</f>
        <v>32709073.379999999</v>
      </c>
      <c r="F14" s="23">
        <f>+F15+F16+F17+F18+F19</f>
        <v>33363254.847599998</v>
      </c>
      <c r="G14" s="17">
        <f>G15+G16+G17+G18</f>
        <v>31133519</v>
      </c>
      <c r="H14" s="23">
        <f>+H15+H16+H17+H18+H19</f>
        <v>31756189.379999999</v>
      </c>
      <c r="I14" s="23">
        <f>+I15+I16+I17+I18+I19</f>
        <v>32067524.57</v>
      </c>
    </row>
    <row r="15" spans="1:9" ht="15.75" x14ac:dyDescent="0.25">
      <c r="A15" s="9" t="s">
        <v>20</v>
      </c>
      <c r="B15" s="696" t="s">
        <v>130</v>
      </c>
      <c r="C15" s="696"/>
      <c r="D15" s="17">
        <f t="shared" si="4"/>
        <v>0</v>
      </c>
      <c r="E15" s="23"/>
      <c r="F15" s="23"/>
      <c r="G15" s="17">
        <f t="shared" ref="G15" si="6">SUM(H15:J15)</f>
        <v>0</v>
      </c>
      <c r="H15" s="23"/>
      <c r="I15" s="23"/>
    </row>
    <row r="16" spans="1:9" ht="15.75" x14ac:dyDescent="0.25">
      <c r="A16" s="9" t="s">
        <v>21</v>
      </c>
      <c r="B16" s="696" t="s">
        <v>22</v>
      </c>
      <c r="C16" s="696"/>
      <c r="D16" s="17">
        <v>18646719</v>
      </c>
      <c r="E16" s="23">
        <f t="shared" ref="E16:H19" si="7">D16*102%</f>
        <v>19019653.379999999</v>
      </c>
      <c r="F16" s="23">
        <f t="shared" si="7"/>
        <v>19400046.4476</v>
      </c>
      <c r="G16" s="17">
        <v>17712519</v>
      </c>
      <c r="H16" s="23">
        <f t="shared" si="7"/>
        <v>18066769.379999999</v>
      </c>
      <c r="I16" s="23">
        <f t="shared" ref="I16" si="8">G16*103%</f>
        <v>18243894.57</v>
      </c>
    </row>
    <row r="17" spans="1:9" ht="15.75" x14ac:dyDescent="0.25">
      <c r="A17" s="9"/>
      <c r="B17" s="697"/>
      <c r="C17" s="698"/>
      <c r="D17" s="17">
        <f t="shared" si="4"/>
        <v>0</v>
      </c>
      <c r="E17" s="23"/>
      <c r="F17" s="23"/>
      <c r="G17" s="17">
        <f t="shared" ref="G17" si="9">SUM(H17:J17)</f>
        <v>0</v>
      </c>
      <c r="H17" s="23"/>
      <c r="I17" s="23"/>
    </row>
    <row r="18" spans="1:9" ht="15.75" x14ac:dyDescent="0.25">
      <c r="A18" s="9" t="s">
        <v>23</v>
      </c>
      <c r="B18" s="699" t="s">
        <v>24</v>
      </c>
      <c r="C18" s="699"/>
      <c r="D18" s="17">
        <v>13421000</v>
      </c>
      <c r="E18" s="23">
        <f t="shared" ref="E18" si="10">D18*102%</f>
        <v>13689420</v>
      </c>
      <c r="F18" s="23">
        <f t="shared" si="7"/>
        <v>13963208.4</v>
      </c>
      <c r="G18" s="17">
        <v>13421000</v>
      </c>
      <c r="H18" s="23">
        <f>G18*102%</f>
        <v>13689420</v>
      </c>
      <c r="I18" s="23">
        <f t="shared" ref="I18" si="11">G18*103%</f>
        <v>13823630</v>
      </c>
    </row>
    <row r="19" spans="1:9" ht="15.75" x14ac:dyDescent="0.25">
      <c r="A19" s="9" t="s">
        <v>25</v>
      </c>
      <c r="B19" s="699"/>
      <c r="C19" s="902"/>
      <c r="D19" s="23"/>
      <c r="E19" s="23">
        <v>0</v>
      </c>
      <c r="F19" s="23">
        <f t="shared" si="7"/>
        <v>0</v>
      </c>
      <c r="G19" s="23"/>
      <c r="H19" s="23">
        <v>0</v>
      </c>
      <c r="I19" s="23">
        <f t="shared" ref="I19:I21" si="12">H19*102%</f>
        <v>0</v>
      </c>
    </row>
    <row r="20" spans="1:9" ht="15.75" x14ac:dyDescent="0.25">
      <c r="A20" s="9"/>
      <c r="B20" s="689" t="s">
        <v>498</v>
      </c>
      <c r="C20" s="689"/>
      <c r="D20" s="23">
        <v>0</v>
      </c>
      <c r="E20" s="23">
        <f t="shared" ref="E20:F21" si="13">D20*102%</f>
        <v>0</v>
      </c>
      <c r="F20" s="23">
        <f t="shared" si="13"/>
        <v>0</v>
      </c>
      <c r="G20" s="23">
        <v>0</v>
      </c>
      <c r="H20" s="23">
        <f t="shared" ref="H20:H21" si="14">G20*102%</f>
        <v>0</v>
      </c>
      <c r="I20" s="23">
        <f t="shared" si="12"/>
        <v>0</v>
      </c>
    </row>
    <row r="21" spans="1:9" ht="15.75" x14ac:dyDescent="0.25">
      <c r="A21" s="9"/>
      <c r="B21" s="689" t="s">
        <v>499</v>
      </c>
      <c r="C21" s="689"/>
      <c r="D21" s="25">
        <v>402885678</v>
      </c>
      <c r="E21" s="23">
        <f t="shared" si="13"/>
        <v>410943391.56</v>
      </c>
      <c r="F21" s="23">
        <f t="shared" si="13"/>
        <v>419162259.39120001</v>
      </c>
      <c r="G21" s="25">
        <v>0</v>
      </c>
      <c r="H21" s="23">
        <f t="shared" si="14"/>
        <v>0</v>
      </c>
      <c r="I21" s="23">
        <f t="shared" si="12"/>
        <v>0</v>
      </c>
    </row>
    <row r="22" spans="1:9" ht="15.75" x14ac:dyDescent="0.25">
      <c r="A22" s="9" t="s">
        <v>1</v>
      </c>
      <c r="B22" s="136" t="s">
        <v>28</v>
      </c>
      <c r="C22" s="292"/>
      <c r="D22" s="27">
        <f>D10+D11+D12+D14+D19+D21+D20</f>
        <v>663335209</v>
      </c>
      <c r="E22" s="23">
        <f>+E10+E11+E12+E13+E14+E21+E20</f>
        <v>682411796.5</v>
      </c>
      <c r="F22" s="23">
        <f>+F10+F11+F12+F13+F14+F21+F20</f>
        <v>695433172.57879996</v>
      </c>
      <c r="G22" s="27">
        <f>G10+G11+G12+G14+G19+G21+G20</f>
        <v>296696318</v>
      </c>
      <c r="H22" s="23">
        <f>+H10+H11+H12+H13+H14+H21+H20</f>
        <v>302630244.36000001</v>
      </c>
      <c r="I22" s="23">
        <f>+I10+I11+I12+I13+I14+I21+I20</f>
        <v>305597207.54000002</v>
      </c>
    </row>
    <row r="23" spans="1:9" ht="15.75" x14ac:dyDescent="0.25">
      <c r="A23" s="9" t="s">
        <v>29</v>
      </c>
      <c r="B23" s="689" t="s">
        <v>30</v>
      </c>
      <c r="C23" s="689"/>
      <c r="D23" s="17">
        <v>920189</v>
      </c>
      <c r="E23" s="23">
        <f t="shared" ref="E23:F23" si="15">D23*102%</f>
        <v>938592.78</v>
      </c>
      <c r="F23" s="23">
        <f t="shared" si="15"/>
        <v>957364.63560000004</v>
      </c>
      <c r="G23" s="17">
        <v>273541455</v>
      </c>
      <c r="H23" s="23">
        <f>G23*102%</f>
        <v>279012284.10000002</v>
      </c>
      <c r="I23" s="23">
        <f t="shared" ref="I23:I24" si="16">G23*103%</f>
        <v>281747698.65000004</v>
      </c>
    </row>
    <row r="24" spans="1:9" ht="15.75" x14ac:dyDescent="0.25">
      <c r="A24" s="9" t="s">
        <v>31</v>
      </c>
      <c r="B24" s="689" t="s">
        <v>32</v>
      </c>
      <c r="C24" s="689"/>
      <c r="D24" s="17">
        <v>0</v>
      </c>
      <c r="E24" s="23">
        <f t="shared" ref="E24:F24" si="17">D24*102%</f>
        <v>0</v>
      </c>
      <c r="F24" s="23">
        <f t="shared" si="17"/>
        <v>0</v>
      </c>
      <c r="G24" s="17">
        <v>242449142</v>
      </c>
      <c r="H24" s="23">
        <f>G24*102%</f>
        <v>247298124.84</v>
      </c>
      <c r="I24" s="23">
        <f t="shared" si="16"/>
        <v>249722616.26000002</v>
      </c>
    </row>
    <row r="25" spans="1:9" ht="15.75" x14ac:dyDescent="0.25">
      <c r="A25" s="9" t="s">
        <v>33</v>
      </c>
      <c r="B25" s="689" t="s">
        <v>34</v>
      </c>
      <c r="C25" s="689"/>
      <c r="D25" s="17">
        <v>0</v>
      </c>
      <c r="E25" s="32"/>
      <c r="F25" s="32"/>
      <c r="G25" s="17">
        <v>0</v>
      </c>
      <c r="H25" s="32"/>
      <c r="I25" s="32"/>
    </row>
    <row r="26" spans="1:9" ht="15.75" x14ac:dyDescent="0.25">
      <c r="A26" s="9" t="s">
        <v>35</v>
      </c>
      <c r="B26" s="689" t="s">
        <v>36</v>
      </c>
      <c r="C26" s="689"/>
      <c r="D26" s="30">
        <f>+D23+D24+D25</f>
        <v>920189</v>
      </c>
      <c r="E26" s="32">
        <f>SUM(E23:E25)</f>
        <v>938592.78</v>
      </c>
      <c r="F26" s="32">
        <f>SUM(F23:F25)</f>
        <v>957364.63560000004</v>
      </c>
      <c r="G26" s="30">
        <f>+G23+G24+G25</f>
        <v>515990597</v>
      </c>
      <c r="H26" s="32">
        <f>SUM(H23:H25)</f>
        <v>526310408.94000006</v>
      </c>
      <c r="I26" s="32">
        <f>SUM(I23:I25)</f>
        <v>531470314.91000009</v>
      </c>
    </row>
    <row r="27" spans="1:9" ht="15.75" x14ac:dyDescent="0.25">
      <c r="A27" s="9" t="s">
        <v>37</v>
      </c>
      <c r="B27" s="689"/>
      <c r="C27" s="689"/>
      <c r="D27" s="25"/>
      <c r="E27" s="23"/>
      <c r="F27" s="23"/>
      <c r="G27" s="25"/>
      <c r="H27" s="23"/>
      <c r="I27" s="23"/>
    </row>
    <row r="28" spans="1:9" ht="15.75" x14ac:dyDescent="0.25">
      <c r="A28" s="9" t="s">
        <v>38</v>
      </c>
      <c r="B28" s="691" t="s">
        <v>819</v>
      </c>
      <c r="C28" s="691"/>
      <c r="D28" s="33">
        <v>6152289</v>
      </c>
      <c r="E28" s="33">
        <f>6152289*102%</f>
        <v>6275334.7800000003</v>
      </c>
      <c r="F28" s="23">
        <f t="shared" ref="F28" si="18">E28*102%</f>
        <v>6400841.4756000005</v>
      </c>
      <c r="G28" s="33">
        <v>6159578</v>
      </c>
      <c r="H28" s="23">
        <f>G28*102%</f>
        <v>6282769.5600000005</v>
      </c>
      <c r="I28" s="23">
        <f t="shared" ref="I28:I29" si="19">G28*103%</f>
        <v>6344365.3399999999</v>
      </c>
    </row>
    <row r="29" spans="1:9" ht="15.75" x14ac:dyDescent="0.25">
      <c r="A29" s="9" t="s">
        <v>39</v>
      </c>
      <c r="B29" s="691" t="s">
        <v>946</v>
      </c>
      <c r="C29" s="691"/>
      <c r="D29" s="33"/>
      <c r="E29" s="35"/>
      <c r="F29" s="35"/>
      <c r="G29" s="33">
        <v>977540</v>
      </c>
      <c r="H29" s="23">
        <f>G29*102%</f>
        <v>997090.8</v>
      </c>
      <c r="I29" s="23">
        <f t="shared" si="19"/>
        <v>1006866.2000000001</v>
      </c>
    </row>
    <row r="30" spans="1:9" ht="19.5" x14ac:dyDescent="0.3">
      <c r="A30" s="36" t="s">
        <v>40</v>
      </c>
      <c r="B30" s="685" t="s">
        <v>300</v>
      </c>
      <c r="C30" s="685"/>
      <c r="D30" s="37">
        <f t="shared" ref="D30:I30" si="20">+D22+D26+D27+D28+D29</f>
        <v>670407687</v>
      </c>
      <c r="E30" s="66">
        <f t="shared" si="20"/>
        <v>689625724.05999994</v>
      </c>
      <c r="F30" s="66">
        <f t="shared" si="20"/>
        <v>702791378.68999994</v>
      </c>
      <c r="G30" s="37">
        <f t="shared" si="20"/>
        <v>819824033</v>
      </c>
      <c r="H30" s="66">
        <f t="shared" si="20"/>
        <v>836220513.65999997</v>
      </c>
      <c r="I30" s="66">
        <f t="shared" si="20"/>
        <v>844418753.99000013</v>
      </c>
    </row>
    <row r="31" spans="1:9" ht="15.75" x14ac:dyDescent="0.25">
      <c r="A31" s="40"/>
      <c r="B31" s="903"/>
      <c r="C31" s="903"/>
      <c r="D31" s="41"/>
      <c r="E31" s="332"/>
      <c r="F31" s="332"/>
      <c r="G31" s="41"/>
      <c r="H31" s="332"/>
      <c r="I31" s="332"/>
    </row>
    <row r="32" spans="1:9" ht="15.75" x14ac:dyDescent="0.25">
      <c r="A32" s="9"/>
      <c r="B32" s="758" t="s">
        <v>42</v>
      </c>
      <c r="C32" s="758"/>
      <c r="D32" s="45"/>
      <c r="E32" s="25"/>
      <c r="F32" s="25"/>
      <c r="G32" s="45"/>
      <c r="H32" s="25"/>
      <c r="I32" s="25"/>
    </row>
    <row r="33" spans="1:9" ht="15.75" x14ac:dyDescent="0.25">
      <c r="A33" s="9" t="s">
        <v>43</v>
      </c>
      <c r="B33" s="683" t="s">
        <v>44</v>
      </c>
      <c r="C33" s="683"/>
      <c r="D33" s="48">
        <v>16373216</v>
      </c>
      <c r="E33" s="23">
        <f t="shared" ref="E33:F33" si="21">D33*102%</f>
        <v>16700680.32</v>
      </c>
      <c r="F33" s="23">
        <f t="shared" si="21"/>
        <v>17034693.926400002</v>
      </c>
      <c r="G33" s="48">
        <v>17447242</v>
      </c>
      <c r="H33" s="23">
        <f t="shared" ref="H33" si="22">G33*102%</f>
        <v>17796186.84</v>
      </c>
      <c r="I33" s="23">
        <f t="shared" ref="I33" si="23">G33*103%</f>
        <v>17970659.260000002</v>
      </c>
    </row>
    <row r="34" spans="1:9" ht="15.75" x14ac:dyDescent="0.25">
      <c r="A34" s="9" t="s">
        <v>45</v>
      </c>
      <c r="B34" s="683" t="s">
        <v>46</v>
      </c>
      <c r="C34" s="683"/>
      <c r="D34" s="48">
        <v>44385000</v>
      </c>
      <c r="E34" s="48">
        <f>SUM(E35:E37)</f>
        <v>45272700</v>
      </c>
      <c r="F34" s="48">
        <f>SUM(F35:F37)</f>
        <v>46178154</v>
      </c>
      <c r="G34" s="48">
        <f>G35+G36+G37</f>
        <v>38885000</v>
      </c>
      <c r="H34" s="48">
        <f>SUM(H35:H37)</f>
        <v>39662700</v>
      </c>
      <c r="I34" s="48">
        <f>SUM(I35:I37)</f>
        <v>40051550</v>
      </c>
    </row>
    <row r="35" spans="1:9" ht="15.75" x14ac:dyDescent="0.25">
      <c r="A35" s="9"/>
      <c r="B35" s="51" t="s">
        <v>47</v>
      </c>
      <c r="C35" s="52" t="s">
        <v>48</v>
      </c>
      <c r="D35" s="48">
        <v>40500000</v>
      </c>
      <c r="E35" s="23">
        <f t="shared" ref="E35:F37" si="24">D35*102%</f>
        <v>41310000</v>
      </c>
      <c r="F35" s="23">
        <f t="shared" si="24"/>
        <v>42136200</v>
      </c>
      <c r="G35" s="48">
        <v>38300000</v>
      </c>
      <c r="H35" s="23">
        <f t="shared" ref="H35:H37" si="25">G35*102%</f>
        <v>39066000</v>
      </c>
      <c r="I35" s="23">
        <f t="shared" ref="I35:I37" si="26">G35*103%</f>
        <v>39449000</v>
      </c>
    </row>
    <row r="36" spans="1:9" ht="15.75" x14ac:dyDescent="0.25">
      <c r="A36" s="9"/>
      <c r="B36" s="51" t="s">
        <v>49</v>
      </c>
      <c r="C36" s="52" t="s">
        <v>50</v>
      </c>
      <c r="D36" s="48">
        <v>3300000</v>
      </c>
      <c r="E36" s="23">
        <f t="shared" si="24"/>
        <v>3366000</v>
      </c>
      <c r="F36" s="23">
        <f t="shared" si="24"/>
        <v>3433320</v>
      </c>
      <c r="G36" s="48">
        <v>0</v>
      </c>
      <c r="H36" s="23">
        <f t="shared" si="25"/>
        <v>0</v>
      </c>
      <c r="I36" s="23">
        <f t="shared" si="26"/>
        <v>0</v>
      </c>
    </row>
    <row r="37" spans="1:9" ht="15.75" x14ac:dyDescent="0.25">
      <c r="A37" s="9"/>
      <c r="B37" s="51" t="s">
        <v>51</v>
      </c>
      <c r="C37" s="52" t="s">
        <v>52</v>
      </c>
      <c r="D37" s="48">
        <v>585000</v>
      </c>
      <c r="E37" s="23">
        <f t="shared" si="24"/>
        <v>596700</v>
      </c>
      <c r="F37" s="23">
        <f t="shared" si="24"/>
        <v>608634</v>
      </c>
      <c r="G37" s="48">
        <v>585000</v>
      </c>
      <c r="H37" s="23">
        <f t="shared" si="25"/>
        <v>596700</v>
      </c>
      <c r="I37" s="23">
        <f t="shared" si="26"/>
        <v>602550</v>
      </c>
    </row>
    <row r="38" spans="1:9" ht="15.75" x14ac:dyDescent="0.25">
      <c r="A38" s="9" t="s">
        <v>53</v>
      </c>
      <c r="B38" s="683" t="s">
        <v>54</v>
      </c>
      <c r="C38" s="683"/>
      <c r="D38" s="53">
        <f>D39+D40+D41</f>
        <v>153807216</v>
      </c>
      <c r="E38" s="53">
        <f>SUM(E39:E41)</f>
        <v>156883360.31999999</v>
      </c>
      <c r="F38" s="53">
        <f>SUM(F39:F41)</f>
        <v>160021027.5264</v>
      </c>
      <c r="G38" s="53">
        <f>G39+G40+G41</f>
        <v>153807216</v>
      </c>
      <c r="H38" s="53">
        <f>SUM(H39:H41)</f>
        <v>156883360.31999999</v>
      </c>
      <c r="I38" s="53">
        <f>SUM(I39:I41)</f>
        <v>158421432.47999999</v>
      </c>
    </row>
    <row r="39" spans="1:9" ht="15.75" x14ac:dyDescent="0.25">
      <c r="A39" s="9"/>
      <c r="B39" s="55" t="s">
        <v>55</v>
      </c>
      <c r="C39" s="56" t="s">
        <v>56</v>
      </c>
      <c r="D39" s="53">
        <v>153807216</v>
      </c>
      <c r="E39" s="23">
        <f t="shared" ref="E39:F39" si="27">D39*102%</f>
        <v>156883360.31999999</v>
      </c>
      <c r="F39" s="23">
        <f t="shared" si="27"/>
        <v>160021027.5264</v>
      </c>
      <c r="G39" s="53">
        <v>153807216</v>
      </c>
      <c r="H39" s="23">
        <f t="shared" ref="H39" si="28">G39*102%</f>
        <v>156883360.31999999</v>
      </c>
      <c r="I39" s="23">
        <f t="shared" ref="I39" si="29">G39*103%</f>
        <v>158421432.47999999</v>
      </c>
    </row>
    <row r="40" spans="1:9" ht="15.75" x14ac:dyDescent="0.25">
      <c r="A40" s="9"/>
      <c r="B40" s="55" t="s">
        <v>57</v>
      </c>
      <c r="C40" s="56" t="s">
        <v>58</v>
      </c>
      <c r="D40" s="53">
        <f t="shared" ref="D40" si="30">SUM(E40:G40)</f>
        <v>0</v>
      </c>
      <c r="E40" s="53">
        <f>SUM(F40:G40)</f>
        <v>0</v>
      </c>
      <c r="F40" s="53">
        <f>SUM(G40:H40)</f>
        <v>0</v>
      </c>
      <c r="G40" s="53">
        <f t="shared" ref="G40" si="31">SUM(H40:J40)</f>
        <v>0</v>
      </c>
      <c r="H40" s="53">
        <f>SUM(I40:J40)</f>
        <v>0</v>
      </c>
      <c r="I40" s="53">
        <f>SUM(J40:K40)</f>
        <v>0</v>
      </c>
    </row>
    <row r="41" spans="1:9" ht="15.75" x14ac:dyDescent="0.25">
      <c r="A41" s="9"/>
      <c r="B41" s="55" t="s">
        <v>59</v>
      </c>
      <c r="C41" s="56" t="s">
        <v>60</v>
      </c>
      <c r="D41" s="53">
        <v>0</v>
      </c>
      <c r="E41" s="23">
        <f t="shared" ref="E41:F41" si="32">D41*102%</f>
        <v>0</v>
      </c>
      <c r="F41" s="23">
        <f t="shared" si="32"/>
        <v>0</v>
      </c>
      <c r="G41" s="53">
        <v>0</v>
      </c>
      <c r="H41" s="23">
        <f t="shared" ref="H41" si="33">G41*102%</f>
        <v>0</v>
      </c>
      <c r="I41" s="23">
        <f t="shared" ref="I41" si="34">H41*102%</f>
        <v>0</v>
      </c>
    </row>
    <row r="42" spans="1:9" ht="15.75" x14ac:dyDescent="0.25">
      <c r="A42" s="9" t="s">
        <v>16</v>
      </c>
      <c r="B42" s="683" t="s">
        <v>61</v>
      </c>
      <c r="C42" s="683"/>
      <c r="D42" s="53">
        <f>SUM(D43:D46)</f>
        <v>12232078</v>
      </c>
      <c r="E42" s="49">
        <f>E44+E43+E45</f>
        <v>12476719.560000001</v>
      </c>
      <c r="F42" s="49">
        <f>F44+F43+F45</f>
        <v>12726253.951200001</v>
      </c>
      <c r="G42" s="53">
        <f>SUM(G43:G46)</f>
        <v>28955571</v>
      </c>
      <c r="H42" s="49">
        <f>H44+H43+H45</f>
        <v>29534682.420000002</v>
      </c>
      <c r="I42" s="49">
        <f>I44+I43+I45</f>
        <v>29824238.129999999</v>
      </c>
    </row>
    <row r="43" spans="1:9" ht="15.75" x14ac:dyDescent="0.25">
      <c r="A43" s="9"/>
      <c r="B43" s="55" t="s">
        <v>62</v>
      </c>
      <c r="C43" s="56" t="s">
        <v>63</v>
      </c>
      <c r="D43" s="53">
        <v>11232078</v>
      </c>
      <c r="E43" s="23">
        <f t="shared" ref="E43:F43" si="35">D43*102%</f>
        <v>11456719.560000001</v>
      </c>
      <c r="F43" s="23">
        <f t="shared" si="35"/>
        <v>11685853.951200001</v>
      </c>
      <c r="G43" s="53">
        <v>27515666</v>
      </c>
      <c r="H43" s="23">
        <f t="shared" ref="H43:H44" si="36">G43*102%</f>
        <v>28065979.32</v>
      </c>
      <c r="I43" s="23">
        <f t="shared" ref="I43:I44" si="37">G43*103%</f>
        <v>28341135.98</v>
      </c>
    </row>
    <row r="44" spans="1:9" ht="15.75" x14ac:dyDescent="0.25">
      <c r="A44" s="9"/>
      <c r="B44" s="55" t="s">
        <v>64</v>
      </c>
      <c r="C44" s="56" t="s">
        <v>65</v>
      </c>
      <c r="D44" s="53"/>
      <c r="E44" s="53"/>
      <c r="F44" s="53"/>
      <c r="G44" s="53">
        <v>23905</v>
      </c>
      <c r="H44" s="23">
        <f t="shared" si="36"/>
        <v>24383.100000000002</v>
      </c>
      <c r="I44" s="23">
        <f t="shared" si="37"/>
        <v>24622.15</v>
      </c>
    </row>
    <row r="45" spans="1:9" ht="15.75" x14ac:dyDescent="0.25">
      <c r="A45" s="9"/>
      <c r="B45" s="55" t="s">
        <v>66</v>
      </c>
      <c r="C45" s="56" t="s">
        <v>67</v>
      </c>
      <c r="D45" s="53">
        <v>1000000</v>
      </c>
      <c r="E45" s="23">
        <f t="shared" ref="E45:F45" si="38">D45*102%</f>
        <v>1020000</v>
      </c>
      <c r="F45" s="23">
        <f t="shared" si="38"/>
        <v>1040400</v>
      </c>
      <c r="G45" s="53">
        <v>1416000</v>
      </c>
      <c r="H45" s="23">
        <f t="shared" ref="H45" si="39">G45*102%</f>
        <v>1444320</v>
      </c>
      <c r="I45" s="23">
        <f t="shared" ref="I45" si="40">G45*103%</f>
        <v>1458480</v>
      </c>
    </row>
    <row r="46" spans="1:9" ht="15.75" x14ac:dyDescent="0.25">
      <c r="A46" s="9"/>
      <c r="B46" s="55" t="s">
        <v>68</v>
      </c>
      <c r="C46" s="56" t="s">
        <v>69</v>
      </c>
      <c r="D46" s="53"/>
      <c r="E46" s="53"/>
      <c r="F46" s="53"/>
      <c r="G46" s="53"/>
      <c r="H46" s="53"/>
      <c r="I46" s="53"/>
    </row>
    <row r="47" spans="1:9" s="29" customFormat="1" ht="15.75" x14ac:dyDescent="0.25">
      <c r="A47" s="26" t="s">
        <v>1</v>
      </c>
      <c r="B47" s="687" t="s">
        <v>70</v>
      </c>
      <c r="C47" s="687"/>
      <c r="D47" s="58">
        <f>D42+D38+D33+D34</f>
        <v>226797510</v>
      </c>
      <c r="E47" s="60">
        <f>+E33+E34+E38+E42</f>
        <v>231333460.19999999</v>
      </c>
      <c r="F47" s="60">
        <f>+F33+F34+F38+F42</f>
        <v>235960129.40400001</v>
      </c>
      <c r="G47" s="58">
        <f>G42+G38+G33+G34</f>
        <v>239095029</v>
      </c>
      <c r="H47" s="60">
        <f>+H33+H34+H38+H42</f>
        <v>243876929.57999998</v>
      </c>
      <c r="I47" s="60">
        <f>+I33+I34+I38+I42</f>
        <v>246267879.87</v>
      </c>
    </row>
    <row r="48" spans="1:9" ht="15.75" x14ac:dyDescent="0.25">
      <c r="A48" s="9" t="s">
        <v>18</v>
      </c>
      <c r="B48" s="683" t="s">
        <v>71</v>
      </c>
      <c r="C48" s="683"/>
      <c r="D48" s="49">
        <f>SUM(D49:D50)</f>
        <v>7867898</v>
      </c>
      <c r="E48" s="23">
        <f>E49+E50</f>
        <v>8025255.96</v>
      </c>
      <c r="F48" s="23">
        <f>F49+F50</f>
        <v>8185761.0791999996</v>
      </c>
      <c r="G48" s="49">
        <f>SUM(G49:G50)</f>
        <v>7867898</v>
      </c>
      <c r="H48" s="23">
        <f>H49+H50</f>
        <v>8025255.96</v>
      </c>
      <c r="I48" s="23">
        <f>I49+I50</f>
        <v>8103934.9400000004</v>
      </c>
    </row>
    <row r="49" spans="1:9" ht="15.75" x14ac:dyDescent="0.25">
      <c r="A49" s="9"/>
      <c r="B49" s="55" t="s">
        <v>72</v>
      </c>
      <c r="C49" s="56" t="s">
        <v>73</v>
      </c>
      <c r="D49" s="53">
        <v>3518600</v>
      </c>
      <c r="E49" s="23">
        <f t="shared" ref="E49:E50" si="41">D49*102%</f>
        <v>3588972</v>
      </c>
      <c r="F49" s="23">
        <f t="shared" ref="F49:F50" si="42">E49*102%</f>
        <v>3660751.44</v>
      </c>
      <c r="G49" s="53">
        <v>3518600</v>
      </c>
      <c r="H49" s="23">
        <f t="shared" ref="H49:H50" si="43">G49*102%</f>
        <v>3588972</v>
      </c>
      <c r="I49" s="23">
        <f t="shared" ref="I49:I50" si="44">G49*103%</f>
        <v>3624158</v>
      </c>
    </row>
    <row r="50" spans="1:9" ht="15.75" x14ac:dyDescent="0.25">
      <c r="A50" s="9"/>
      <c r="B50" s="55" t="s">
        <v>74</v>
      </c>
      <c r="C50" s="56" t="s">
        <v>75</v>
      </c>
      <c r="D50" s="53">
        <v>4349298</v>
      </c>
      <c r="E50" s="23">
        <f t="shared" si="41"/>
        <v>4436283.96</v>
      </c>
      <c r="F50" s="23">
        <f t="shared" si="42"/>
        <v>4525009.6392000001</v>
      </c>
      <c r="G50" s="53">
        <v>4349298</v>
      </c>
      <c r="H50" s="23">
        <f t="shared" si="43"/>
        <v>4436283.96</v>
      </c>
      <c r="I50" s="23">
        <f t="shared" si="44"/>
        <v>4479776.9400000004</v>
      </c>
    </row>
    <row r="51" spans="1:9" ht="15.75" x14ac:dyDescent="0.25">
      <c r="A51" s="9" t="s">
        <v>29</v>
      </c>
      <c r="B51" s="683" t="s">
        <v>76</v>
      </c>
      <c r="C51" s="683"/>
      <c r="D51" s="53">
        <f t="shared" ref="D51:I51" si="45">SUM(D52:D53)</f>
        <v>0</v>
      </c>
      <c r="E51" s="53">
        <f t="shared" si="45"/>
        <v>0</v>
      </c>
      <c r="F51" s="53">
        <f t="shared" si="45"/>
        <v>0</v>
      </c>
      <c r="G51" s="53">
        <f t="shared" si="45"/>
        <v>0</v>
      </c>
      <c r="H51" s="53">
        <f t="shared" si="45"/>
        <v>0</v>
      </c>
      <c r="I51" s="53">
        <f t="shared" si="45"/>
        <v>0</v>
      </c>
    </row>
    <row r="52" spans="1:9" ht="15.75" x14ac:dyDescent="0.25">
      <c r="A52" s="9"/>
      <c r="B52" s="55" t="s">
        <v>77</v>
      </c>
      <c r="C52" s="56" t="s">
        <v>78</v>
      </c>
      <c r="D52" s="53"/>
      <c r="E52" s="53"/>
      <c r="F52" s="53"/>
      <c r="G52" s="53"/>
      <c r="H52" s="53"/>
      <c r="I52" s="53"/>
    </row>
    <row r="53" spans="1:9" ht="15.75" x14ac:dyDescent="0.25">
      <c r="A53" s="9"/>
      <c r="B53" s="55" t="s">
        <v>79</v>
      </c>
      <c r="C53" s="56" t="s">
        <v>80</v>
      </c>
      <c r="D53" s="53">
        <v>0</v>
      </c>
      <c r="E53" s="53">
        <v>0</v>
      </c>
      <c r="F53" s="53">
        <v>0</v>
      </c>
      <c r="G53" s="53">
        <v>0</v>
      </c>
      <c r="H53" s="53">
        <v>0</v>
      </c>
      <c r="I53" s="53">
        <v>0</v>
      </c>
    </row>
    <row r="54" spans="1:9" ht="15.75" x14ac:dyDescent="0.25">
      <c r="A54" s="9" t="s">
        <v>31</v>
      </c>
      <c r="B54" s="683" t="s">
        <v>81</v>
      </c>
      <c r="C54" s="683"/>
      <c r="D54" s="53">
        <f t="shared" ref="D54:I54" si="46">SUM(D55:D57)</f>
        <v>32488107</v>
      </c>
      <c r="E54" s="53">
        <f t="shared" si="46"/>
        <v>33137869.140000001</v>
      </c>
      <c r="F54" s="53">
        <f t="shared" si="46"/>
        <v>33800626.522799999</v>
      </c>
      <c r="G54" s="53">
        <f t="shared" si="46"/>
        <v>165026453</v>
      </c>
      <c r="H54" s="53">
        <f t="shared" si="46"/>
        <v>168326982.06</v>
      </c>
      <c r="I54" s="53">
        <f t="shared" si="46"/>
        <v>169977246.59</v>
      </c>
    </row>
    <row r="55" spans="1:9" ht="15.75" x14ac:dyDescent="0.25">
      <c r="A55" s="9"/>
      <c r="B55" s="55" t="s">
        <v>82</v>
      </c>
      <c r="C55" s="56" t="s">
        <v>83</v>
      </c>
      <c r="D55" s="53">
        <v>32488107</v>
      </c>
      <c r="E55" s="23">
        <f t="shared" ref="E55:F55" si="47">D55*102%</f>
        <v>33137869.140000001</v>
      </c>
      <c r="F55" s="23">
        <f t="shared" si="47"/>
        <v>33800626.522799999</v>
      </c>
      <c r="G55" s="53">
        <v>165026453</v>
      </c>
      <c r="H55" s="23">
        <f t="shared" ref="H55" si="48">G55*102%</f>
        <v>168326982.06</v>
      </c>
      <c r="I55" s="23">
        <f t="shared" ref="I55" si="49">G55*103%</f>
        <v>169977246.59</v>
      </c>
    </row>
    <row r="56" spans="1:9" ht="15.75" x14ac:dyDescent="0.25">
      <c r="A56" s="9"/>
      <c r="B56" s="55" t="s">
        <v>84</v>
      </c>
      <c r="C56" s="56" t="s">
        <v>85</v>
      </c>
      <c r="D56" s="53">
        <v>0</v>
      </c>
      <c r="E56" s="23">
        <v>0</v>
      </c>
      <c r="F56" s="23">
        <v>0</v>
      </c>
      <c r="G56" s="53">
        <v>0</v>
      </c>
      <c r="H56" s="23">
        <v>0</v>
      </c>
      <c r="I56" s="23">
        <v>0</v>
      </c>
    </row>
    <row r="57" spans="1:9" ht="15.75" x14ac:dyDescent="0.25">
      <c r="A57" s="9"/>
      <c r="B57" s="55" t="s">
        <v>86</v>
      </c>
      <c r="C57" s="56" t="s">
        <v>87</v>
      </c>
      <c r="D57" s="53"/>
      <c r="E57" s="53"/>
      <c r="F57" s="53"/>
      <c r="G57" s="53"/>
      <c r="H57" s="53"/>
      <c r="I57" s="53"/>
    </row>
    <row r="58" spans="1:9" ht="15.75" x14ac:dyDescent="0.25">
      <c r="A58" s="26" t="s">
        <v>35</v>
      </c>
      <c r="B58" s="687" t="s">
        <v>88</v>
      </c>
      <c r="C58" s="687"/>
      <c r="D58" s="58">
        <f>D48+D51+D54</f>
        <v>40356005</v>
      </c>
      <c r="E58" s="53">
        <f>+E48+E51+E54</f>
        <v>41163125.100000001</v>
      </c>
      <c r="F58" s="53">
        <f>+F48+F51+F54</f>
        <v>41986387.601999998</v>
      </c>
      <c r="G58" s="58">
        <f>G48+G51+G54</f>
        <v>172894351</v>
      </c>
      <c r="H58" s="53">
        <f>+H48+H51+H54</f>
        <v>176352238.02000001</v>
      </c>
      <c r="I58" s="53">
        <f>+I48+I51+I54</f>
        <v>178081181.53</v>
      </c>
    </row>
    <row r="59" spans="1:9" ht="15.75" x14ac:dyDescent="0.25">
      <c r="A59" s="26" t="s">
        <v>37</v>
      </c>
      <c r="B59" s="687" t="s">
        <v>89</v>
      </c>
      <c r="C59" s="687"/>
      <c r="D59" s="60"/>
      <c r="E59" s="60"/>
      <c r="F59" s="60"/>
      <c r="G59" s="60">
        <v>1000000</v>
      </c>
      <c r="H59" s="60">
        <f>G59*102%</f>
        <v>1020000</v>
      </c>
      <c r="I59" s="60">
        <f>G59*103%</f>
        <v>1030000</v>
      </c>
    </row>
    <row r="60" spans="1:9" ht="15.75" x14ac:dyDescent="0.25">
      <c r="A60" s="26" t="s">
        <v>38</v>
      </c>
      <c r="B60" s="687" t="s">
        <v>90</v>
      </c>
      <c r="C60" s="687"/>
      <c r="D60" s="60"/>
      <c r="E60" s="60"/>
      <c r="F60" s="60"/>
      <c r="G60" s="60"/>
      <c r="H60" s="60"/>
      <c r="I60" s="60"/>
    </row>
    <row r="61" spans="1:9" ht="18.75" x14ac:dyDescent="0.3">
      <c r="A61" s="36" t="s">
        <v>91</v>
      </c>
      <c r="B61" s="680" t="s">
        <v>92</v>
      </c>
      <c r="C61" s="680"/>
      <c r="D61" s="63">
        <f>D47+D58</f>
        <v>267153515</v>
      </c>
      <c r="E61" s="63">
        <f>E47+E58+E59+E60</f>
        <v>272496585.30000001</v>
      </c>
      <c r="F61" s="63">
        <f>F47+F58+F59+F60</f>
        <v>277946517.00600004</v>
      </c>
      <c r="G61" s="63">
        <f>G47+G58+G59</f>
        <v>412989380</v>
      </c>
      <c r="H61" s="63">
        <f t="shared" ref="H61:I61" si="50">H47+H58+H59</f>
        <v>421249167.60000002</v>
      </c>
      <c r="I61" s="63">
        <f t="shared" si="50"/>
        <v>425379061.39999998</v>
      </c>
    </row>
    <row r="62" spans="1:9" ht="18.75" x14ac:dyDescent="0.3">
      <c r="A62" s="36"/>
      <c r="B62" s="680" t="s">
        <v>93</v>
      </c>
      <c r="C62" s="680"/>
      <c r="D62" s="66">
        <f t="shared" ref="D62:I62" si="51">+D30-D61</f>
        <v>403254172</v>
      </c>
      <c r="E62" s="66">
        <f t="shared" si="51"/>
        <v>417129138.75999993</v>
      </c>
      <c r="F62" s="66">
        <f t="shared" si="51"/>
        <v>424844861.6839999</v>
      </c>
      <c r="G62" s="66">
        <f t="shared" si="51"/>
        <v>406834653</v>
      </c>
      <c r="H62" s="66">
        <f t="shared" si="51"/>
        <v>414971346.05999994</v>
      </c>
      <c r="I62" s="66">
        <f t="shared" si="51"/>
        <v>419039692.59000015</v>
      </c>
    </row>
    <row r="63" spans="1:9" ht="18.75" x14ac:dyDescent="0.3">
      <c r="A63" s="36"/>
      <c r="B63" s="683" t="s">
        <v>94</v>
      </c>
      <c r="C63" s="683"/>
      <c r="D63" s="66"/>
      <c r="E63" s="74"/>
      <c r="F63" s="74"/>
      <c r="G63" s="66"/>
      <c r="H63" s="74"/>
      <c r="I63" s="74"/>
    </row>
    <row r="64" spans="1:9" ht="15.75" x14ac:dyDescent="0.25">
      <c r="A64" s="26" t="s">
        <v>39</v>
      </c>
      <c r="B64" s="683" t="s">
        <v>95</v>
      </c>
      <c r="C64" s="683"/>
      <c r="D64" s="25">
        <f>D65+D66</f>
        <v>403254172</v>
      </c>
      <c r="E64" s="25">
        <f>SUM(E65:E66)</f>
        <v>417129138.57999998</v>
      </c>
      <c r="F64" s="25">
        <f>SUM(F65:F66)</f>
        <v>424844861.93159997</v>
      </c>
      <c r="G64" s="25">
        <f>G65+G66</f>
        <v>406827364</v>
      </c>
      <c r="H64" s="25">
        <f>SUM(H65:H66)</f>
        <v>414963911.28000003</v>
      </c>
      <c r="I64" s="23">
        <f t="shared" ref="I64:I66" si="52">G64*103%</f>
        <v>419032184.92000002</v>
      </c>
    </row>
    <row r="65" spans="1:9" ht="18.75" x14ac:dyDescent="0.25">
      <c r="A65" s="36"/>
      <c r="B65" s="68" t="s">
        <v>43</v>
      </c>
      <c r="C65" s="56" t="s">
        <v>96</v>
      </c>
      <c r="D65" s="25">
        <v>21049429</v>
      </c>
      <c r="E65" s="23">
        <f t="shared" ref="E65:F65" si="53">D65*102%</f>
        <v>21470417.580000002</v>
      </c>
      <c r="F65" s="23">
        <f t="shared" si="53"/>
        <v>21899825.931600001</v>
      </c>
      <c r="G65" s="25">
        <v>24622621</v>
      </c>
      <c r="H65" s="23">
        <f t="shared" ref="H65:H66" si="54">G65*102%</f>
        <v>25115073.420000002</v>
      </c>
      <c r="I65" s="23">
        <f t="shared" si="52"/>
        <v>25361299.629999999</v>
      </c>
    </row>
    <row r="66" spans="1:9" ht="18.75" x14ac:dyDescent="0.25">
      <c r="A66" s="36"/>
      <c r="B66" s="68" t="s">
        <v>45</v>
      </c>
      <c r="C66" s="56" t="s">
        <v>97</v>
      </c>
      <c r="D66" s="25">
        <v>382204743</v>
      </c>
      <c r="E66" s="23">
        <v>395658721</v>
      </c>
      <c r="F66" s="23">
        <v>402945036</v>
      </c>
      <c r="G66" s="25">
        <v>382204743</v>
      </c>
      <c r="H66" s="23">
        <f t="shared" si="54"/>
        <v>389848837.86000001</v>
      </c>
      <c r="I66" s="23">
        <f t="shared" si="52"/>
        <v>393670885.29000002</v>
      </c>
    </row>
    <row r="67" spans="1:9" ht="18.75" x14ac:dyDescent="0.3">
      <c r="A67" s="36" t="s">
        <v>98</v>
      </c>
      <c r="B67" s="685" t="s">
        <v>99</v>
      </c>
      <c r="C67" s="685"/>
      <c r="D67" s="66">
        <f t="shared" ref="D67:I67" si="55">D64</f>
        <v>403254172</v>
      </c>
      <c r="E67" s="70">
        <f t="shared" si="55"/>
        <v>417129138.57999998</v>
      </c>
      <c r="F67" s="70">
        <f t="shared" si="55"/>
        <v>424844861.93159997</v>
      </c>
      <c r="G67" s="66">
        <f t="shared" si="55"/>
        <v>406827364</v>
      </c>
      <c r="H67" s="70">
        <f t="shared" si="55"/>
        <v>414963911.28000003</v>
      </c>
      <c r="I67" s="70">
        <f t="shared" si="55"/>
        <v>419032184.92000002</v>
      </c>
    </row>
    <row r="68" spans="1:9" ht="18.75" x14ac:dyDescent="0.3">
      <c r="A68" s="9" t="s">
        <v>100</v>
      </c>
      <c r="B68" s="683" t="s">
        <v>101</v>
      </c>
      <c r="C68" s="683"/>
      <c r="D68" s="66"/>
      <c r="E68" s="66"/>
      <c r="F68" s="66"/>
      <c r="G68" s="66"/>
      <c r="H68" s="66"/>
      <c r="I68" s="66"/>
    </row>
    <row r="69" spans="1:9" ht="18.75" x14ac:dyDescent="0.3">
      <c r="A69" s="9" t="s">
        <v>102</v>
      </c>
      <c r="B69" s="683" t="s">
        <v>103</v>
      </c>
      <c r="C69" s="683"/>
      <c r="D69" s="66">
        <f t="shared" ref="D69:I69" si="56">SUM(D70:D73)</f>
        <v>0</v>
      </c>
      <c r="E69" s="66">
        <f t="shared" si="56"/>
        <v>0</v>
      </c>
      <c r="F69" s="66">
        <f t="shared" si="56"/>
        <v>0</v>
      </c>
      <c r="G69" s="66">
        <f t="shared" si="56"/>
        <v>0</v>
      </c>
      <c r="H69" s="66">
        <f t="shared" si="56"/>
        <v>0</v>
      </c>
      <c r="I69" s="66">
        <f t="shared" si="56"/>
        <v>0</v>
      </c>
    </row>
    <row r="70" spans="1:9" ht="18.75" x14ac:dyDescent="0.3">
      <c r="A70" s="9"/>
      <c r="B70" s="55" t="s">
        <v>43</v>
      </c>
      <c r="C70" s="56" t="s">
        <v>302</v>
      </c>
      <c r="D70" s="74"/>
      <c r="E70" s="74"/>
      <c r="F70" s="74"/>
      <c r="G70" s="74"/>
      <c r="H70" s="74"/>
      <c r="I70" s="74"/>
    </row>
    <row r="71" spans="1:9" ht="18.75" x14ac:dyDescent="0.3">
      <c r="A71" s="9"/>
      <c r="B71" s="55" t="s">
        <v>45</v>
      </c>
      <c r="C71" s="56" t="s">
        <v>105</v>
      </c>
      <c r="D71" s="66"/>
      <c r="E71" s="66"/>
      <c r="F71" s="66"/>
      <c r="G71" s="66"/>
      <c r="H71" s="66"/>
      <c r="I71" s="66"/>
    </row>
    <row r="72" spans="1:9" ht="18.75" x14ac:dyDescent="0.3">
      <c r="A72" s="9"/>
      <c r="B72" s="55" t="s">
        <v>53</v>
      </c>
      <c r="C72" s="56" t="s">
        <v>106</v>
      </c>
      <c r="D72" s="74"/>
      <c r="E72" s="74"/>
      <c r="F72" s="74"/>
      <c r="G72" s="74"/>
      <c r="H72" s="74"/>
      <c r="I72" s="74"/>
    </row>
    <row r="73" spans="1:9" ht="18.75" x14ac:dyDescent="0.3">
      <c r="A73" s="9"/>
      <c r="B73" s="55" t="s">
        <v>16</v>
      </c>
      <c r="C73" s="56" t="s">
        <v>107</v>
      </c>
      <c r="D73" s="74"/>
      <c r="E73" s="74"/>
      <c r="F73" s="74"/>
      <c r="G73" s="74"/>
      <c r="H73" s="74"/>
      <c r="I73" s="74"/>
    </row>
    <row r="74" spans="1:9" ht="18.75" x14ac:dyDescent="0.3">
      <c r="A74" s="9"/>
      <c r="B74" s="55"/>
      <c r="C74" s="691" t="s">
        <v>947</v>
      </c>
      <c r="D74" s="691"/>
      <c r="E74" s="74"/>
      <c r="F74" s="74"/>
      <c r="G74" s="74">
        <v>7289</v>
      </c>
      <c r="H74" s="74">
        <f>7289*102%</f>
        <v>7434.78</v>
      </c>
      <c r="I74" s="74">
        <f>G74*103%</f>
        <v>7507.67</v>
      </c>
    </row>
    <row r="75" spans="1:9" ht="19.5" x14ac:dyDescent="0.3">
      <c r="A75" s="36" t="s">
        <v>108</v>
      </c>
      <c r="B75" s="684" t="s">
        <v>109</v>
      </c>
      <c r="C75" s="684"/>
      <c r="D75" s="66">
        <f t="shared" ref="D75:I75" si="57">+D68+D69</f>
        <v>0</v>
      </c>
      <c r="E75" s="66">
        <f t="shared" si="57"/>
        <v>0</v>
      </c>
      <c r="F75" s="66">
        <f t="shared" si="57"/>
        <v>0</v>
      </c>
      <c r="G75" s="66">
        <f t="shared" si="57"/>
        <v>0</v>
      </c>
      <c r="H75" s="66">
        <f t="shared" si="57"/>
        <v>0</v>
      </c>
      <c r="I75" s="66">
        <f t="shared" si="57"/>
        <v>0</v>
      </c>
    </row>
    <row r="76" spans="1:9" ht="18.75" x14ac:dyDescent="0.3">
      <c r="A76" s="36" t="s">
        <v>110</v>
      </c>
      <c r="B76" s="680" t="s">
        <v>111</v>
      </c>
      <c r="C76" s="680"/>
      <c r="D76" s="66">
        <f t="shared" ref="D76:I76" si="58">+D67+D75</f>
        <v>403254172</v>
      </c>
      <c r="E76" s="66">
        <f t="shared" si="58"/>
        <v>417129138.57999998</v>
      </c>
      <c r="F76" s="66">
        <f t="shared" si="58"/>
        <v>424844861.93159997</v>
      </c>
      <c r="G76" s="66">
        <f t="shared" si="58"/>
        <v>406827364</v>
      </c>
      <c r="H76" s="66">
        <f t="shared" si="58"/>
        <v>414963911.28000003</v>
      </c>
      <c r="I76" s="66">
        <f t="shared" si="58"/>
        <v>419032184.92000002</v>
      </c>
    </row>
    <row r="77" spans="1:9" ht="18.75" x14ac:dyDescent="0.3">
      <c r="A77" s="9" t="s">
        <v>112</v>
      </c>
      <c r="B77" s="683" t="s">
        <v>113</v>
      </c>
      <c r="C77" s="683"/>
      <c r="D77" s="66"/>
      <c r="E77" s="23">
        <f t="shared" ref="E77:F77" si="59">D77*102%</f>
        <v>0</v>
      </c>
      <c r="F77" s="23">
        <f t="shared" si="59"/>
        <v>0</v>
      </c>
      <c r="G77" s="66"/>
      <c r="H77" s="23">
        <f t="shared" ref="H77" si="60">G77*102%</f>
        <v>0</v>
      </c>
      <c r="I77" s="23">
        <f t="shared" ref="I77" si="61">H77*102%</f>
        <v>0</v>
      </c>
    </row>
    <row r="78" spans="1:9" ht="18.75" x14ac:dyDescent="0.3">
      <c r="A78" s="9" t="s">
        <v>114</v>
      </c>
      <c r="B78" s="683" t="s">
        <v>115</v>
      </c>
      <c r="C78" s="683"/>
      <c r="D78" s="74">
        <f>SUM(D79:D81)</f>
        <v>0</v>
      </c>
      <c r="E78" s="74">
        <f>F78+G78</f>
        <v>0</v>
      </c>
      <c r="F78" s="74">
        <f>G78+H78</f>
        <v>0</v>
      </c>
      <c r="G78" s="74">
        <f>SUM(G79:G81)</f>
        <v>0</v>
      </c>
      <c r="H78" s="74">
        <f>I78+J78</f>
        <v>0</v>
      </c>
      <c r="I78" s="74">
        <f>J78+K78</f>
        <v>0</v>
      </c>
    </row>
    <row r="79" spans="1:9" ht="18.75" x14ac:dyDescent="0.3">
      <c r="A79" s="9"/>
      <c r="B79" s="55" t="s">
        <v>43</v>
      </c>
      <c r="C79" s="56" t="s">
        <v>304</v>
      </c>
      <c r="D79" s="74"/>
      <c r="E79" s="74"/>
      <c r="F79" s="74"/>
      <c r="G79" s="74"/>
      <c r="H79" s="74"/>
      <c r="I79" s="74"/>
    </row>
    <row r="80" spans="1:9" ht="18.75" x14ac:dyDescent="0.3">
      <c r="A80" s="9"/>
      <c r="B80" s="55" t="s">
        <v>45</v>
      </c>
      <c r="C80" s="56" t="s">
        <v>305</v>
      </c>
      <c r="D80" s="74"/>
      <c r="E80" s="74"/>
      <c r="F80" s="74"/>
      <c r="G80" s="74"/>
      <c r="H80" s="74"/>
      <c r="I80" s="74"/>
    </row>
    <row r="81" spans="1:9" ht="18.75" x14ac:dyDescent="0.3">
      <c r="A81" s="9" t="s">
        <v>119</v>
      </c>
      <c r="B81" s="678"/>
      <c r="C81" s="679"/>
      <c r="D81" s="74"/>
      <c r="E81" s="74">
        <v>0</v>
      </c>
      <c r="F81" s="74">
        <v>0</v>
      </c>
      <c r="G81" s="74"/>
      <c r="H81" s="74">
        <v>0</v>
      </c>
      <c r="I81" s="74">
        <v>0</v>
      </c>
    </row>
    <row r="82" spans="1:9" ht="18.75" x14ac:dyDescent="0.3">
      <c r="A82" s="36" t="s">
        <v>120</v>
      </c>
      <c r="B82" s="680" t="s">
        <v>306</v>
      </c>
      <c r="C82" s="680"/>
      <c r="D82" s="74"/>
      <c r="E82" s="66">
        <f>+E77+E78+E81</f>
        <v>0</v>
      </c>
      <c r="F82" s="66">
        <f>+F77+F78+F81</f>
        <v>0</v>
      </c>
      <c r="G82" s="74"/>
      <c r="H82" s="66">
        <f>+H77+H78+H81</f>
        <v>0</v>
      </c>
      <c r="I82" s="66">
        <f>+I77+I78+I81</f>
        <v>0</v>
      </c>
    </row>
    <row r="83" spans="1:9" ht="19.5" thickBot="1" x14ac:dyDescent="0.35">
      <c r="A83" s="36" t="s">
        <v>122</v>
      </c>
      <c r="B83" s="680" t="s">
        <v>123</v>
      </c>
      <c r="C83" s="680"/>
      <c r="D83" s="83">
        <f>D30+D82</f>
        <v>670407687</v>
      </c>
      <c r="E83" s="83">
        <f t="shared" ref="E83:F83" si="62">E30+E82</f>
        <v>689625724.05999994</v>
      </c>
      <c r="F83" s="83">
        <f t="shared" si="62"/>
        <v>702791378.68999994</v>
      </c>
      <c r="G83" s="83">
        <f>G30+G82</f>
        <v>819824033</v>
      </c>
      <c r="H83" s="83">
        <f t="shared" ref="H83:I83" si="63">H30+H82</f>
        <v>836220513.65999997</v>
      </c>
      <c r="I83" s="83">
        <f t="shared" si="63"/>
        <v>844418753.99000013</v>
      </c>
    </row>
    <row r="84" spans="1:9" ht="19.5" thickBot="1" x14ac:dyDescent="0.35">
      <c r="A84" s="303" t="s">
        <v>124</v>
      </c>
      <c r="B84" s="304" t="s">
        <v>125</v>
      </c>
      <c r="C84" s="304"/>
      <c r="D84" s="83">
        <f>+D61+D76+D63</f>
        <v>670407687</v>
      </c>
      <c r="E84" s="83">
        <f>E33+E34+E38+E43+E45+E48+E54+E64</f>
        <v>689625723.88</v>
      </c>
      <c r="F84" s="83">
        <f t="shared" ref="F84" si="64">+F61+F76+F63</f>
        <v>702791378.93760002</v>
      </c>
      <c r="G84" s="83">
        <f>+G61+G76+G63+G74</f>
        <v>819824033</v>
      </c>
      <c r="H84" s="83">
        <f t="shared" ref="H84:I84" si="65">+H61+H76+H63+H74</f>
        <v>836220513.66000009</v>
      </c>
      <c r="I84" s="83">
        <f t="shared" si="65"/>
        <v>844418753.98999989</v>
      </c>
    </row>
    <row r="85" spans="1:9" ht="15.75" x14ac:dyDescent="0.25">
      <c r="A85" s="2"/>
      <c r="B85" s="85"/>
      <c r="C85" s="85"/>
      <c r="E85" s="86"/>
      <c r="F85" s="86"/>
    </row>
  </sheetData>
  <mergeCells count="64">
    <mergeCell ref="B13:C13"/>
    <mergeCell ref="A1:F1"/>
    <mergeCell ref="A2:F2"/>
    <mergeCell ref="A3:F3"/>
    <mergeCell ref="A4:F4"/>
    <mergeCell ref="A5:F5"/>
    <mergeCell ref="A6:A8"/>
    <mergeCell ref="B6:C8"/>
    <mergeCell ref="D6:D7"/>
    <mergeCell ref="E6:E7"/>
    <mergeCell ref="F6:F7"/>
    <mergeCell ref="D8:F8"/>
    <mergeCell ref="B9:C9"/>
    <mergeCell ref="B10:C10"/>
    <mergeCell ref="B11:C11"/>
    <mergeCell ref="B12:C12"/>
    <mergeCell ref="B26:C26"/>
    <mergeCell ref="B14:C14"/>
    <mergeCell ref="B15:C15"/>
    <mergeCell ref="B16:C16"/>
    <mergeCell ref="B17:C17"/>
    <mergeCell ref="B18:C18"/>
    <mergeCell ref="B19:C19"/>
    <mergeCell ref="B20:C20"/>
    <mergeCell ref="B21:C21"/>
    <mergeCell ref="B23:C23"/>
    <mergeCell ref="B24:C24"/>
    <mergeCell ref="B25:C25"/>
    <mergeCell ref="B68:C68"/>
    <mergeCell ref="B48:C48"/>
    <mergeCell ref="B27:C27"/>
    <mergeCell ref="B28:C28"/>
    <mergeCell ref="B29:C29"/>
    <mergeCell ref="B30:C30"/>
    <mergeCell ref="B31:C31"/>
    <mergeCell ref="B32:C32"/>
    <mergeCell ref="B33:C33"/>
    <mergeCell ref="B34:C34"/>
    <mergeCell ref="B38:C38"/>
    <mergeCell ref="B42:C42"/>
    <mergeCell ref="B47:C47"/>
    <mergeCell ref="B83:C83"/>
    <mergeCell ref="B75:C75"/>
    <mergeCell ref="B76:C76"/>
    <mergeCell ref="B77:C77"/>
    <mergeCell ref="B78:C78"/>
    <mergeCell ref="B81:C81"/>
    <mergeCell ref="B82:C82"/>
    <mergeCell ref="G6:G7"/>
    <mergeCell ref="H6:H7"/>
    <mergeCell ref="I6:I7"/>
    <mergeCell ref="G8:I8"/>
    <mergeCell ref="C74:D74"/>
    <mergeCell ref="B69:C69"/>
    <mergeCell ref="B51:C51"/>
    <mergeCell ref="B54:C54"/>
    <mergeCell ref="B58:C58"/>
    <mergeCell ref="B59:C59"/>
    <mergeCell ref="B60:C60"/>
    <mergeCell ref="B61:C61"/>
    <mergeCell ref="B62:C62"/>
    <mergeCell ref="B63:C63"/>
    <mergeCell ref="B64:C64"/>
    <mergeCell ref="B67:C67"/>
  </mergeCells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J52"/>
  <sheetViews>
    <sheetView topLeftCell="C1" workbookViewId="0">
      <selection activeCell="J36" sqref="J36"/>
    </sheetView>
  </sheetViews>
  <sheetFormatPr defaultColWidth="52.5703125" defaultRowHeight="15" x14ac:dyDescent="0.25"/>
  <cols>
    <col min="1" max="1" width="3.7109375" customWidth="1"/>
    <col min="2" max="2" width="45.7109375" customWidth="1"/>
    <col min="3" max="3" width="8.140625" customWidth="1"/>
    <col min="4" max="5" width="18" customWidth="1"/>
    <col min="6" max="6" width="3.85546875" bestFit="1" customWidth="1"/>
    <col min="8" max="8" width="7.5703125" customWidth="1"/>
    <col min="9" max="9" width="20.7109375" customWidth="1"/>
    <col min="10" max="10" width="19.140625" bestFit="1" customWidth="1"/>
  </cols>
  <sheetData>
    <row r="1" spans="1:10" ht="18.75" x14ac:dyDescent="0.3">
      <c r="B1" s="708" t="s">
        <v>707</v>
      </c>
      <c r="C1" s="708"/>
      <c r="D1" s="708"/>
      <c r="E1" s="708"/>
      <c r="F1" s="708"/>
      <c r="G1" s="708"/>
      <c r="H1" s="708"/>
      <c r="I1" s="708"/>
      <c r="J1" s="708"/>
    </row>
    <row r="2" spans="1:10" ht="15.75" x14ac:dyDescent="0.25">
      <c r="B2" s="710" t="s">
        <v>3</v>
      </c>
      <c r="C2" s="710"/>
      <c r="D2" s="710"/>
      <c r="E2" s="710"/>
      <c r="F2" s="710"/>
      <c r="G2" s="710"/>
      <c r="H2" s="710"/>
      <c r="I2" s="710"/>
      <c r="J2" s="710"/>
    </row>
    <row r="3" spans="1:10" ht="15.75" x14ac:dyDescent="0.25">
      <c r="B3" s="710" t="s">
        <v>126</v>
      </c>
      <c r="C3" s="710"/>
      <c r="D3" s="710"/>
      <c r="E3" s="710"/>
      <c r="F3" s="710"/>
      <c r="G3" s="710"/>
      <c r="H3" s="710"/>
      <c r="I3" s="710"/>
      <c r="J3" s="710"/>
    </row>
    <row r="4" spans="1:10" ht="15.75" x14ac:dyDescent="0.25">
      <c r="B4" s="711" t="s">
        <v>127</v>
      </c>
      <c r="C4" s="711"/>
      <c r="D4" s="711"/>
      <c r="E4" s="711"/>
      <c r="F4" s="711"/>
      <c r="G4" s="711"/>
      <c r="H4" s="711"/>
      <c r="I4" s="711"/>
      <c r="J4" s="711"/>
    </row>
    <row r="5" spans="1:10" ht="16.5" thickBot="1" x14ac:dyDescent="0.3">
      <c r="A5" s="88"/>
      <c r="B5" s="89"/>
      <c r="C5" s="89"/>
      <c r="D5" s="89"/>
      <c r="E5" s="519"/>
      <c r="F5" s="89"/>
      <c r="G5" s="89"/>
      <c r="H5" s="89"/>
      <c r="I5" s="519"/>
      <c r="J5" s="89"/>
    </row>
    <row r="6" spans="1:10" ht="28.5" x14ac:dyDescent="0.25">
      <c r="A6" s="90"/>
      <c r="B6" s="760" t="s">
        <v>6</v>
      </c>
      <c r="C6" s="762" t="s">
        <v>7</v>
      </c>
      <c r="D6" s="91" t="s">
        <v>128</v>
      </c>
      <c r="E6" s="525" t="s">
        <v>128</v>
      </c>
      <c r="F6" s="91"/>
      <c r="G6" s="715" t="s">
        <v>7</v>
      </c>
      <c r="H6" s="765"/>
      <c r="I6" s="766" t="s">
        <v>128</v>
      </c>
      <c r="J6" s="766" t="s">
        <v>128</v>
      </c>
    </row>
    <row r="7" spans="1:10" x14ac:dyDescent="0.25">
      <c r="A7" s="92"/>
      <c r="B7" s="761"/>
      <c r="C7" s="763"/>
      <c r="D7" s="93" t="s">
        <v>853</v>
      </c>
      <c r="E7" s="526" t="s">
        <v>867</v>
      </c>
      <c r="F7" s="93"/>
      <c r="G7" s="716"/>
      <c r="H7" s="759"/>
      <c r="I7" s="767"/>
      <c r="J7" s="767"/>
    </row>
    <row r="8" spans="1:10" ht="12.75" customHeight="1" x14ac:dyDescent="0.25">
      <c r="A8" s="92"/>
      <c r="B8" s="761"/>
      <c r="C8" s="764"/>
      <c r="D8" s="93" t="s">
        <v>854</v>
      </c>
      <c r="E8" s="526" t="s">
        <v>854</v>
      </c>
      <c r="F8" s="93"/>
      <c r="G8" s="716"/>
      <c r="H8" s="759"/>
      <c r="I8" s="527" t="s">
        <v>855</v>
      </c>
      <c r="J8" s="355" t="s">
        <v>868</v>
      </c>
    </row>
    <row r="9" spans="1:10" ht="15.75" x14ac:dyDescent="0.25">
      <c r="A9" s="92"/>
      <c r="B9" s="758" t="s">
        <v>42</v>
      </c>
      <c r="C9" s="758"/>
      <c r="D9" s="18"/>
      <c r="E9" s="18"/>
      <c r="F9" s="93"/>
      <c r="G9" s="716" t="s">
        <v>12</v>
      </c>
      <c r="H9" s="759"/>
      <c r="I9" s="356"/>
      <c r="J9" s="356"/>
    </row>
    <row r="10" spans="1:10" ht="15.75" x14ac:dyDescent="0.25">
      <c r="A10" s="92" t="s">
        <v>43</v>
      </c>
      <c r="B10" s="683" t="s">
        <v>129</v>
      </c>
      <c r="C10" s="683"/>
      <c r="D10" s="18">
        <v>16373216</v>
      </c>
      <c r="E10" s="18">
        <v>17447242</v>
      </c>
      <c r="F10" s="94" t="s">
        <v>43</v>
      </c>
      <c r="G10" s="689" t="s">
        <v>13</v>
      </c>
      <c r="H10" s="736"/>
      <c r="I10" s="357">
        <v>123581666</v>
      </c>
      <c r="J10" s="357">
        <v>124621103</v>
      </c>
    </row>
    <row r="11" spans="1:10" ht="15.75" x14ac:dyDescent="0.25">
      <c r="A11" s="92" t="s">
        <v>45</v>
      </c>
      <c r="B11" s="683" t="s">
        <v>46</v>
      </c>
      <c r="C11" s="683"/>
      <c r="D11" s="18">
        <v>44385000</v>
      </c>
      <c r="E11" s="18">
        <v>38885000</v>
      </c>
      <c r="F11" s="94" t="s">
        <v>45</v>
      </c>
      <c r="G11" s="689" t="s">
        <v>14</v>
      </c>
      <c r="H11" s="736"/>
      <c r="I11" s="357">
        <v>22751012</v>
      </c>
      <c r="J11" s="357">
        <v>21372322</v>
      </c>
    </row>
    <row r="12" spans="1:10" ht="15.75" x14ac:dyDescent="0.25">
      <c r="A12" s="92" t="s">
        <v>53</v>
      </c>
      <c r="B12" s="683" t="s">
        <v>54</v>
      </c>
      <c r="C12" s="683"/>
      <c r="D12" s="18">
        <v>153807216</v>
      </c>
      <c r="E12" s="18">
        <v>153807216</v>
      </c>
      <c r="F12" s="94" t="s">
        <v>53</v>
      </c>
      <c r="G12" s="689" t="s">
        <v>15</v>
      </c>
      <c r="H12" s="736"/>
      <c r="I12" s="357">
        <v>82049134</v>
      </c>
      <c r="J12" s="357">
        <v>119569374</v>
      </c>
    </row>
    <row r="13" spans="1:10" ht="15.75" x14ac:dyDescent="0.25">
      <c r="A13" s="92" t="s">
        <v>16</v>
      </c>
      <c r="B13" s="683" t="s">
        <v>61</v>
      </c>
      <c r="C13" s="683"/>
      <c r="D13" s="18">
        <v>12232078</v>
      </c>
      <c r="E13" s="18">
        <v>28955571</v>
      </c>
      <c r="F13" s="94" t="s">
        <v>16</v>
      </c>
      <c r="G13" s="695" t="s">
        <v>19</v>
      </c>
      <c r="H13" s="757"/>
      <c r="I13" s="358">
        <f>SUM(I14:I18)-I16</f>
        <v>32067719</v>
      </c>
      <c r="J13" s="358">
        <f>SUM(J14:J18)-J16</f>
        <v>31133519</v>
      </c>
    </row>
    <row r="14" spans="1:10" ht="15.75" x14ac:dyDescent="0.25">
      <c r="A14" s="95"/>
      <c r="B14" s="751"/>
      <c r="C14" s="751"/>
      <c r="D14" s="96"/>
      <c r="E14" s="96"/>
      <c r="F14" s="94" t="s">
        <v>20</v>
      </c>
      <c r="G14" s="696" t="s">
        <v>130</v>
      </c>
      <c r="H14" s="752"/>
      <c r="I14" s="358"/>
      <c r="J14" s="358"/>
    </row>
    <row r="15" spans="1:10" ht="15.75" x14ac:dyDescent="0.25">
      <c r="A15" s="95"/>
      <c r="B15" s="751"/>
      <c r="C15" s="751"/>
      <c r="D15" s="96"/>
      <c r="E15" s="96"/>
      <c r="F15" s="94" t="s">
        <v>21</v>
      </c>
      <c r="G15" s="696" t="s">
        <v>131</v>
      </c>
      <c r="H15" s="752"/>
      <c r="I15" s="357">
        <v>18646719</v>
      </c>
      <c r="J15" s="357">
        <v>17712519</v>
      </c>
    </row>
    <row r="16" spans="1:10" ht="15.75" customHeight="1" x14ac:dyDescent="0.25">
      <c r="A16" s="95"/>
      <c r="B16" s="751"/>
      <c r="C16" s="751"/>
      <c r="D16" s="96"/>
      <c r="E16" s="96"/>
      <c r="F16" s="94" t="s">
        <v>23</v>
      </c>
      <c r="G16" s="699"/>
      <c r="H16" s="753"/>
      <c r="I16" s="358"/>
      <c r="J16" s="358"/>
    </row>
    <row r="17" spans="1:10" ht="16.5" x14ac:dyDescent="0.25">
      <c r="A17" s="97"/>
      <c r="B17" s="754"/>
      <c r="C17" s="754"/>
      <c r="D17" s="98"/>
      <c r="E17" s="98"/>
      <c r="F17" s="99" t="s">
        <v>25</v>
      </c>
      <c r="G17" s="755" t="s">
        <v>133</v>
      </c>
      <c r="H17" s="756"/>
      <c r="I17" s="359"/>
      <c r="J17" s="359"/>
    </row>
    <row r="18" spans="1:10" ht="15.75" x14ac:dyDescent="0.25">
      <c r="A18" s="100"/>
      <c r="B18" s="101"/>
      <c r="C18" s="101"/>
      <c r="D18" s="102"/>
      <c r="E18" s="102"/>
      <c r="F18" s="103" t="s">
        <v>18</v>
      </c>
      <c r="G18" s="699" t="s">
        <v>24</v>
      </c>
      <c r="H18" s="748"/>
      <c r="I18" s="359">
        <v>13421000</v>
      </c>
      <c r="J18" s="359">
        <v>13421000</v>
      </c>
    </row>
    <row r="19" spans="1:10" ht="16.5" customHeight="1" thickBot="1" x14ac:dyDescent="0.3">
      <c r="A19" s="100"/>
      <c r="B19" s="101"/>
      <c r="C19" s="101"/>
      <c r="D19" s="102"/>
      <c r="E19" s="102"/>
      <c r="F19" s="104"/>
      <c r="G19" s="749" t="s">
        <v>26</v>
      </c>
      <c r="H19" s="750"/>
      <c r="I19" s="360">
        <v>402885678</v>
      </c>
      <c r="J19" s="360">
        <v>0</v>
      </c>
    </row>
    <row r="20" spans="1:10" s="109" customFormat="1" ht="15.75" thickBot="1" x14ac:dyDescent="0.3">
      <c r="A20" s="105" t="s">
        <v>40</v>
      </c>
      <c r="B20" s="740" t="s">
        <v>134</v>
      </c>
      <c r="C20" s="740"/>
      <c r="D20" s="106">
        <f>SUM(D10:D18)</f>
        <v>226797510</v>
      </c>
      <c r="E20" s="106">
        <f>SUM(E10:E18)</f>
        <v>239095029</v>
      </c>
      <c r="F20" s="107" t="s">
        <v>40</v>
      </c>
      <c r="G20" s="108" t="s">
        <v>28</v>
      </c>
      <c r="H20" s="352"/>
      <c r="I20" s="361">
        <f>+I10+I11+I12+I13+I19</f>
        <v>663335209</v>
      </c>
      <c r="J20" s="361">
        <f>+J10+J11+J12+J13+J19</f>
        <v>296696318</v>
      </c>
    </row>
    <row r="21" spans="1:10" s="109" customFormat="1" x14ac:dyDescent="0.25">
      <c r="A21" s="110" t="s">
        <v>1</v>
      </c>
      <c r="B21" s="743" t="s">
        <v>135</v>
      </c>
      <c r="C21" s="744"/>
      <c r="D21" s="111">
        <f>D20-J20</f>
        <v>-69898808</v>
      </c>
      <c r="E21" s="111">
        <f>E20-K20</f>
        <v>239095029</v>
      </c>
      <c r="F21" s="112"/>
      <c r="G21" s="113"/>
      <c r="H21" s="353"/>
      <c r="I21" s="362"/>
      <c r="J21" s="362"/>
    </row>
    <row r="22" spans="1:10" ht="15.75" x14ac:dyDescent="0.25">
      <c r="A22" s="114" t="s">
        <v>18</v>
      </c>
      <c r="B22" s="745" t="s">
        <v>71</v>
      </c>
      <c r="C22" s="745"/>
      <c r="D22" s="115">
        <v>7867898</v>
      </c>
      <c r="E22" s="115">
        <v>7867898</v>
      </c>
      <c r="F22" s="116" t="s">
        <v>29</v>
      </c>
      <c r="G22" s="733" t="s">
        <v>136</v>
      </c>
      <c r="H22" s="734"/>
      <c r="I22" s="363">
        <v>920189</v>
      </c>
      <c r="J22" s="363">
        <v>273541455</v>
      </c>
    </row>
    <row r="23" spans="1:10" ht="15.75" x14ac:dyDescent="0.25">
      <c r="A23" s="92" t="s">
        <v>29</v>
      </c>
      <c r="B23" s="683" t="s">
        <v>76</v>
      </c>
      <c r="C23" s="683"/>
      <c r="D23" s="18"/>
      <c r="E23" s="18"/>
      <c r="F23" s="94" t="s">
        <v>31</v>
      </c>
      <c r="G23" s="689" t="s">
        <v>32</v>
      </c>
      <c r="H23" s="736"/>
      <c r="I23" s="358">
        <v>0</v>
      </c>
      <c r="J23" s="358">
        <v>242449142</v>
      </c>
    </row>
    <row r="24" spans="1:10" ht="16.5" thickBot="1" x14ac:dyDescent="0.3">
      <c r="A24" s="117" t="s">
        <v>31</v>
      </c>
      <c r="B24" s="737" t="s">
        <v>81</v>
      </c>
      <c r="C24" s="737"/>
      <c r="D24" s="118">
        <v>32488107</v>
      </c>
      <c r="E24" s="118">
        <v>165026453</v>
      </c>
      <c r="F24" s="99" t="s">
        <v>33</v>
      </c>
      <c r="G24" s="738" t="s">
        <v>137</v>
      </c>
      <c r="H24" s="739"/>
      <c r="I24" s="359"/>
      <c r="J24" s="359"/>
    </row>
    <row r="25" spans="1:10" s="109" customFormat="1" ht="15.75" thickBot="1" x14ac:dyDescent="0.3">
      <c r="A25" s="105" t="s">
        <v>91</v>
      </c>
      <c r="B25" s="740" t="s">
        <v>88</v>
      </c>
      <c r="C25" s="740"/>
      <c r="D25" s="106">
        <f>SUM(D22:D24)</f>
        <v>40356005</v>
      </c>
      <c r="E25" s="106">
        <f>SUM(E22:E24)</f>
        <v>172894351</v>
      </c>
      <c r="F25" s="107" t="s">
        <v>91</v>
      </c>
      <c r="G25" s="741" t="s">
        <v>138</v>
      </c>
      <c r="H25" s="742"/>
      <c r="I25" s="364">
        <f>SUM(I22:I24)</f>
        <v>920189</v>
      </c>
      <c r="J25" s="364">
        <f>SUM(J22:J24)</f>
        <v>515990597</v>
      </c>
    </row>
    <row r="26" spans="1:10" s="109" customFormat="1" x14ac:dyDescent="0.25">
      <c r="A26" s="110" t="s">
        <v>35</v>
      </c>
      <c r="B26" s="743" t="s">
        <v>139</v>
      </c>
      <c r="C26" s="744"/>
      <c r="D26" s="111">
        <f>+D25-J25</f>
        <v>-475634592</v>
      </c>
      <c r="E26" s="111">
        <f>+E25-K25</f>
        <v>172894351</v>
      </c>
      <c r="F26" s="112"/>
      <c r="G26" s="119" t="s">
        <v>835</v>
      </c>
      <c r="H26" s="354"/>
      <c r="I26" s="365">
        <v>6152289</v>
      </c>
      <c r="J26" s="365">
        <v>6159578</v>
      </c>
    </row>
    <row r="27" spans="1:10" ht="15.75" x14ac:dyDescent="0.25">
      <c r="A27" s="114" t="s">
        <v>33</v>
      </c>
      <c r="B27" s="745" t="s">
        <v>89</v>
      </c>
      <c r="C27" s="745"/>
      <c r="D27" s="115"/>
      <c r="E27" s="115">
        <v>1000000</v>
      </c>
      <c r="F27" s="120"/>
      <c r="G27" s="735"/>
      <c r="H27" s="728"/>
      <c r="I27" s="366"/>
      <c r="J27" s="366"/>
    </row>
    <row r="28" spans="1:10" ht="15.75" x14ac:dyDescent="0.25">
      <c r="A28" s="92" t="s">
        <v>140</v>
      </c>
      <c r="B28" s="683" t="s">
        <v>95</v>
      </c>
      <c r="C28" s="683"/>
      <c r="D28" s="18">
        <v>403254172</v>
      </c>
      <c r="E28" s="18">
        <v>406827364</v>
      </c>
      <c r="F28" s="121"/>
      <c r="G28" s="746"/>
      <c r="H28" s="747"/>
      <c r="I28" s="366"/>
      <c r="J28" s="366"/>
    </row>
    <row r="29" spans="1:10" ht="15.75" x14ac:dyDescent="0.25">
      <c r="A29" s="92" t="s">
        <v>141</v>
      </c>
      <c r="B29" s="683" t="s">
        <v>101</v>
      </c>
      <c r="C29" s="683"/>
      <c r="D29" s="18"/>
      <c r="E29" s="18"/>
      <c r="F29" s="120"/>
      <c r="G29" s="735"/>
      <c r="H29" s="728"/>
      <c r="I29" s="366"/>
      <c r="J29" s="366"/>
    </row>
    <row r="30" spans="1:10" ht="15.75" x14ac:dyDescent="0.25">
      <c r="A30" s="92" t="s">
        <v>142</v>
      </c>
      <c r="B30" s="683" t="s">
        <v>143</v>
      </c>
      <c r="C30" s="683"/>
      <c r="D30" s="18"/>
      <c r="E30" s="18"/>
      <c r="F30" s="120"/>
      <c r="G30" s="728"/>
      <c r="H30" s="729"/>
      <c r="I30" s="366"/>
      <c r="J30" s="366"/>
    </row>
    <row r="31" spans="1:10" ht="15.75" x14ac:dyDescent="0.25">
      <c r="A31" s="122" t="s">
        <v>98</v>
      </c>
      <c r="B31" s="730" t="s">
        <v>144</v>
      </c>
      <c r="C31" s="730"/>
      <c r="D31" s="123">
        <f>SUM(D27:D30)</f>
        <v>403254172</v>
      </c>
      <c r="E31" s="123">
        <f>SUM(E27:E30)</f>
        <v>407827364</v>
      </c>
      <c r="F31" s="124" t="s">
        <v>108</v>
      </c>
      <c r="G31" s="731" t="s">
        <v>145</v>
      </c>
      <c r="H31" s="732"/>
      <c r="I31" s="367"/>
      <c r="J31" s="367"/>
    </row>
    <row r="32" spans="1:10" ht="18.75" x14ac:dyDescent="0.3">
      <c r="A32" s="92"/>
      <c r="B32" s="683" t="s">
        <v>113</v>
      </c>
      <c r="C32" s="683"/>
      <c r="D32" s="72"/>
      <c r="E32" s="72"/>
      <c r="F32" s="121"/>
      <c r="G32" s="733" t="s">
        <v>865</v>
      </c>
      <c r="H32" s="734"/>
      <c r="I32" s="359"/>
      <c r="J32" s="359">
        <v>977540</v>
      </c>
    </row>
    <row r="33" spans="1:10" ht="18.75" x14ac:dyDescent="0.3">
      <c r="A33" s="92"/>
      <c r="B33" s="515"/>
      <c r="C33" s="515"/>
      <c r="D33" s="72"/>
      <c r="E33" s="72"/>
      <c r="F33" s="121"/>
      <c r="G33" s="523"/>
      <c r="H33" s="524"/>
      <c r="I33" s="368"/>
      <c r="J33" s="368"/>
    </row>
    <row r="34" spans="1:10" ht="18.75" x14ac:dyDescent="0.3">
      <c r="A34" s="92"/>
      <c r="B34" s="515" t="s">
        <v>820</v>
      </c>
      <c r="C34" s="515"/>
      <c r="D34" s="72"/>
      <c r="E34" s="72">
        <v>7289</v>
      </c>
      <c r="F34" s="121"/>
      <c r="G34" s="523"/>
      <c r="H34" s="524"/>
      <c r="I34" s="368"/>
      <c r="J34" s="368"/>
    </row>
    <row r="35" spans="1:10" ht="18.75" x14ac:dyDescent="0.3">
      <c r="A35" s="122" t="s">
        <v>108</v>
      </c>
      <c r="B35" s="680" t="s">
        <v>146</v>
      </c>
      <c r="C35" s="680"/>
      <c r="D35" s="72">
        <f>+D20+D25+D31+D32</f>
        <v>670407687</v>
      </c>
      <c r="E35" s="72">
        <f>+E20+E25+E31+E32+E34</f>
        <v>819824033</v>
      </c>
      <c r="F35" s="126" t="s">
        <v>110</v>
      </c>
      <c r="G35" s="685" t="s">
        <v>147</v>
      </c>
      <c r="H35" s="724"/>
      <c r="I35" s="369">
        <f>+I20+I25+I29+I31+I27+I26</f>
        <v>670407687</v>
      </c>
      <c r="J35" s="369">
        <f>+J20+J25+J29+J31+J27+J26+J32</f>
        <v>819824033</v>
      </c>
    </row>
    <row r="36" spans="1:10" ht="19.5" thickBot="1" x14ac:dyDescent="0.35">
      <c r="A36" s="127"/>
      <c r="B36" s="725" t="s">
        <v>148</v>
      </c>
      <c r="C36" s="725"/>
      <c r="D36" s="128"/>
      <c r="E36" s="128"/>
      <c r="F36" s="129"/>
      <c r="G36" s="726"/>
      <c r="H36" s="727"/>
      <c r="I36" s="370"/>
      <c r="J36" s="370"/>
    </row>
    <row r="37" spans="1:10" ht="15.75" x14ac:dyDescent="0.25">
      <c r="B37" s="130"/>
      <c r="C37" s="130"/>
      <c r="D37" s="130"/>
      <c r="E37" s="130"/>
      <c r="F37" s="130"/>
      <c r="G37" s="723"/>
      <c r="H37" s="723"/>
      <c r="I37" s="522"/>
      <c r="J37" s="131"/>
    </row>
    <row r="38" spans="1:10" ht="15.75" x14ac:dyDescent="0.25">
      <c r="B38" s="130"/>
      <c r="C38" s="130"/>
      <c r="D38" s="132"/>
      <c r="E38" s="132"/>
      <c r="F38" s="130"/>
      <c r="G38" s="723"/>
      <c r="H38" s="723"/>
      <c r="I38" s="522"/>
      <c r="J38" s="131"/>
    </row>
    <row r="39" spans="1:10" ht="15.75" x14ac:dyDescent="0.25">
      <c r="B39" s="130"/>
      <c r="C39" s="130"/>
      <c r="D39" s="130"/>
      <c r="E39" s="130"/>
      <c r="F39" s="130"/>
      <c r="G39" s="723"/>
      <c r="H39" s="723"/>
      <c r="I39" s="522"/>
      <c r="J39" s="131"/>
    </row>
    <row r="40" spans="1:10" ht="15.75" x14ac:dyDescent="0.25">
      <c r="B40" s="130"/>
      <c r="C40" s="130"/>
      <c r="D40" s="130"/>
      <c r="E40" s="130"/>
      <c r="F40" s="130"/>
      <c r="G40" s="723"/>
      <c r="H40" s="723"/>
      <c r="I40" s="522"/>
      <c r="J40" s="131"/>
    </row>
    <row r="41" spans="1:10" ht="15.75" x14ac:dyDescent="0.25">
      <c r="B41" s="130"/>
      <c r="C41" s="130"/>
      <c r="D41" s="130"/>
      <c r="E41" s="130"/>
      <c r="F41" s="130"/>
      <c r="G41" s="723"/>
      <c r="H41" s="723"/>
      <c r="I41" s="522"/>
      <c r="J41" s="131"/>
    </row>
    <row r="42" spans="1:10" ht="15.75" x14ac:dyDescent="0.25">
      <c r="B42" s="130"/>
      <c r="C42" s="130"/>
      <c r="D42" s="130"/>
      <c r="E42" s="130"/>
      <c r="F42" s="130"/>
      <c r="G42" s="723"/>
      <c r="H42" s="723"/>
      <c r="I42" s="522"/>
      <c r="J42" s="131"/>
    </row>
    <row r="43" spans="1:10" ht="15.75" x14ac:dyDescent="0.25">
      <c r="B43" s="130"/>
      <c r="C43" s="130"/>
      <c r="D43" s="130"/>
      <c r="E43" s="130"/>
      <c r="F43" s="130"/>
      <c r="G43" s="723"/>
      <c r="H43" s="723"/>
      <c r="I43" s="522"/>
      <c r="J43" s="131"/>
    </row>
    <row r="44" spans="1:10" ht="15.75" x14ac:dyDescent="0.25">
      <c r="B44" s="130"/>
      <c r="C44" s="130"/>
      <c r="D44" s="130"/>
      <c r="E44" s="130"/>
      <c r="F44" s="130"/>
      <c r="G44" s="723"/>
      <c r="H44" s="723"/>
      <c r="I44" s="522"/>
      <c r="J44" s="131"/>
    </row>
    <row r="45" spans="1:10" ht="15.75" x14ac:dyDescent="0.25">
      <c r="B45" s="130"/>
      <c r="C45" s="130"/>
      <c r="D45" s="130"/>
      <c r="E45" s="130"/>
      <c r="F45" s="130"/>
      <c r="G45" s="723"/>
      <c r="H45" s="723"/>
      <c r="I45" s="522"/>
      <c r="J45" s="131"/>
    </row>
    <row r="46" spans="1:10" ht="15.75" x14ac:dyDescent="0.25">
      <c r="B46" s="130"/>
      <c r="C46" s="130"/>
      <c r="D46" s="130"/>
      <c r="E46" s="130"/>
      <c r="F46" s="130"/>
      <c r="G46" s="723"/>
      <c r="H46" s="723"/>
      <c r="I46" s="522"/>
      <c r="J46" s="131"/>
    </row>
    <row r="47" spans="1:10" ht="15.75" x14ac:dyDescent="0.25">
      <c r="B47" s="130"/>
      <c r="C47" s="130"/>
      <c r="D47" s="130"/>
      <c r="E47" s="130"/>
      <c r="F47" s="130"/>
      <c r="G47" s="723"/>
      <c r="H47" s="723"/>
      <c r="I47" s="522"/>
      <c r="J47" s="131"/>
    </row>
    <row r="48" spans="1:10" ht="15.75" x14ac:dyDescent="0.25">
      <c r="B48" s="130"/>
      <c r="C48" s="130"/>
      <c r="D48" s="130"/>
      <c r="E48" s="130"/>
      <c r="F48" s="130"/>
      <c r="G48" s="723"/>
      <c r="H48" s="723"/>
      <c r="I48" s="522"/>
      <c r="J48" s="131"/>
    </row>
    <row r="49" spans="2:10" ht="15.75" x14ac:dyDescent="0.25">
      <c r="B49" s="130"/>
      <c r="C49" s="130"/>
      <c r="D49" s="130"/>
      <c r="E49" s="130"/>
      <c r="F49" s="130"/>
      <c r="G49" s="723"/>
      <c r="H49" s="723"/>
      <c r="I49" s="522"/>
      <c r="J49" s="131"/>
    </row>
    <row r="50" spans="2:10" ht="18.75" x14ac:dyDescent="0.3">
      <c r="B50" s="130"/>
      <c r="C50" s="130"/>
      <c r="D50" s="130"/>
      <c r="E50" s="130"/>
      <c r="F50" s="130"/>
      <c r="G50" s="723"/>
      <c r="H50" s="723"/>
      <c r="I50" s="522"/>
      <c r="J50" s="133"/>
    </row>
    <row r="51" spans="2:10" ht="18.75" x14ac:dyDescent="0.3">
      <c r="B51" s="134"/>
      <c r="C51" s="134"/>
      <c r="D51" s="134"/>
      <c r="E51" s="134"/>
      <c r="F51" s="134"/>
      <c r="G51" s="722"/>
      <c r="H51" s="722"/>
      <c r="I51" s="521"/>
      <c r="J51" s="133"/>
    </row>
    <row r="52" spans="2:10" ht="18.75" x14ac:dyDescent="0.3">
      <c r="B52" s="130"/>
      <c r="C52" s="130"/>
      <c r="D52" s="130"/>
      <c r="E52" s="130"/>
      <c r="F52" s="130"/>
      <c r="G52" s="722"/>
      <c r="H52" s="722"/>
      <c r="I52" s="521"/>
      <c r="J52" s="135"/>
    </row>
  </sheetData>
  <mergeCells count="72">
    <mergeCell ref="B1:J1"/>
    <mergeCell ref="B2:J2"/>
    <mergeCell ref="B3:J3"/>
    <mergeCell ref="B4:J4"/>
    <mergeCell ref="B6:B8"/>
    <mergeCell ref="C6:C8"/>
    <mergeCell ref="G6:H8"/>
    <mergeCell ref="J6:J7"/>
    <mergeCell ref="I6:I7"/>
    <mergeCell ref="B9:C9"/>
    <mergeCell ref="G9:H9"/>
    <mergeCell ref="B10:C10"/>
    <mergeCell ref="G10:H10"/>
    <mergeCell ref="B11:C11"/>
    <mergeCell ref="G11:H11"/>
    <mergeCell ref="B12:C12"/>
    <mergeCell ref="G12:H12"/>
    <mergeCell ref="B13:C13"/>
    <mergeCell ref="G13:H13"/>
    <mergeCell ref="B14:C14"/>
    <mergeCell ref="G14:H14"/>
    <mergeCell ref="B15:C15"/>
    <mergeCell ref="G15:H15"/>
    <mergeCell ref="B16:C16"/>
    <mergeCell ref="G16:H16"/>
    <mergeCell ref="B17:C17"/>
    <mergeCell ref="G17:H17"/>
    <mergeCell ref="G18:H18"/>
    <mergeCell ref="G19:H19"/>
    <mergeCell ref="B20:C20"/>
    <mergeCell ref="B21:C21"/>
    <mergeCell ref="B22:C22"/>
    <mergeCell ref="G22:H22"/>
    <mergeCell ref="B29:C29"/>
    <mergeCell ref="G29:H29"/>
    <mergeCell ref="B23:C23"/>
    <mergeCell ref="G23:H23"/>
    <mergeCell ref="B24:C24"/>
    <mergeCell ref="G24:H24"/>
    <mergeCell ref="B25:C25"/>
    <mergeCell ref="G25:H25"/>
    <mergeCell ref="B26:C26"/>
    <mergeCell ref="B27:C27"/>
    <mergeCell ref="G27:H27"/>
    <mergeCell ref="B28:C28"/>
    <mergeCell ref="G28:H28"/>
    <mergeCell ref="B30:C30"/>
    <mergeCell ref="G30:H30"/>
    <mergeCell ref="B31:C31"/>
    <mergeCell ref="G31:H31"/>
    <mergeCell ref="B32:C32"/>
    <mergeCell ref="G32:H32"/>
    <mergeCell ref="G44:H44"/>
    <mergeCell ref="B35:C35"/>
    <mergeCell ref="G35:H35"/>
    <mergeCell ref="B36:C36"/>
    <mergeCell ref="G36:H36"/>
    <mergeCell ref="G37:H37"/>
    <mergeCell ref="G38:H38"/>
    <mergeCell ref="G39:H39"/>
    <mergeCell ref="G40:H40"/>
    <mergeCell ref="G41:H41"/>
    <mergeCell ref="G42:H42"/>
    <mergeCell ref="G43:H43"/>
    <mergeCell ref="G51:H51"/>
    <mergeCell ref="G52:H52"/>
    <mergeCell ref="G45:H45"/>
    <mergeCell ref="G46:H46"/>
    <mergeCell ref="G47:H47"/>
    <mergeCell ref="G48:H48"/>
    <mergeCell ref="G49:H49"/>
    <mergeCell ref="G50:H50"/>
  </mergeCells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J77"/>
  <sheetViews>
    <sheetView topLeftCell="A37" workbookViewId="0">
      <selection activeCell="A3" sqref="A3:E3"/>
    </sheetView>
  </sheetViews>
  <sheetFormatPr defaultRowHeight="15" x14ac:dyDescent="0.25"/>
  <cols>
    <col min="1" max="1" width="70.85546875" style="600" bestFit="1" customWidth="1"/>
    <col min="2" max="2" width="22.28515625" style="552" bestFit="1" customWidth="1"/>
    <col min="3" max="3" width="14" style="552" customWidth="1"/>
    <col min="4" max="4" width="15.42578125" style="552" customWidth="1"/>
    <col min="5" max="5" width="17.42578125" style="552" customWidth="1"/>
    <col min="6" max="6" width="22.140625" style="552" bestFit="1" customWidth="1"/>
    <col min="7" max="7" width="6.5703125" style="553" customWidth="1"/>
    <col min="8" max="8" width="15.7109375" style="553" bestFit="1" customWidth="1"/>
    <col min="10" max="10" width="14.28515625" customWidth="1"/>
    <col min="257" max="257" width="70.85546875" bestFit="1" customWidth="1"/>
    <col min="258" max="258" width="22.28515625" bestFit="1" customWidth="1"/>
    <col min="259" max="259" width="14" customWidth="1"/>
    <col min="260" max="260" width="15.42578125" customWidth="1"/>
    <col min="261" max="261" width="17.42578125" customWidth="1"/>
    <col min="262" max="262" width="22.140625" bestFit="1" customWidth="1"/>
    <col min="263" max="263" width="6.5703125" customWidth="1"/>
    <col min="264" max="264" width="15.7109375" bestFit="1" customWidth="1"/>
    <col min="266" max="266" width="14.28515625" customWidth="1"/>
    <col min="513" max="513" width="70.85546875" bestFit="1" customWidth="1"/>
    <col min="514" max="514" width="22.28515625" bestFit="1" customWidth="1"/>
    <col min="515" max="515" width="14" customWidth="1"/>
    <col min="516" max="516" width="15.42578125" customWidth="1"/>
    <col min="517" max="517" width="17.42578125" customWidth="1"/>
    <col min="518" max="518" width="22.140625" bestFit="1" customWidth="1"/>
    <col min="519" max="519" width="6.5703125" customWidth="1"/>
    <col min="520" max="520" width="15.7109375" bestFit="1" customWidth="1"/>
    <col min="522" max="522" width="14.28515625" customWidth="1"/>
    <col min="769" max="769" width="70.85546875" bestFit="1" customWidth="1"/>
    <col min="770" max="770" width="22.28515625" bestFit="1" customWidth="1"/>
    <col min="771" max="771" width="14" customWidth="1"/>
    <col min="772" max="772" width="15.42578125" customWidth="1"/>
    <col min="773" max="773" width="17.42578125" customWidth="1"/>
    <col min="774" max="774" width="22.140625" bestFit="1" customWidth="1"/>
    <col min="775" max="775" width="6.5703125" customWidth="1"/>
    <col min="776" max="776" width="15.7109375" bestFit="1" customWidth="1"/>
    <col min="778" max="778" width="14.28515625" customWidth="1"/>
    <col min="1025" max="1025" width="70.85546875" bestFit="1" customWidth="1"/>
    <col min="1026" max="1026" width="22.28515625" bestFit="1" customWidth="1"/>
    <col min="1027" max="1027" width="14" customWidth="1"/>
    <col min="1028" max="1028" width="15.42578125" customWidth="1"/>
    <col min="1029" max="1029" width="17.42578125" customWidth="1"/>
    <col min="1030" max="1030" width="22.140625" bestFit="1" customWidth="1"/>
    <col min="1031" max="1031" width="6.5703125" customWidth="1"/>
    <col min="1032" max="1032" width="15.7109375" bestFit="1" customWidth="1"/>
    <col min="1034" max="1034" width="14.28515625" customWidth="1"/>
    <col min="1281" max="1281" width="70.85546875" bestFit="1" customWidth="1"/>
    <col min="1282" max="1282" width="22.28515625" bestFit="1" customWidth="1"/>
    <col min="1283" max="1283" width="14" customWidth="1"/>
    <col min="1284" max="1284" width="15.42578125" customWidth="1"/>
    <col min="1285" max="1285" width="17.42578125" customWidth="1"/>
    <col min="1286" max="1286" width="22.140625" bestFit="1" customWidth="1"/>
    <col min="1287" max="1287" width="6.5703125" customWidth="1"/>
    <col min="1288" max="1288" width="15.7109375" bestFit="1" customWidth="1"/>
    <col min="1290" max="1290" width="14.28515625" customWidth="1"/>
    <col min="1537" max="1537" width="70.85546875" bestFit="1" customWidth="1"/>
    <col min="1538" max="1538" width="22.28515625" bestFit="1" customWidth="1"/>
    <col min="1539" max="1539" width="14" customWidth="1"/>
    <col min="1540" max="1540" width="15.42578125" customWidth="1"/>
    <col min="1541" max="1541" width="17.42578125" customWidth="1"/>
    <col min="1542" max="1542" width="22.140625" bestFit="1" customWidth="1"/>
    <col min="1543" max="1543" width="6.5703125" customWidth="1"/>
    <col min="1544" max="1544" width="15.7109375" bestFit="1" customWidth="1"/>
    <col min="1546" max="1546" width="14.28515625" customWidth="1"/>
    <col min="1793" max="1793" width="70.85546875" bestFit="1" customWidth="1"/>
    <col min="1794" max="1794" width="22.28515625" bestFit="1" customWidth="1"/>
    <col min="1795" max="1795" width="14" customWidth="1"/>
    <col min="1796" max="1796" width="15.42578125" customWidth="1"/>
    <col min="1797" max="1797" width="17.42578125" customWidth="1"/>
    <col min="1798" max="1798" width="22.140625" bestFit="1" customWidth="1"/>
    <col min="1799" max="1799" width="6.5703125" customWidth="1"/>
    <col min="1800" max="1800" width="15.7109375" bestFit="1" customWidth="1"/>
    <col min="1802" max="1802" width="14.28515625" customWidth="1"/>
    <col min="2049" max="2049" width="70.85546875" bestFit="1" customWidth="1"/>
    <col min="2050" max="2050" width="22.28515625" bestFit="1" customWidth="1"/>
    <col min="2051" max="2051" width="14" customWidth="1"/>
    <col min="2052" max="2052" width="15.42578125" customWidth="1"/>
    <col min="2053" max="2053" width="17.42578125" customWidth="1"/>
    <col min="2054" max="2054" width="22.140625" bestFit="1" customWidth="1"/>
    <col min="2055" max="2055" width="6.5703125" customWidth="1"/>
    <col min="2056" max="2056" width="15.7109375" bestFit="1" customWidth="1"/>
    <col min="2058" max="2058" width="14.28515625" customWidth="1"/>
    <col min="2305" max="2305" width="70.85546875" bestFit="1" customWidth="1"/>
    <col min="2306" max="2306" width="22.28515625" bestFit="1" customWidth="1"/>
    <col min="2307" max="2307" width="14" customWidth="1"/>
    <col min="2308" max="2308" width="15.42578125" customWidth="1"/>
    <col min="2309" max="2309" width="17.42578125" customWidth="1"/>
    <col min="2310" max="2310" width="22.140625" bestFit="1" customWidth="1"/>
    <col min="2311" max="2311" width="6.5703125" customWidth="1"/>
    <col min="2312" max="2312" width="15.7109375" bestFit="1" customWidth="1"/>
    <col min="2314" max="2314" width="14.28515625" customWidth="1"/>
    <col min="2561" max="2561" width="70.85546875" bestFit="1" customWidth="1"/>
    <col min="2562" max="2562" width="22.28515625" bestFit="1" customWidth="1"/>
    <col min="2563" max="2563" width="14" customWidth="1"/>
    <col min="2564" max="2564" width="15.42578125" customWidth="1"/>
    <col min="2565" max="2565" width="17.42578125" customWidth="1"/>
    <col min="2566" max="2566" width="22.140625" bestFit="1" customWidth="1"/>
    <col min="2567" max="2567" width="6.5703125" customWidth="1"/>
    <col min="2568" max="2568" width="15.7109375" bestFit="1" customWidth="1"/>
    <col min="2570" max="2570" width="14.28515625" customWidth="1"/>
    <col min="2817" max="2817" width="70.85546875" bestFit="1" customWidth="1"/>
    <col min="2818" max="2818" width="22.28515625" bestFit="1" customWidth="1"/>
    <col min="2819" max="2819" width="14" customWidth="1"/>
    <col min="2820" max="2820" width="15.42578125" customWidth="1"/>
    <col min="2821" max="2821" width="17.42578125" customWidth="1"/>
    <col min="2822" max="2822" width="22.140625" bestFit="1" customWidth="1"/>
    <col min="2823" max="2823" width="6.5703125" customWidth="1"/>
    <col min="2824" max="2824" width="15.7109375" bestFit="1" customWidth="1"/>
    <col min="2826" max="2826" width="14.28515625" customWidth="1"/>
    <col min="3073" max="3073" width="70.85546875" bestFit="1" customWidth="1"/>
    <col min="3074" max="3074" width="22.28515625" bestFit="1" customWidth="1"/>
    <col min="3075" max="3075" width="14" customWidth="1"/>
    <col min="3076" max="3076" width="15.42578125" customWidth="1"/>
    <col min="3077" max="3077" width="17.42578125" customWidth="1"/>
    <col min="3078" max="3078" width="22.140625" bestFit="1" customWidth="1"/>
    <col min="3079" max="3079" width="6.5703125" customWidth="1"/>
    <col min="3080" max="3080" width="15.7109375" bestFit="1" customWidth="1"/>
    <col min="3082" max="3082" width="14.28515625" customWidth="1"/>
    <col min="3329" max="3329" width="70.85546875" bestFit="1" customWidth="1"/>
    <col min="3330" max="3330" width="22.28515625" bestFit="1" customWidth="1"/>
    <col min="3331" max="3331" width="14" customWidth="1"/>
    <col min="3332" max="3332" width="15.42578125" customWidth="1"/>
    <col min="3333" max="3333" width="17.42578125" customWidth="1"/>
    <col min="3334" max="3334" width="22.140625" bestFit="1" customWidth="1"/>
    <col min="3335" max="3335" width="6.5703125" customWidth="1"/>
    <col min="3336" max="3336" width="15.7109375" bestFit="1" customWidth="1"/>
    <col min="3338" max="3338" width="14.28515625" customWidth="1"/>
    <col min="3585" max="3585" width="70.85546875" bestFit="1" customWidth="1"/>
    <col min="3586" max="3586" width="22.28515625" bestFit="1" customWidth="1"/>
    <col min="3587" max="3587" width="14" customWidth="1"/>
    <col min="3588" max="3588" width="15.42578125" customWidth="1"/>
    <col min="3589" max="3589" width="17.42578125" customWidth="1"/>
    <col min="3590" max="3590" width="22.140625" bestFit="1" customWidth="1"/>
    <col min="3591" max="3591" width="6.5703125" customWidth="1"/>
    <col min="3592" max="3592" width="15.7109375" bestFit="1" customWidth="1"/>
    <col min="3594" max="3594" width="14.28515625" customWidth="1"/>
    <col min="3841" max="3841" width="70.85546875" bestFit="1" customWidth="1"/>
    <col min="3842" max="3842" width="22.28515625" bestFit="1" customWidth="1"/>
    <col min="3843" max="3843" width="14" customWidth="1"/>
    <col min="3844" max="3844" width="15.42578125" customWidth="1"/>
    <col min="3845" max="3845" width="17.42578125" customWidth="1"/>
    <col min="3846" max="3846" width="22.140625" bestFit="1" customWidth="1"/>
    <col min="3847" max="3847" width="6.5703125" customWidth="1"/>
    <col min="3848" max="3848" width="15.7109375" bestFit="1" customWidth="1"/>
    <col min="3850" max="3850" width="14.28515625" customWidth="1"/>
    <col min="4097" max="4097" width="70.85546875" bestFit="1" customWidth="1"/>
    <col min="4098" max="4098" width="22.28515625" bestFit="1" customWidth="1"/>
    <col min="4099" max="4099" width="14" customWidth="1"/>
    <col min="4100" max="4100" width="15.42578125" customWidth="1"/>
    <col min="4101" max="4101" width="17.42578125" customWidth="1"/>
    <col min="4102" max="4102" width="22.140625" bestFit="1" customWidth="1"/>
    <col min="4103" max="4103" width="6.5703125" customWidth="1"/>
    <col min="4104" max="4104" width="15.7109375" bestFit="1" customWidth="1"/>
    <col min="4106" max="4106" width="14.28515625" customWidth="1"/>
    <col min="4353" max="4353" width="70.85546875" bestFit="1" customWidth="1"/>
    <col min="4354" max="4354" width="22.28515625" bestFit="1" customWidth="1"/>
    <col min="4355" max="4355" width="14" customWidth="1"/>
    <col min="4356" max="4356" width="15.42578125" customWidth="1"/>
    <col min="4357" max="4357" width="17.42578125" customWidth="1"/>
    <col min="4358" max="4358" width="22.140625" bestFit="1" customWidth="1"/>
    <col min="4359" max="4359" width="6.5703125" customWidth="1"/>
    <col min="4360" max="4360" width="15.7109375" bestFit="1" customWidth="1"/>
    <col min="4362" max="4362" width="14.28515625" customWidth="1"/>
    <col min="4609" max="4609" width="70.85546875" bestFit="1" customWidth="1"/>
    <col min="4610" max="4610" width="22.28515625" bestFit="1" customWidth="1"/>
    <col min="4611" max="4611" width="14" customWidth="1"/>
    <col min="4612" max="4612" width="15.42578125" customWidth="1"/>
    <col min="4613" max="4613" width="17.42578125" customWidth="1"/>
    <col min="4614" max="4614" width="22.140625" bestFit="1" customWidth="1"/>
    <col min="4615" max="4615" width="6.5703125" customWidth="1"/>
    <col min="4616" max="4616" width="15.7109375" bestFit="1" customWidth="1"/>
    <col min="4618" max="4618" width="14.28515625" customWidth="1"/>
    <col min="4865" max="4865" width="70.85546875" bestFit="1" customWidth="1"/>
    <col min="4866" max="4866" width="22.28515625" bestFit="1" customWidth="1"/>
    <col min="4867" max="4867" width="14" customWidth="1"/>
    <col min="4868" max="4868" width="15.42578125" customWidth="1"/>
    <col min="4869" max="4869" width="17.42578125" customWidth="1"/>
    <col min="4870" max="4870" width="22.140625" bestFit="1" customWidth="1"/>
    <col min="4871" max="4871" width="6.5703125" customWidth="1"/>
    <col min="4872" max="4872" width="15.7109375" bestFit="1" customWidth="1"/>
    <col min="4874" max="4874" width="14.28515625" customWidth="1"/>
    <col min="5121" max="5121" width="70.85546875" bestFit="1" customWidth="1"/>
    <col min="5122" max="5122" width="22.28515625" bestFit="1" customWidth="1"/>
    <col min="5123" max="5123" width="14" customWidth="1"/>
    <col min="5124" max="5124" width="15.42578125" customWidth="1"/>
    <col min="5125" max="5125" width="17.42578125" customWidth="1"/>
    <col min="5126" max="5126" width="22.140625" bestFit="1" customWidth="1"/>
    <col min="5127" max="5127" width="6.5703125" customWidth="1"/>
    <col min="5128" max="5128" width="15.7109375" bestFit="1" customWidth="1"/>
    <col min="5130" max="5130" width="14.28515625" customWidth="1"/>
    <col min="5377" max="5377" width="70.85546875" bestFit="1" customWidth="1"/>
    <col min="5378" max="5378" width="22.28515625" bestFit="1" customWidth="1"/>
    <col min="5379" max="5379" width="14" customWidth="1"/>
    <col min="5380" max="5380" width="15.42578125" customWidth="1"/>
    <col min="5381" max="5381" width="17.42578125" customWidth="1"/>
    <col min="5382" max="5382" width="22.140625" bestFit="1" customWidth="1"/>
    <col min="5383" max="5383" width="6.5703125" customWidth="1"/>
    <col min="5384" max="5384" width="15.7109375" bestFit="1" customWidth="1"/>
    <col min="5386" max="5386" width="14.28515625" customWidth="1"/>
    <col min="5633" max="5633" width="70.85546875" bestFit="1" customWidth="1"/>
    <col min="5634" max="5634" width="22.28515625" bestFit="1" customWidth="1"/>
    <col min="5635" max="5635" width="14" customWidth="1"/>
    <col min="5636" max="5636" width="15.42578125" customWidth="1"/>
    <col min="5637" max="5637" width="17.42578125" customWidth="1"/>
    <col min="5638" max="5638" width="22.140625" bestFit="1" customWidth="1"/>
    <col min="5639" max="5639" width="6.5703125" customWidth="1"/>
    <col min="5640" max="5640" width="15.7109375" bestFit="1" customWidth="1"/>
    <col min="5642" max="5642" width="14.28515625" customWidth="1"/>
    <col min="5889" max="5889" width="70.85546875" bestFit="1" customWidth="1"/>
    <col min="5890" max="5890" width="22.28515625" bestFit="1" customWidth="1"/>
    <col min="5891" max="5891" width="14" customWidth="1"/>
    <col min="5892" max="5892" width="15.42578125" customWidth="1"/>
    <col min="5893" max="5893" width="17.42578125" customWidth="1"/>
    <col min="5894" max="5894" width="22.140625" bestFit="1" customWidth="1"/>
    <col min="5895" max="5895" width="6.5703125" customWidth="1"/>
    <col min="5896" max="5896" width="15.7109375" bestFit="1" customWidth="1"/>
    <col min="5898" max="5898" width="14.28515625" customWidth="1"/>
    <col min="6145" max="6145" width="70.85546875" bestFit="1" customWidth="1"/>
    <col min="6146" max="6146" width="22.28515625" bestFit="1" customWidth="1"/>
    <col min="6147" max="6147" width="14" customWidth="1"/>
    <col min="6148" max="6148" width="15.42578125" customWidth="1"/>
    <col min="6149" max="6149" width="17.42578125" customWidth="1"/>
    <col min="6150" max="6150" width="22.140625" bestFit="1" customWidth="1"/>
    <col min="6151" max="6151" width="6.5703125" customWidth="1"/>
    <col min="6152" max="6152" width="15.7109375" bestFit="1" customWidth="1"/>
    <col min="6154" max="6154" width="14.28515625" customWidth="1"/>
    <col min="6401" max="6401" width="70.85546875" bestFit="1" customWidth="1"/>
    <col min="6402" max="6402" width="22.28515625" bestFit="1" customWidth="1"/>
    <col min="6403" max="6403" width="14" customWidth="1"/>
    <col min="6404" max="6404" width="15.42578125" customWidth="1"/>
    <col min="6405" max="6405" width="17.42578125" customWidth="1"/>
    <col min="6406" max="6406" width="22.140625" bestFit="1" customWidth="1"/>
    <col min="6407" max="6407" width="6.5703125" customWidth="1"/>
    <col min="6408" max="6408" width="15.7109375" bestFit="1" customWidth="1"/>
    <col min="6410" max="6410" width="14.28515625" customWidth="1"/>
    <col min="6657" max="6657" width="70.85546875" bestFit="1" customWidth="1"/>
    <col min="6658" max="6658" width="22.28515625" bestFit="1" customWidth="1"/>
    <col min="6659" max="6659" width="14" customWidth="1"/>
    <col min="6660" max="6660" width="15.42578125" customWidth="1"/>
    <col min="6661" max="6661" width="17.42578125" customWidth="1"/>
    <col min="6662" max="6662" width="22.140625" bestFit="1" customWidth="1"/>
    <col min="6663" max="6663" width="6.5703125" customWidth="1"/>
    <col min="6664" max="6664" width="15.7109375" bestFit="1" customWidth="1"/>
    <col min="6666" max="6666" width="14.28515625" customWidth="1"/>
    <col min="6913" max="6913" width="70.85546875" bestFit="1" customWidth="1"/>
    <col min="6914" max="6914" width="22.28515625" bestFit="1" customWidth="1"/>
    <col min="6915" max="6915" width="14" customWidth="1"/>
    <col min="6916" max="6916" width="15.42578125" customWidth="1"/>
    <col min="6917" max="6917" width="17.42578125" customWidth="1"/>
    <col min="6918" max="6918" width="22.140625" bestFit="1" customWidth="1"/>
    <col min="6919" max="6919" width="6.5703125" customWidth="1"/>
    <col min="6920" max="6920" width="15.7109375" bestFit="1" customWidth="1"/>
    <col min="6922" max="6922" width="14.28515625" customWidth="1"/>
    <col min="7169" max="7169" width="70.85546875" bestFit="1" customWidth="1"/>
    <col min="7170" max="7170" width="22.28515625" bestFit="1" customWidth="1"/>
    <col min="7171" max="7171" width="14" customWidth="1"/>
    <col min="7172" max="7172" width="15.42578125" customWidth="1"/>
    <col min="7173" max="7173" width="17.42578125" customWidth="1"/>
    <col min="7174" max="7174" width="22.140625" bestFit="1" customWidth="1"/>
    <col min="7175" max="7175" width="6.5703125" customWidth="1"/>
    <col min="7176" max="7176" width="15.7109375" bestFit="1" customWidth="1"/>
    <col min="7178" max="7178" width="14.28515625" customWidth="1"/>
    <col min="7425" max="7425" width="70.85546875" bestFit="1" customWidth="1"/>
    <col min="7426" max="7426" width="22.28515625" bestFit="1" customWidth="1"/>
    <col min="7427" max="7427" width="14" customWidth="1"/>
    <col min="7428" max="7428" width="15.42578125" customWidth="1"/>
    <col min="7429" max="7429" width="17.42578125" customWidth="1"/>
    <col min="7430" max="7430" width="22.140625" bestFit="1" customWidth="1"/>
    <col min="7431" max="7431" width="6.5703125" customWidth="1"/>
    <col min="7432" max="7432" width="15.7109375" bestFit="1" customWidth="1"/>
    <col min="7434" max="7434" width="14.28515625" customWidth="1"/>
    <col min="7681" max="7681" width="70.85546875" bestFit="1" customWidth="1"/>
    <col min="7682" max="7682" width="22.28515625" bestFit="1" customWidth="1"/>
    <col min="7683" max="7683" width="14" customWidth="1"/>
    <col min="7684" max="7684" width="15.42578125" customWidth="1"/>
    <col min="7685" max="7685" width="17.42578125" customWidth="1"/>
    <col min="7686" max="7686" width="22.140625" bestFit="1" customWidth="1"/>
    <col min="7687" max="7687" width="6.5703125" customWidth="1"/>
    <col min="7688" max="7688" width="15.7109375" bestFit="1" customWidth="1"/>
    <col min="7690" max="7690" width="14.28515625" customWidth="1"/>
    <col min="7937" max="7937" width="70.85546875" bestFit="1" customWidth="1"/>
    <col min="7938" max="7938" width="22.28515625" bestFit="1" customWidth="1"/>
    <col min="7939" max="7939" width="14" customWidth="1"/>
    <col min="7940" max="7940" width="15.42578125" customWidth="1"/>
    <col min="7941" max="7941" width="17.42578125" customWidth="1"/>
    <col min="7942" max="7942" width="22.140625" bestFit="1" customWidth="1"/>
    <col min="7943" max="7943" width="6.5703125" customWidth="1"/>
    <col min="7944" max="7944" width="15.7109375" bestFit="1" customWidth="1"/>
    <col min="7946" max="7946" width="14.28515625" customWidth="1"/>
    <col min="8193" max="8193" width="70.85546875" bestFit="1" customWidth="1"/>
    <col min="8194" max="8194" width="22.28515625" bestFit="1" customWidth="1"/>
    <col min="8195" max="8195" width="14" customWidth="1"/>
    <col min="8196" max="8196" width="15.42578125" customWidth="1"/>
    <col min="8197" max="8197" width="17.42578125" customWidth="1"/>
    <col min="8198" max="8198" width="22.140625" bestFit="1" customWidth="1"/>
    <col min="8199" max="8199" width="6.5703125" customWidth="1"/>
    <col min="8200" max="8200" width="15.7109375" bestFit="1" customWidth="1"/>
    <col min="8202" max="8202" width="14.28515625" customWidth="1"/>
    <col min="8449" max="8449" width="70.85546875" bestFit="1" customWidth="1"/>
    <col min="8450" max="8450" width="22.28515625" bestFit="1" customWidth="1"/>
    <col min="8451" max="8451" width="14" customWidth="1"/>
    <col min="8452" max="8452" width="15.42578125" customWidth="1"/>
    <col min="8453" max="8453" width="17.42578125" customWidth="1"/>
    <col min="8454" max="8454" width="22.140625" bestFit="1" customWidth="1"/>
    <col min="8455" max="8455" width="6.5703125" customWidth="1"/>
    <col min="8456" max="8456" width="15.7109375" bestFit="1" customWidth="1"/>
    <col min="8458" max="8458" width="14.28515625" customWidth="1"/>
    <col min="8705" max="8705" width="70.85546875" bestFit="1" customWidth="1"/>
    <col min="8706" max="8706" width="22.28515625" bestFit="1" customWidth="1"/>
    <col min="8707" max="8707" width="14" customWidth="1"/>
    <col min="8708" max="8708" width="15.42578125" customWidth="1"/>
    <col min="8709" max="8709" width="17.42578125" customWidth="1"/>
    <col min="8710" max="8710" width="22.140625" bestFit="1" customWidth="1"/>
    <col min="8711" max="8711" width="6.5703125" customWidth="1"/>
    <col min="8712" max="8712" width="15.7109375" bestFit="1" customWidth="1"/>
    <col min="8714" max="8714" width="14.28515625" customWidth="1"/>
    <col min="8961" max="8961" width="70.85546875" bestFit="1" customWidth="1"/>
    <col min="8962" max="8962" width="22.28515625" bestFit="1" customWidth="1"/>
    <col min="8963" max="8963" width="14" customWidth="1"/>
    <col min="8964" max="8964" width="15.42578125" customWidth="1"/>
    <col min="8965" max="8965" width="17.42578125" customWidth="1"/>
    <col min="8966" max="8966" width="22.140625" bestFit="1" customWidth="1"/>
    <col min="8967" max="8967" width="6.5703125" customWidth="1"/>
    <col min="8968" max="8968" width="15.7109375" bestFit="1" customWidth="1"/>
    <col min="8970" max="8970" width="14.28515625" customWidth="1"/>
    <col min="9217" max="9217" width="70.85546875" bestFit="1" customWidth="1"/>
    <col min="9218" max="9218" width="22.28515625" bestFit="1" customWidth="1"/>
    <col min="9219" max="9219" width="14" customWidth="1"/>
    <col min="9220" max="9220" width="15.42578125" customWidth="1"/>
    <col min="9221" max="9221" width="17.42578125" customWidth="1"/>
    <col min="9222" max="9222" width="22.140625" bestFit="1" customWidth="1"/>
    <col min="9223" max="9223" width="6.5703125" customWidth="1"/>
    <col min="9224" max="9224" width="15.7109375" bestFit="1" customWidth="1"/>
    <col min="9226" max="9226" width="14.28515625" customWidth="1"/>
    <col min="9473" max="9473" width="70.85546875" bestFit="1" customWidth="1"/>
    <col min="9474" max="9474" width="22.28515625" bestFit="1" customWidth="1"/>
    <col min="9475" max="9475" width="14" customWidth="1"/>
    <col min="9476" max="9476" width="15.42578125" customWidth="1"/>
    <col min="9477" max="9477" width="17.42578125" customWidth="1"/>
    <col min="9478" max="9478" width="22.140625" bestFit="1" customWidth="1"/>
    <col min="9479" max="9479" width="6.5703125" customWidth="1"/>
    <col min="9480" max="9480" width="15.7109375" bestFit="1" customWidth="1"/>
    <col min="9482" max="9482" width="14.28515625" customWidth="1"/>
    <col min="9729" max="9729" width="70.85546875" bestFit="1" customWidth="1"/>
    <col min="9730" max="9730" width="22.28515625" bestFit="1" customWidth="1"/>
    <col min="9731" max="9731" width="14" customWidth="1"/>
    <col min="9732" max="9732" width="15.42578125" customWidth="1"/>
    <col min="9733" max="9733" width="17.42578125" customWidth="1"/>
    <col min="9734" max="9734" width="22.140625" bestFit="1" customWidth="1"/>
    <col min="9735" max="9735" width="6.5703125" customWidth="1"/>
    <col min="9736" max="9736" width="15.7109375" bestFit="1" customWidth="1"/>
    <col min="9738" max="9738" width="14.28515625" customWidth="1"/>
    <col min="9985" max="9985" width="70.85546875" bestFit="1" customWidth="1"/>
    <col min="9986" max="9986" width="22.28515625" bestFit="1" customWidth="1"/>
    <col min="9987" max="9987" width="14" customWidth="1"/>
    <col min="9988" max="9988" width="15.42578125" customWidth="1"/>
    <col min="9989" max="9989" width="17.42578125" customWidth="1"/>
    <col min="9990" max="9990" width="22.140625" bestFit="1" customWidth="1"/>
    <col min="9991" max="9991" width="6.5703125" customWidth="1"/>
    <col min="9992" max="9992" width="15.7109375" bestFit="1" customWidth="1"/>
    <col min="9994" max="9994" width="14.28515625" customWidth="1"/>
    <col min="10241" max="10241" width="70.85546875" bestFit="1" customWidth="1"/>
    <col min="10242" max="10242" width="22.28515625" bestFit="1" customWidth="1"/>
    <col min="10243" max="10243" width="14" customWidth="1"/>
    <col min="10244" max="10244" width="15.42578125" customWidth="1"/>
    <col min="10245" max="10245" width="17.42578125" customWidth="1"/>
    <col min="10246" max="10246" width="22.140625" bestFit="1" customWidth="1"/>
    <col min="10247" max="10247" width="6.5703125" customWidth="1"/>
    <col min="10248" max="10248" width="15.7109375" bestFit="1" customWidth="1"/>
    <col min="10250" max="10250" width="14.28515625" customWidth="1"/>
    <col min="10497" max="10497" width="70.85546875" bestFit="1" customWidth="1"/>
    <col min="10498" max="10498" width="22.28515625" bestFit="1" customWidth="1"/>
    <col min="10499" max="10499" width="14" customWidth="1"/>
    <col min="10500" max="10500" width="15.42578125" customWidth="1"/>
    <col min="10501" max="10501" width="17.42578125" customWidth="1"/>
    <col min="10502" max="10502" width="22.140625" bestFit="1" customWidth="1"/>
    <col min="10503" max="10503" width="6.5703125" customWidth="1"/>
    <col min="10504" max="10504" width="15.7109375" bestFit="1" customWidth="1"/>
    <col min="10506" max="10506" width="14.28515625" customWidth="1"/>
    <col min="10753" max="10753" width="70.85546875" bestFit="1" customWidth="1"/>
    <col min="10754" max="10754" width="22.28515625" bestFit="1" customWidth="1"/>
    <col min="10755" max="10755" width="14" customWidth="1"/>
    <col min="10756" max="10756" width="15.42578125" customWidth="1"/>
    <col min="10757" max="10757" width="17.42578125" customWidth="1"/>
    <col min="10758" max="10758" width="22.140625" bestFit="1" customWidth="1"/>
    <col min="10759" max="10759" width="6.5703125" customWidth="1"/>
    <col min="10760" max="10760" width="15.7109375" bestFit="1" customWidth="1"/>
    <col min="10762" max="10762" width="14.28515625" customWidth="1"/>
    <col min="11009" max="11009" width="70.85546875" bestFit="1" customWidth="1"/>
    <col min="11010" max="11010" width="22.28515625" bestFit="1" customWidth="1"/>
    <col min="11011" max="11011" width="14" customWidth="1"/>
    <col min="11012" max="11012" width="15.42578125" customWidth="1"/>
    <col min="11013" max="11013" width="17.42578125" customWidth="1"/>
    <col min="11014" max="11014" width="22.140625" bestFit="1" customWidth="1"/>
    <col min="11015" max="11015" width="6.5703125" customWidth="1"/>
    <col min="11016" max="11016" width="15.7109375" bestFit="1" customWidth="1"/>
    <col min="11018" max="11018" width="14.28515625" customWidth="1"/>
    <col min="11265" max="11265" width="70.85546875" bestFit="1" customWidth="1"/>
    <col min="11266" max="11266" width="22.28515625" bestFit="1" customWidth="1"/>
    <col min="11267" max="11267" width="14" customWidth="1"/>
    <col min="11268" max="11268" width="15.42578125" customWidth="1"/>
    <col min="11269" max="11269" width="17.42578125" customWidth="1"/>
    <col min="11270" max="11270" width="22.140625" bestFit="1" customWidth="1"/>
    <col min="11271" max="11271" width="6.5703125" customWidth="1"/>
    <col min="11272" max="11272" width="15.7109375" bestFit="1" customWidth="1"/>
    <col min="11274" max="11274" width="14.28515625" customWidth="1"/>
    <col min="11521" max="11521" width="70.85546875" bestFit="1" customWidth="1"/>
    <col min="11522" max="11522" width="22.28515625" bestFit="1" customWidth="1"/>
    <col min="11523" max="11523" width="14" customWidth="1"/>
    <col min="11524" max="11524" width="15.42578125" customWidth="1"/>
    <col min="11525" max="11525" width="17.42578125" customWidth="1"/>
    <col min="11526" max="11526" width="22.140625" bestFit="1" customWidth="1"/>
    <col min="11527" max="11527" width="6.5703125" customWidth="1"/>
    <col min="11528" max="11528" width="15.7109375" bestFit="1" customWidth="1"/>
    <col min="11530" max="11530" width="14.28515625" customWidth="1"/>
    <col min="11777" max="11777" width="70.85546875" bestFit="1" customWidth="1"/>
    <col min="11778" max="11778" width="22.28515625" bestFit="1" customWidth="1"/>
    <col min="11779" max="11779" width="14" customWidth="1"/>
    <col min="11780" max="11780" width="15.42578125" customWidth="1"/>
    <col min="11781" max="11781" width="17.42578125" customWidth="1"/>
    <col min="11782" max="11782" width="22.140625" bestFit="1" customWidth="1"/>
    <col min="11783" max="11783" width="6.5703125" customWidth="1"/>
    <col min="11784" max="11784" width="15.7109375" bestFit="1" customWidth="1"/>
    <col min="11786" max="11786" width="14.28515625" customWidth="1"/>
    <col min="12033" max="12033" width="70.85546875" bestFit="1" customWidth="1"/>
    <col min="12034" max="12034" width="22.28515625" bestFit="1" customWidth="1"/>
    <col min="12035" max="12035" width="14" customWidth="1"/>
    <col min="12036" max="12036" width="15.42578125" customWidth="1"/>
    <col min="12037" max="12037" width="17.42578125" customWidth="1"/>
    <col min="12038" max="12038" width="22.140625" bestFit="1" customWidth="1"/>
    <col min="12039" max="12039" width="6.5703125" customWidth="1"/>
    <col min="12040" max="12040" width="15.7109375" bestFit="1" customWidth="1"/>
    <col min="12042" max="12042" width="14.28515625" customWidth="1"/>
    <col min="12289" max="12289" width="70.85546875" bestFit="1" customWidth="1"/>
    <col min="12290" max="12290" width="22.28515625" bestFit="1" customWidth="1"/>
    <col min="12291" max="12291" width="14" customWidth="1"/>
    <col min="12292" max="12292" width="15.42578125" customWidth="1"/>
    <col min="12293" max="12293" width="17.42578125" customWidth="1"/>
    <col min="12294" max="12294" width="22.140625" bestFit="1" customWidth="1"/>
    <col min="12295" max="12295" width="6.5703125" customWidth="1"/>
    <col min="12296" max="12296" width="15.7109375" bestFit="1" customWidth="1"/>
    <col min="12298" max="12298" width="14.28515625" customWidth="1"/>
    <col min="12545" max="12545" width="70.85546875" bestFit="1" customWidth="1"/>
    <col min="12546" max="12546" width="22.28515625" bestFit="1" customWidth="1"/>
    <col min="12547" max="12547" width="14" customWidth="1"/>
    <col min="12548" max="12548" width="15.42578125" customWidth="1"/>
    <col min="12549" max="12549" width="17.42578125" customWidth="1"/>
    <col min="12550" max="12550" width="22.140625" bestFit="1" customWidth="1"/>
    <col min="12551" max="12551" width="6.5703125" customWidth="1"/>
    <col min="12552" max="12552" width="15.7109375" bestFit="1" customWidth="1"/>
    <col min="12554" max="12554" width="14.28515625" customWidth="1"/>
    <col min="12801" max="12801" width="70.85546875" bestFit="1" customWidth="1"/>
    <col min="12802" max="12802" width="22.28515625" bestFit="1" customWidth="1"/>
    <col min="12803" max="12803" width="14" customWidth="1"/>
    <col min="12804" max="12804" width="15.42578125" customWidth="1"/>
    <col min="12805" max="12805" width="17.42578125" customWidth="1"/>
    <col min="12806" max="12806" width="22.140625" bestFit="1" customWidth="1"/>
    <col min="12807" max="12807" width="6.5703125" customWidth="1"/>
    <col min="12808" max="12808" width="15.7109375" bestFit="1" customWidth="1"/>
    <col min="12810" max="12810" width="14.28515625" customWidth="1"/>
    <col min="13057" max="13057" width="70.85546875" bestFit="1" customWidth="1"/>
    <col min="13058" max="13058" width="22.28515625" bestFit="1" customWidth="1"/>
    <col min="13059" max="13059" width="14" customWidth="1"/>
    <col min="13060" max="13060" width="15.42578125" customWidth="1"/>
    <col min="13061" max="13061" width="17.42578125" customWidth="1"/>
    <col min="13062" max="13062" width="22.140625" bestFit="1" customWidth="1"/>
    <col min="13063" max="13063" width="6.5703125" customWidth="1"/>
    <col min="13064" max="13064" width="15.7109375" bestFit="1" customWidth="1"/>
    <col min="13066" max="13066" width="14.28515625" customWidth="1"/>
    <col min="13313" max="13313" width="70.85546875" bestFit="1" customWidth="1"/>
    <col min="13314" max="13314" width="22.28515625" bestFit="1" customWidth="1"/>
    <col min="13315" max="13315" width="14" customWidth="1"/>
    <col min="13316" max="13316" width="15.42578125" customWidth="1"/>
    <col min="13317" max="13317" width="17.42578125" customWidth="1"/>
    <col min="13318" max="13318" width="22.140625" bestFit="1" customWidth="1"/>
    <col min="13319" max="13319" width="6.5703125" customWidth="1"/>
    <col min="13320" max="13320" width="15.7109375" bestFit="1" customWidth="1"/>
    <col min="13322" max="13322" width="14.28515625" customWidth="1"/>
    <col min="13569" max="13569" width="70.85546875" bestFit="1" customWidth="1"/>
    <col min="13570" max="13570" width="22.28515625" bestFit="1" customWidth="1"/>
    <col min="13571" max="13571" width="14" customWidth="1"/>
    <col min="13572" max="13572" width="15.42578125" customWidth="1"/>
    <col min="13573" max="13573" width="17.42578125" customWidth="1"/>
    <col min="13574" max="13574" width="22.140625" bestFit="1" customWidth="1"/>
    <col min="13575" max="13575" width="6.5703125" customWidth="1"/>
    <col min="13576" max="13576" width="15.7109375" bestFit="1" customWidth="1"/>
    <col min="13578" max="13578" width="14.28515625" customWidth="1"/>
    <col min="13825" max="13825" width="70.85546875" bestFit="1" customWidth="1"/>
    <col min="13826" max="13826" width="22.28515625" bestFit="1" customWidth="1"/>
    <col min="13827" max="13827" width="14" customWidth="1"/>
    <col min="13828" max="13828" width="15.42578125" customWidth="1"/>
    <col min="13829" max="13829" width="17.42578125" customWidth="1"/>
    <col min="13830" max="13830" width="22.140625" bestFit="1" customWidth="1"/>
    <col min="13831" max="13831" width="6.5703125" customWidth="1"/>
    <col min="13832" max="13832" width="15.7109375" bestFit="1" customWidth="1"/>
    <col min="13834" max="13834" width="14.28515625" customWidth="1"/>
    <col min="14081" max="14081" width="70.85546875" bestFit="1" customWidth="1"/>
    <col min="14082" max="14082" width="22.28515625" bestFit="1" customWidth="1"/>
    <col min="14083" max="14083" width="14" customWidth="1"/>
    <col min="14084" max="14084" width="15.42578125" customWidth="1"/>
    <col min="14085" max="14085" width="17.42578125" customWidth="1"/>
    <col min="14086" max="14086" width="22.140625" bestFit="1" customWidth="1"/>
    <col min="14087" max="14087" width="6.5703125" customWidth="1"/>
    <col min="14088" max="14088" width="15.7109375" bestFit="1" customWidth="1"/>
    <col min="14090" max="14090" width="14.28515625" customWidth="1"/>
    <col min="14337" max="14337" width="70.85546875" bestFit="1" customWidth="1"/>
    <col min="14338" max="14338" width="22.28515625" bestFit="1" customWidth="1"/>
    <col min="14339" max="14339" width="14" customWidth="1"/>
    <col min="14340" max="14340" width="15.42578125" customWidth="1"/>
    <col min="14341" max="14341" width="17.42578125" customWidth="1"/>
    <col min="14342" max="14342" width="22.140625" bestFit="1" customWidth="1"/>
    <col min="14343" max="14343" width="6.5703125" customWidth="1"/>
    <col min="14344" max="14344" width="15.7109375" bestFit="1" customWidth="1"/>
    <col min="14346" max="14346" width="14.28515625" customWidth="1"/>
    <col min="14593" max="14593" width="70.85546875" bestFit="1" customWidth="1"/>
    <col min="14594" max="14594" width="22.28515625" bestFit="1" customWidth="1"/>
    <col min="14595" max="14595" width="14" customWidth="1"/>
    <col min="14596" max="14596" width="15.42578125" customWidth="1"/>
    <col min="14597" max="14597" width="17.42578125" customWidth="1"/>
    <col min="14598" max="14598" width="22.140625" bestFit="1" customWidth="1"/>
    <col min="14599" max="14599" width="6.5703125" customWidth="1"/>
    <col min="14600" max="14600" width="15.7109375" bestFit="1" customWidth="1"/>
    <col min="14602" max="14602" width="14.28515625" customWidth="1"/>
    <col min="14849" max="14849" width="70.85546875" bestFit="1" customWidth="1"/>
    <col min="14850" max="14850" width="22.28515625" bestFit="1" customWidth="1"/>
    <col min="14851" max="14851" width="14" customWidth="1"/>
    <col min="14852" max="14852" width="15.42578125" customWidth="1"/>
    <col min="14853" max="14853" width="17.42578125" customWidth="1"/>
    <col min="14854" max="14854" width="22.140625" bestFit="1" customWidth="1"/>
    <col min="14855" max="14855" width="6.5703125" customWidth="1"/>
    <col min="14856" max="14856" width="15.7109375" bestFit="1" customWidth="1"/>
    <col min="14858" max="14858" width="14.28515625" customWidth="1"/>
    <col min="15105" max="15105" width="70.85546875" bestFit="1" customWidth="1"/>
    <col min="15106" max="15106" width="22.28515625" bestFit="1" customWidth="1"/>
    <col min="15107" max="15107" width="14" customWidth="1"/>
    <col min="15108" max="15108" width="15.42578125" customWidth="1"/>
    <col min="15109" max="15109" width="17.42578125" customWidth="1"/>
    <col min="15110" max="15110" width="22.140625" bestFit="1" customWidth="1"/>
    <col min="15111" max="15111" width="6.5703125" customWidth="1"/>
    <col min="15112" max="15112" width="15.7109375" bestFit="1" customWidth="1"/>
    <col min="15114" max="15114" width="14.28515625" customWidth="1"/>
    <col min="15361" max="15361" width="70.85546875" bestFit="1" customWidth="1"/>
    <col min="15362" max="15362" width="22.28515625" bestFit="1" customWidth="1"/>
    <col min="15363" max="15363" width="14" customWidth="1"/>
    <col min="15364" max="15364" width="15.42578125" customWidth="1"/>
    <col min="15365" max="15365" width="17.42578125" customWidth="1"/>
    <col min="15366" max="15366" width="22.140625" bestFit="1" customWidth="1"/>
    <col min="15367" max="15367" width="6.5703125" customWidth="1"/>
    <col min="15368" max="15368" width="15.7109375" bestFit="1" customWidth="1"/>
    <col min="15370" max="15370" width="14.28515625" customWidth="1"/>
    <col min="15617" max="15617" width="70.85546875" bestFit="1" customWidth="1"/>
    <col min="15618" max="15618" width="22.28515625" bestFit="1" customWidth="1"/>
    <col min="15619" max="15619" width="14" customWidth="1"/>
    <col min="15620" max="15620" width="15.42578125" customWidth="1"/>
    <col min="15621" max="15621" width="17.42578125" customWidth="1"/>
    <col min="15622" max="15622" width="22.140625" bestFit="1" customWidth="1"/>
    <col min="15623" max="15623" width="6.5703125" customWidth="1"/>
    <col min="15624" max="15624" width="15.7109375" bestFit="1" customWidth="1"/>
    <col min="15626" max="15626" width="14.28515625" customWidth="1"/>
    <col min="15873" max="15873" width="70.85546875" bestFit="1" customWidth="1"/>
    <col min="15874" max="15874" width="22.28515625" bestFit="1" customWidth="1"/>
    <col min="15875" max="15875" width="14" customWidth="1"/>
    <col min="15876" max="15876" width="15.42578125" customWidth="1"/>
    <col min="15877" max="15877" width="17.42578125" customWidth="1"/>
    <col min="15878" max="15878" width="22.140625" bestFit="1" customWidth="1"/>
    <col min="15879" max="15879" width="6.5703125" customWidth="1"/>
    <col min="15880" max="15880" width="15.7109375" bestFit="1" customWidth="1"/>
    <col min="15882" max="15882" width="14.28515625" customWidth="1"/>
    <col min="16129" max="16129" width="70.85546875" bestFit="1" customWidth="1"/>
    <col min="16130" max="16130" width="22.28515625" bestFit="1" customWidth="1"/>
    <col min="16131" max="16131" width="14" customWidth="1"/>
    <col min="16132" max="16132" width="15.42578125" customWidth="1"/>
    <col min="16133" max="16133" width="17.42578125" customWidth="1"/>
    <col min="16134" max="16134" width="22.140625" bestFit="1" customWidth="1"/>
    <col min="16135" max="16135" width="6.5703125" customWidth="1"/>
    <col min="16136" max="16136" width="15.7109375" bestFit="1" customWidth="1"/>
    <col min="16138" max="16138" width="14.28515625" customWidth="1"/>
  </cols>
  <sheetData>
    <row r="1" spans="1:10" ht="18.75" x14ac:dyDescent="0.25">
      <c r="A1" s="768" t="s">
        <v>833</v>
      </c>
      <c r="B1" s="768"/>
      <c r="C1" s="768"/>
      <c r="D1" s="768"/>
      <c r="E1" s="768"/>
    </row>
    <row r="2" spans="1:10" ht="18.75" x14ac:dyDescent="0.25">
      <c r="A2" s="768" t="s">
        <v>3</v>
      </c>
      <c r="B2" s="769"/>
      <c r="C2" s="769"/>
      <c r="D2" s="769"/>
      <c r="E2" s="769"/>
      <c r="F2" s="552" t="s">
        <v>149</v>
      </c>
    </row>
    <row r="3" spans="1:10" ht="18.75" x14ac:dyDescent="0.25">
      <c r="A3" s="768" t="s">
        <v>150</v>
      </c>
      <c r="B3" s="769"/>
      <c r="C3" s="769"/>
      <c r="D3" s="769"/>
      <c r="E3" s="769"/>
      <c r="F3" s="554"/>
    </row>
    <row r="4" spans="1:10" ht="19.5" thickBot="1" x14ac:dyDescent="0.3">
      <c r="A4" s="555"/>
      <c r="B4" s="556"/>
      <c r="C4" s="556"/>
      <c r="D4" s="556"/>
      <c r="E4" s="556"/>
      <c r="F4" s="554" t="s">
        <v>893</v>
      </c>
    </row>
    <row r="5" spans="1:10" ht="36.75" thickBot="1" x14ac:dyDescent="0.3">
      <c r="A5" s="557" t="s">
        <v>152</v>
      </c>
      <c r="B5" s="558" t="s">
        <v>153</v>
      </c>
      <c r="C5" s="558" t="s">
        <v>154</v>
      </c>
      <c r="D5" s="558" t="s">
        <v>603</v>
      </c>
      <c r="E5" s="558" t="s">
        <v>844</v>
      </c>
      <c r="F5" s="1210" t="s">
        <v>869</v>
      </c>
    </row>
    <row r="6" spans="1:10" ht="15.75" thickBot="1" x14ac:dyDescent="0.3">
      <c r="A6" s="559">
        <v>1</v>
      </c>
      <c r="B6" s="560">
        <v>2</v>
      </c>
      <c r="C6" s="560">
        <v>3</v>
      </c>
      <c r="D6" s="560">
        <v>4</v>
      </c>
      <c r="E6" s="560">
        <v>5</v>
      </c>
      <c r="F6" s="1211">
        <v>5</v>
      </c>
    </row>
    <row r="7" spans="1:10" s="139" customFormat="1" ht="20.25" customHeight="1" thickBot="1" x14ac:dyDescent="0.3">
      <c r="A7" s="561" t="s">
        <v>155</v>
      </c>
      <c r="B7" s="562">
        <f>B8+B11</f>
        <v>0</v>
      </c>
      <c r="C7" s="562"/>
      <c r="D7" s="562">
        <f>D8+D11</f>
        <v>0</v>
      </c>
      <c r="E7" s="562">
        <f>E8+E11</f>
        <v>0</v>
      </c>
      <c r="F7" s="1212">
        <f>F8+F9+F10+F11</f>
        <v>242449142</v>
      </c>
      <c r="G7" s="138"/>
      <c r="H7" s="138"/>
    </row>
    <row r="8" spans="1:10" ht="20.25" customHeight="1" x14ac:dyDescent="0.25">
      <c r="A8" s="376" t="s">
        <v>870</v>
      </c>
      <c r="B8" s="563"/>
      <c r="C8" s="564"/>
      <c r="D8" s="563"/>
      <c r="E8" s="563"/>
      <c r="F8" s="1213">
        <v>3000000</v>
      </c>
      <c r="J8" s="141"/>
    </row>
    <row r="9" spans="1:10" ht="20.25" customHeight="1" thickBot="1" x14ac:dyDescent="0.3">
      <c r="A9" s="565" t="s">
        <v>871</v>
      </c>
      <c r="B9" s="566"/>
      <c r="C9" s="567"/>
      <c r="D9" s="566"/>
      <c r="E9" s="566"/>
      <c r="F9" s="1214">
        <v>12451900</v>
      </c>
      <c r="J9" s="141"/>
    </row>
    <row r="10" spans="1:10" ht="20.25" customHeight="1" thickBot="1" x14ac:dyDescent="0.3">
      <c r="A10" s="568" t="s">
        <v>872</v>
      </c>
      <c r="B10" s="566"/>
      <c r="C10" s="567"/>
      <c r="D10" s="566"/>
      <c r="E10" s="566"/>
      <c r="F10" s="569">
        <v>226997242</v>
      </c>
      <c r="J10" s="141"/>
    </row>
    <row r="11" spans="1:10" ht="20.25" customHeight="1" thickBot="1" x14ac:dyDescent="0.3">
      <c r="A11" s="403"/>
      <c r="B11" s="566"/>
      <c r="C11" s="567"/>
      <c r="D11" s="566"/>
      <c r="E11" s="566"/>
      <c r="F11" s="1214"/>
      <c r="J11" s="141"/>
    </row>
    <row r="12" spans="1:10" ht="20.25" customHeight="1" thickBot="1" x14ac:dyDescent="0.3">
      <c r="A12" s="570" t="s">
        <v>873</v>
      </c>
      <c r="B12" s="571">
        <f t="shared" ref="B12:F12" si="0">B17+B20+B31+B44</f>
        <v>920189</v>
      </c>
      <c r="C12" s="571">
        <f t="shared" si="0"/>
        <v>0</v>
      </c>
      <c r="D12" s="571">
        <f t="shared" si="0"/>
        <v>0</v>
      </c>
      <c r="E12" s="571">
        <f t="shared" si="0"/>
        <v>920189</v>
      </c>
      <c r="F12" s="1215">
        <f t="shared" si="0"/>
        <v>793189</v>
      </c>
      <c r="G12" s="142"/>
      <c r="H12" s="142"/>
    </row>
    <row r="13" spans="1:10" ht="20.25" customHeight="1" thickBot="1" x14ac:dyDescent="0.3">
      <c r="A13" s="572" t="s">
        <v>845</v>
      </c>
      <c r="B13" s="573">
        <v>127000</v>
      </c>
      <c r="C13" s="567">
        <v>2020</v>
      </c>
      <c r="D13" s="403"/>
      <c r="E13" s="574">
        <v>127000</v>
      </c>
      <c r="F13" s="574">
        <v>127000</v>
      </c>
      <c r="G13" s="142"/>
      <c r="H13" s="142"/>
    </row>
    <row r="14" spans="1:10" ht="20.25" customHeight="1" thickBot="1" x14ac:dyDescent="0.3">
      <c r="A14" s="575" t="s">
        <v>846</v>
      </c>
      <c r="B14" s="576">
        <v>50800</v>
      </c>
      <c r="C14" s="567">
        <v>2020</v>
      </c>
      <c r="D14" s="577"/>
      <c r="E14" s="578">
        <v>50800</v>
      </c>
      <c r="F14" s="578">
        <v>0</v>
      </c>
      <c r="G14" s="142"/>
      <c r="H14" s="142"/>
    </row>
    <row r="15" spans="1:10" ht="20.25" customHeight="1" thickBot="1" x14ac:dyDescent="0.3">
      <c r="A15" s="575" t="s">
        <v>847</v>
      </c>
      <c r="B15" s="576">
        <v>25400</v>
      </c>
      <c r="C15" s="567">
        <v>2020</v>
      </c>
      <c r="D15" s="577"/>
      <c r="E15" s="578">
        <v>25400</v>
      </c>
      <c r="F15" s="578">
        <v>25400</v>
      </c>
      <c r="G15" s="142"/>
      <c r="H15" s="142"/>
    </row>
    <row r="16" spans="1:10" ht="20.25" customHeight="1" thickBot="1" x14ac:dyDescent="0.3">
      <c r="A16" s="575" t="s">
        <v>848</v>
      </c>
      <c r="B16" s="576">
        <v>38100</v>
      </c>
      <c r="C16" s="567">
        <v>2020</v>
      </c>
      <c r="D16" s="577"/>
      <c r="E16" s="578">
        <v>38100</v>
      </c>
      <c r="F16" s="578">
        <v>38100</v>
      </c>
      <c r="G16" s="142"/>
      <c r="H16" s="142"/>
    </row>
    <row r="17" spans="1:10" ht="20.25" customHeight="1" thickBot="1" x14ac:dyDescent="0.3">
      <c r="A17" s="579" t="s">
        <v>164</v>
      </c>
      <c r="B17" s="580">
        <f>B13+B14+B15+B16</f>
        <v>241300</v>
      </c>
      <c r="C17" s="580"/>
      <c r="D17" s="580">
        <f>D13+D14+D15+D16</f>
        <v>0</v>
      </c>
      <c r="E17" s="580">
        <f>E13+E14+E15+E16</f>
        <v>241300</v>
      </c>
      <c r="F17" s="580">
        <f>F13+F14+F15+F16</f>
        <v>190500</v>
      </c>
      <c r="G17" s="142"/>
      <c r="H17" s="142"/>
    </row>
    <row r="18" spans="1:10" ht="20.25" customHeight="1" thickBot="1" x14ac:dyDescent="0.3">
      <c r="A18" s="572" t="s">
        <v>850</v>
      </c>
      <c r="B18" s="573">
        <v>63500</v>
      </c>
      <c r="C18" s="567">
        <v>2020</v>
      </c>
      <c r="D18" s="403"/>
      <c r="E18" s="574">
        <v>63500</v>
      </c>
      <c r="F18" s="574">
        <v>0</v>
      </c>
      <c r="G18" s="142"/>
      <c r="H18" s="142"/>
    </row>
    <row r="19" spans="1:10" ht="20.25" customHeight="1" thickBot="1" x14ac:dyDescent="0.3">
      <c r="A19" s="575" t="s">
        <v>849</v>
      </c>
      <c r="B19" s="576">
        <v>12700</v>
      </c>
      <c r="C19" s="567">
        <v>2020</v>
      </c>
      <c r="D19" s="577"/>
      <c r="E19" s="578">
        <v>12700</v>
      </c>
      <c r="F19" s="578">
        <v>0</v>
      </c>
      <c r="G19" s="142"/>
      <c r="H19" s="142"/>
    </row>
    <row r="20" spans="1:10" ht="20.25" customHeight="1" thickBot="1" x14ac:dyDescent="0.3">
      <c r="A20" s="579" t="s">
        <v>168</v>
      </c>
      <c r="B20" s="580">
        <f>B18+B19</f>
        <v>76200</v>
      </c>
      <c r="C20" s="580"/>
      <c r="D20" s="580">
        <f>D18+D19</f>
        <v>0</v>
      </c>
      <c r="E20" s="580">
        <f>E18+E19</f>
        <v>76200</v>
      </c>
      <c r="F20" s="580">
        <f>F18+F19</f>
        <v>0</v>
      </c>
      <c r="J20" s="141"/>
    </row>
    <row r="21" spans="1:10" ht="20.25" customHeight="1" x14ac:dyDescent="0.25">
      <c r="A21" s="581"/>
      <c r="B21" s="582"/>
      <c r="C21" s="582"/>
      <c r="D21" s="582"/>
      <c r="E21" s="582"/>
      <c r="F21" s="583"/>
      <c r="J21" s="141"/>
    </row>
    <row r="22" spans="1:10" ht="20.25" customHeight="1" x14ac:dyDescent="0.25">
      <c r="A22" s="768" t="s">
        <v>833</v>
      </c>
      <c r="B22" s="768"/>
      <c r="C22" s="768"/>
      <c r="D22" s="768"/>
      <c r="E22" s="768"/>
      <c r="J22" s="141"/>
    </row>
    <row r="23" spans="1:10" ht="20.25" customHeight="1" x14ac:dyDescent="0.25">
      <c r="A23" s="768" t="s">
        <v>3</v>
      </c>
      <c r="B23" s="769"/>
      <c r="C23" s="769"/>
      <c r="D23" s="769"/>
      <c r="E23" s="769"/>
      <c r="F23" s="552" t="s">
        <v>149</v>
      </c>
      <c r="J23" s="141"/>
    </row>
    <row r="24" spans="1:10" ht="20.25" customHeight="1" thickBot="1" x14ac:dyDescent="0.3">
      <c r="A24" s="768" t="s">
        <v>150</v>
      </c>
      <c r="B24" s="769"/>
      <c r="C24" s="769"/>
      <c r="D24" s="769"/>
      <c r="E24" s="769"/>
      <c r="F24" s="554" t="s">
        <v>151</v>
      </c>
      <c r="J24" s="141"/>
    </row>
    <row r="25" spans="1:10" ht="36.75" thickBot="1" x14ac:dyDescent="0.3">
      <c r="A25" s="1205" t="s">
        <v>152</v>
      </c>
      <c r="B25" s="1203" t="s">
        <v>153</v>
      </c>
      <c r="C25" s="558" t="s">
        <v>154</v>
      </c>
      <c r="D25" s="584" t="s">
        <v>603</v>
      </c>
      <c r="E25" s="585" t="s">
        <v>844</v>
      </c>
      <c r="F25" s="586" t="s">
        <v>869</v>
      </c>
    </row>
    <row r="26" spans="1:10" s="470" customFormat="1" ht="15.75" customHeight="1" thickBot="1" x14ac:dyDescent="0.3">
      <c r="A26" s="1206" t="s">
        <v>776</v>
      </c>
      <c r="B26" s="503">
        <v>317499</v>
      </c>
      <c r="C26" s="588"/>
      <c r="D26" s="587"/>
      <c r="E26" s="589">
        <v>317499</v>
      </c>
      <c r="F26" s="476">
        <v>317499</v>
      </c>
      <c r="G26" s="500"/>
      <c r="H26" s="500"/>
      <c r="J26" s="501"/>
    </row>
    <row r="27" spans="1:10" s="470" customFormat="1" ht="20.25" customHeight="1" thickBot="1" x14ac:dyDescent="0.3">
      <c r="A27" s="1207" t="s">
        <v>777</v>
      </c>
      <c r="B27" s="503">
        <v>25400</v>
      </c>
      <c r="C27" s="588"/>
      <c r="D27" s="590"/>
      <c r="E27" s="589">
        <v>25400</v>
      </c>
      <c r="F27" s="476">
        <v>25400</v>
      </c>
      <c r="G27" s="500"/>
      <c r="H27" s="500"/>
      <c r="J27" s="501"/>
    </row>
    <row r="28" spans="1:10" s="470" customFormat="1" ht="20.25" customHeight="1" thickBot="1" x14ac:dyDescent="0.3">
      <c r="A28" s="1207" t="s">
        <v>778</v>
      </c>
      <c r="B28" s="503">
        <v>25400</v>
      </c>
      <c r="C28" s="588"/>
      <c r="D28" s="590"/>
      <c r="E28" s="589">
        <v>25400</v>
      </c>
      <c r="F28" s="476">
        <v>25400</v>
      </c>
      <c r="G28" s="500"/>
      <c r="H28" s="500"/>
      <c r="J28" s="501"/>
    </row>
    <row r="29" spans="1:10" s="470" customFormat="1" ht="20.25" customHeight="1" thickBot="1" x14ac:dyDescent="0.3">
      <c r="A29" s="1207" t="s">
        <v>780</v>
      </c>
      <c r="B29" s="503">
        <v>25400</v>
      </c>
      <c r="C29" s="588"/>
      <c r="D29" s="590"/>
      <c r="E29" s="589">
        <v>25400</v>
      </c>
      <c r="F29" s="476">
        <v>25400</v>
      </c>
      <c r="G29" s="500"/>
      <c r="H29" s="500"/>
      <c r="J29" s="501"/>
    </row>
    <row r="30" spans="1:10" s="470" customFormat="1" ht="20.25" customHeight="1" thickBot="1" x14ac:dyDescent="0.3">
      <c r="A30" s="1208" t="s">
        <v>781</v>
      </c>
      <c r="B30" s="503">
        <v>8990</v>
      </c>
      <c r="C30" s="588"/>
      <c r="D30" s="591"/>
      <c r="E30" s="589">
        <v>8990</v>
      </c>
      <c r="F30" s="476">
        <v>8990</v>
      </c>
      <c r="G30" s="500"/>
      <c r="I30" s="501"/>
    </row>
    <row r="31" spans="1:10" s="410" customFormat="1" ht="20.25" customHeight="1" thickBot="1" x14ac:dyDescent="0.3">
      <c r="A31" s="1209" t="s">
        <v>170</v>
      </c>
      <c r="B31" s="1204">
        <f>SUM(B26:B30)</f>
        <v>402689</v>
      </c>
      <c r="C31" s="408"/>
      <c r="D31" s="502">
        <f>SUM(D26:D30)</f>
        <v>0</v>
      </c>
      <c r="E31" s="412">
        <f>SUM(E26:E30)</f>
        <v>402689</v>
      </c>
      <c r="F31" s="408">
        <f>SUM(F26:F30)</f>
        <v>402689</v>
      </c>
      <c r="G31" s="409"/>
      <c r="I31" s="411"/>
    </row>
    <row r="32" spans="1:10" ht="19.5" customHeight="1" x14ac:dyDescent="0.25">
      <c r="A32" s="593"/>
      <c r="B32" s="594"/>
      <c r="C32" s="594"/>
      <c r="D32" s="594"/>
      <c r="E32" s="594"/>
      <c r="F32" s="583"/>
      <c r="J32" s="141"/>
    </row>
    <row r="33" spans="1:10" ht="19.5" customHeight="1" x14ac:dyDescent="0.25">
      <c r="A33" s="593"/>
      <c r="B33" s="594"/>
      <c r="C33" s="594"/>
      <c r="D33" s="594"/>
      <c r="E33" s="594"/>
      <c r="F33" s="583"/>
      <c r="J33" s="141"/>
    </row>
    <row r="34" spans="1:10" ht="19.5" customHeight="1" x14ac:dyDescent="0.25">
      <c r="A34" s="593"/>
      <c r="B34" s="594"/>
      <c r="C34" s="594"/>
      <c r="D34" s="594"/>
      <c r="E34" s="594"/>
      <c r="F34" s="583"/>
      <c r="J34" s="141"/>
    </row>
    <row r="35" spans="1:10" ht="18.75" x14ac:dyDescent="0.25">
      <c r="A35" s="768" t="s">
        <v>833</v>
      </c>
      <c r="B35" s="768"/>
      <c r="C35" s="768"/>
      <c r="D35" s="768"/>
      <c r="E35" s="768"/>
    </row>
    <row r="36" spans="1:10" ht="18.75" x14ac:dyDescent="0.25">
      <c r="A36" s="768" t="s">
        <v>3</v>
      </c>
      <c r="B36" s="769"/>
      <c r="C36" s="769"/>
      <c r="D36" s="769"/>
      <c r="E36" s="769"/>
      <c r="F36" s="552" t="s">
        <v>149</v>
      </c>
    </row>
    <row r="37" spans="1:10" ht="18.75" x14ac:dyDescent="0.25">
      <c r="A37" s="768" t="s">
        <v>150</v>
      </c>
      <c r="B37" s="769"/>
      <c r="C37" s="769"/>
      <c r="D37" s="769"/>
      <c r="E37" s="769"/>
      <c r="F37" s="554" t="s">
        <v>151</v>
      </c>
    </row>
    <row r="38" spans="1:10" ht="19.5" thickBot="1" x14ac:dyDescent="0.3">
      <c r="A38" s="555"/>
      <c r="B38" s="556"/>
      <c r="C38" s="556"/>
      <c r="D38" s="556"/>
      <c r="E38" s="556"/>
      <c r="F38" s="554"/>
    </row>
    <row r="39" spans="1:10" ht="36.75" thickBot="1" x14ac:dyDescent="0.3">
      <c r="A39" s="1196" t="s">
        <v>152</v>
      </c>
      <c r="B39" s="586" t="s">
        <v>153</v>
      </c>
      <c r="C39" s="1198" t="s">
        <v>154</v>
      </c>
      <c r="D39" s="586" t="s">
        <v>603</v>
      </c>
      <c r="E39" s="586" t="s">
        <v>844</v>
      </c>
      <c r="F39" s="1186" t="s">
        <v>869</v>
      </c>
    </row>
    <row r="40" spans="1:10" ht="15.75" thickBot="1" x14ac:dyDescent="0.3">
      <c r="A40" s="1197">
        <v>1</v>
      </c>
      <c r="B40" s="595">
        <v>2</v>
      </c>
      <c r="C40" s="1199">
        <v>3</v>
      </c>
      <c r="D40" s="595">
        <v>4</v>
      </c>
      <c r="E40" s="595">
        <v>5</v>
      </c>
      <c r="F40" s="1187">
        <v>7</v>
      </c>
    </row>
    <row r="41" spans="1:10" ht="20.25" customHeight="1" thickBot="1" x14ac:dyDescent="0.3">
      <c r="A41" s="575" t="s">
        <v>851</v>
      </c>
      <c r="B41" s="577">
        <v>200000</v>
      </c>
      <c r="C41" s="596">
        <v>2020</v>
      </c>
      <c r="D41" s="577"/>
      <c r="E41" s="577">
        <v>200000</v>
      </c>
      <c r="F41" s="1188">
        <v>168601</v>
      </c>
      <c r="H41"/>
      <c r="I41" s="141"/>
    </row>
    <row r="42" spans="1:10" ht="20.25" customHeight="1" thickBot="1" x14ac:dyDescent="0.3">
      <c r="A42" s="575" t="s">
        <v>874</v>
      </c>
      <c r="B42" s="577"/>
      <c r="C42" s="596"/>
      <c r="D42" s="577"/>
      <c r="E42" s="577"/>
      <c r="F42" s="1189">
        <v>17700</v>
      </c>
      <c r="H42"/>
      <c r="I42" s="141"/>
    </row>
    <row r="43" spans="1:10" ht="20.25" customHeight="1" thickBot="1" x14ac:dyDescent="0.3">
      <c r="A43" s="575" t="s">
        <v>875</v>
      </c>
      <c r="B43" s="577"/>
      <c r="C43" s="596"/>
      <c r="D43" s="577"/>
      <c r="E43" s="577"/>
      <c r="F43" s="1190">
        <v>13699</v>
      </c>
      <c r="H43"/>
      <c r="I43" s="141"/>
    </row>
    <row r="44" spans="1:10" ht="20.25" customHeight="1" thickBot="1" x14ac:dyDescent="0.3">
      <c r="A44" s="579" t="s">
        <v>606</v>
      </c>
      <c r="B44" s="143">
        <f>B41</f>
        <v>200000</v>
      </c>
      <c r="C44" s="1200"/>
      <c r="D44" s="143"/>
      <c r="E44" s="143">
        <f>E41</f>
        <v>200000</v>
      </c>
      <c r="F44" s="1191">
        <f>F41+F42+F43</f>
        <v>200000</v>
      </c>
      <c r="H44"/>
      <c r="I44" s="141"/>
    </row>
    <row r="45" spans="1:10" ht="20.25" customHeight="1" thickBot="1" x14ac:dyDescent="0.3">
      <c r="A45" s="597" t="s">
        <v>876</v>
      </c>
      <c r="B45" s="569"/>
      <c r="C45" s="598"/>
      <c r="D45" s="569"/>
      <c r="E45" s="569"/>
      <c r="F45" s="1192">
        <v>114288380</v>
      </c>
      <c r="H45"/>
      <c r="I45" s="141"/>
    </row>
    <row r="46" spans="1:10" ht="20.25" customHeight="1" thickBot="1" x14ac:dyDescent="0.3">
      <c r="A46" s="597" t="s">
        <v>877</v>
      </c>
      <c r="B46" s="569"/>
      <c r="C46" s="598"/>
      <c r="D46" s="569"/>
      <c r="E46" s="569"/>
      <c r="F46" s="1192">
        <v>132538346</v>
      </c>
      <c r="H46"/>
      <c r="I46" s="141"/>
    </row>
    <row r="47" spans="1:10" ht="20.25" customHeight="1" thickBot="1" x14ac:dyDescent="0.3">
      <c r="A47" s="568" t="s">
        <v>878</v>
      </c>
      <c r="B47" s="569"/>
      <c r="C47" s="598"/>
      <c r="D47" s="569"/>
      <c r="E47" s="569"/>
      <c r="F47" s="1192">
        <v>3863467</v>
      </c>
      <c r="H47"/>
      <c r="I47" s="141"/>
    </row>
    <row r="48" spans="1:10" ht="20.25" customHeight="1" thickBot="1" x14ac:dyDescent="0.3">
      <c r="A48" s="597" t="s">
        <v>879</v>
      </c>
      <c r="B48" s="569"/>
      <c r="C48" s="598"/>
      <c r="D48" s="569"/>
      <c r="E48" s="569"/>
      <c r="F48" s="1192">
        <v>474434</v>
      </c>
      <c r="H48"/>
      <c r="I48" s="141"/>
    </row>
    <row r="49" spans="1:10" ht="20.25" customHeight="1" thickBot="1" x14ac:dyDescent="0.3">
      <c r="A49" s="568" t="s">
        <v>880</v>
      </c>
      <c r="B49" s="569"/>
      <c r="C49" s="598"/>
      <c r="D49" s="569"/>
      <c r="E49" s="569"/>
      <c r="F49" s="1192">
        <v>153890</v>
      </c>
      <c r="H49"/>
      <c r="I49" s="141"/>
    </row>
    <row r="50" spans="1:10" ht="20.25" customHeight="1" thickBot="1" x14ac:dyDescent="0.3">
      <c r="A50" s="568" t="s">
        <v>881</v>
      </c>
      <c r="B50" s="569"/>
      <c r="C50" s="598"/>
      <c r="D50" s="569"/>
      <c r="E50" s="569"/>
      <c r="F50" s="1192">
        <v>62999</v>
      </c>
      <c r="H50"/>
      <c r="I50" s="141"/>
    </row>
    <row r="51" spans="1:10" ht="20.25" customHeight="1" thickBot="1" x14ac:dyDescent="0.3">
      <c r="A51" s="568" t="s">
        <v>882</v>
      </c>
      <c r="B51" s="569"/>
      <c r="C51" s="598"/>
      <c r="D51" s="569"/>
      <c r="E51" s="569"/>
      <c r="F51" s="1192">
        <v>79999</v>
      </c>
      <c r="H51"/>
      <c r="I51" s="141"/>
    </row>
    <row r="52" spans="1:10" ht="20.25" customHeight="1" thickBot="1" x14ac:dyDescent="0.3">
      <c r="A52" s="568" t="s">
        <v>883</v>
      </c>
      <c r="B52" s="569"/>
      <c r="C52" s="598"/>
      <c r="D52" s="569"/>
      <c r="E52" s="569"/>
      <c r="F52" s="1192">
        <v>44999</v>
      </c>
      <c r="H52"/>
      <c r="I52" s="141"/>
    </row>
    <row r="53" spans="1:10" ht="20.25" customHeight="1" thickBot="1" x14ac:dyDescent="0.3">
      <c r="A53" s="568" t="s">
        <v>884</v>
      </c>
      <c r="B53" s="569"/>
      <c r="C53" s="598"/>
      <c r="D53" s="569"/>
      <c r="E53" s="569"/>
      <c r="F53" s="1192">
        <v>67970</v>
      </c>
      <c r="H53"/>
      <c r="I53" s="141"/>
    </row>
    <row r="54" spans="1:10" ht="20.25" customHeight="1" thickBot="1" x14ac:dyDescent="0.3">
      <c r="A54" s="568" t="s">
        <v>885</v>
      </c>
      <c r="B54" s="569"/>
      <c r="C54" s="598"/>
      <c r="D54" s="569"/>
      <c r="E54" s="569"/>
      <c r="F54" s="1192">
        <v>17500</v>
      </c>
      <c r="H54"/>
      <c r="I54" s="141"/>
    </row>
    <row r="55" spans="1:10" ht="20.25" customHeight="1" thickBot="1" x14ac:dyDescent="0.3">
      <c r="A55" s="568" t="s">
        <v>886</v>
      </c>
      <c r="B55" s="569"/>
      <c r="C55" s="598"/>
      <c r="D55" s="569"/>
      <c r="E55" s="569"/>
      <c r="F55" s="1192">
        <v>19000176</v>
      </c>
      <c r="H55"/>
      <c r="I55" s="141"/>
    </row>
    <row r="56" spans="1:10" ht="20.25" customHeight="1" thickBot="1" x14ac:dyDescent="0.3">
      <c r="A56" s="568" t="s">
        <v>887</v>
      </c>
      <c r="B56" s="569"/>
      <c r="C56" s="598"/>
      <c r="D56" s="569"/>
      <c r="E56" s="569"/>
      <c r="F56" s="1192">
        <v>1859026</v>
      </c>
      <c r="H56"/>
      <c r="I56" s="141"/>
    </row>
    <row r="57" spans="1:10" ht="20.25" customHeight="1" thickBot="1" x14ac:dyDescent="0.3">
      <c r="A57" s="568" t="s">
        <v>888</v>
      </c>
      <c r="B57" s="569"/>
      <c r="C57" s="598"/>
      <c r="D57" s="569"/>
      <c r="E57" s="569"/>
      <c r="F57" s="1192">
        <v>127000</v>
      </c>
      <c r="H57"/>
      <c r="I57" s="141"/>
    </row>
    <row r="58" spans="1:10" ht="20.25" customHeight="1" thickBot="1" x14ac:dyDescent="0.3">
      <c r="A58" s="568" t="s">
        <v>889</v>
      </c>
      <c r="B58" s="569"/>
      <c r="C58" s="598"/>
      <c r="D58" s="569"/>
      <c r="E58" s="569"/>
      <c r="F58" s="1192">
        <v>81160</v>
      </c>
      <c r="H58"/>
      <c r="I58" s="141"/>
    </row>
    <row r="59" spans="1:10" ht="20.25" customHeight="1" thickBot="1" x14ac:dyDescent="0.3">
      <c r="A59" s="568" t="s">
        <v>890</v>
      </c>
      <c r="B59" s="569"/>
      <c r="C59" s="598"/>
      <c r="D59" s="569"/>
      <c r="E59" s="569"/>
      <c r="F59" s="1192">
        <v>50940</v>
      </c>
      <c r="H59"/>
      <c r="I59" s="141"/>
    </row>
    <row r="60" spans="1:10" ht="20.25" customHeight="1" thickBot="1" x14ac:dyDescent="0.3">
      <c r="A60" s="568" t="s">
        <v>891</v>
      </c>
      <c r="B60" s="569"/>
      <c r="C60" s="598"/>
      <c r="D60" s="569"/>
      <c r="E60" s="569"/>
      <c r="F60" s="1192">
        <v>37980</v>
      </c>
      <c r="H60"/>
      <c r="I60" s="141"/>
    </row>
    <row r="61" spans="1:10" s="145" customFormat="1" ht="20.25" customHeight="1" thickBot="1" x14ac:dyDescent="0.3">
      <c r="A61" s="592" t="s">
        <v>171</v>
      </c>
      <c r="B61" s="408">
        <v>0</v>
      </c>
      <c r="C61" s="1201">
        <f>C44+C31+C20+C17</f>
        <v>0</v>
      </c>
      <c r="D61" s="408">
        <f>D44+D31+D20+D17</f>
        <v>0</v>
      </c>
      <c r="E61" s="408">
        <v>0</v>
      </c>
      <c r="F61" s="1193">
        <f>F45+F46+F47+F48+F49+F53+F55+F56+F57+F58+F59+F60+F50+F51+F52+F54</f>
        <v>272748266</v>
      </c>
      <c r="G61" s="144"/>
      <c r="H61" s="144"/>
      <c r="J61" s="146"/>
    </row>
    <row r="62" spans="1:10" s="148" customFormat="1" ht="21" thickBot="1" x14ac:dyDescent="0.35">
      <c r="A62" s="599" t="s">
        <v>892</v>
      </c>
      <c r="B62" s="1195">
        <f>B44+B31+B20+B17</f>
        <v>920189</v>
      </c>
      <c r="C62" s="1202">
        <f>C44+C31+C20+C17</f>
        <v>0</v>
      </c>
      <c r="D62" s="1195">
        <f>D44+D31+D20+D17</f>
        <v>0</v>
      </c>
      <c r="E62" s="1195">
        <f>E44+E31+E20+E17</f>
        <v>920189</v>
      </c>
      <c r="F62" s="1194">
        <f>F61+F44+F31+F20+F17+F7</f>
        <v>515990597</v>
      </c>
      <c r="G62" s="147"/>
      <c r="H62" s="147"/>
      <c r="J62" s="149"/>
    </row>
    <row r="70" spans="1:4" ht="15.75" x14ac:dyDescent="0.25">
      <c r="A70" s="601"/>
      <c r="C70" s="602"/>
      <c r="D70" s="602"/>
    </row>
    <row r="71" spans="1:4" ht="15.75" x14ac:dyDescent="0.25">
      <c r="A71" s="601"/>
      <c r="C71" s="602"/>
      <c r="D71" s="602"/>
    </row>
    <row r="72" spans="1:4" ht="15.75" x14ac:dyDescent="0.25">
      <c r="A72" s="603"/>
      <c r="C72" s="602"/>
      <c r="D72" s="602"/>
    </row>
    <row r="73" spans="1:4" ht="15.75" x14ac:dyDescent="0.25">
      <c r="A73" s="601"/>
      <c r="C73" s="602"/>
    </row>
    <row r="74" spans="1:4" x14ac:dyDescent="0.25">
      <c r="C74" s="604"/>
    </row>
    <row r="75" spans="1:4" ht="15.75" x14ac:dyDescent="0.25">
      <c r="A75" s="605"/>
      <c r="C75" s="602"/>
      <c r="D75" s="602"/>
    </row>
    <row r="76" spans="1:4" ht="15.75" x14ac:dyDescent="0.25">
      <c r="A76" s="605"/>
      <c r="C76" s="602"/>
      <c r="D76" s="602"/>
    </row>
    <row r="77" spans="1:4" ht="15.75" x14ac:dyDescent="0.25">
      <c r="A77" s="605"/>
      <c r="C77" s="602"/>
      <c r="D77" s="602"/>
    </row>
  </sheetData>
  <mergeCells count="9">
    <mergeCell ref="A36:E36"/>
    <mergeCell ref="A37:E37"/>
    <mergeCell ref="A35:E35"/>
    <mergeCell ref="A22:E22"/>
    <mergeCell ref="A1:E1"/>
    <mergeCell ref="A2:E2"/>
    <mergeCell ref="A3:E3"/>
    <mergeCell ref="A23:E23"/>
    <mergeCell ref="A24:E24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AM164"/>
  <sheetViews>
    <sheetView workbookViewId="0">
      <selection activeCell="P6" sqref="P6"/>
    </sheetView>
  </sheetViews>
  <sheetFormatPr defaultRowHeight="12.75" x14ac:dyDescent="0.2"/>
  <cols>
    <col min="1" max="6" width="3.28515625" style="153" customWidth="1"/>
    <col min="7" max="7" width="5.140625" style="153" customWidth="1"/>
    <col min="8" max="11" width="3.28515625" style="153" customWidth="1"/>
    <col min="12" max="12" width="4.28515625" style="153" customWidth="1"/>
    <col min="13" max="14" width="3.28515625" style="153" customWidth="1"/>
    <col min="15" max="15" width="1" style="153" customWidth="1"/>
    <col min="16" max="19" width="3.28515625" style="153" hidden="1" customWidth="1"/>
    <col min="20" max="20" width="2.42578125" style="153" customWidth="1"/>
    <col min="21" max="21" width="3.28515625" style="153" customWidth="1"/>
    <col min="22" max="22" width="16.5703125" style="155" customWidth="1"/>
    <col min="23" max="23" width="5.85546875" style="153" customWidth="1"/>
    <col min="24" max="25" width="3.28515625" style="153" hidden="1" customWidth="1"/>
    <col min="26" max="26" width="1.85546875" style="153" customWidth="1"/>
    <col min="27" max="27" width="0.42578125" style="153" customWidth="1"/>
    <col min="28" max="34" width="3.28515625" style="153" hidden="1" customWidth="1"/>
    <col min="35" max="35" width="9.140625" style="153"/>
    <col min="36" max="36" width="10.7109375" style="153" customWidth="1"/>
    <col min="37" max="39" width="9.140625" style="153" hidden="1" customWidth="1"/>
    <col min="40" max="256" width="9.140625" style="153"/>
    <col min="257" max="262" width="3.28515625" style="153" customWidth="1"/>
    <col min="263" max="263" width="5.140625" style="153" customWidth="1"/>
    <col min="264" max="267" width="3.28515625" style="153" customWidth="1"/>
    <col min="268" max="268" width="4.28515625" style="153" customWidth="1"/>
    <col min="269" max="270" width="3.28515625" style="153" customWidth="1"/>
    <col min="271" max="271" width="4.42578125" style="153" customWidth="1"/>
    <col min="272" max="275" width="3.28515625" style="153" customWidth="1"/>
    <col min="276" max="276" width="2.42578125" style="153" customWidth="1"/>
    <col min="277" max="277" width="3.28515625" style="153" customWidth="1"/>
    <col min="278" max="278" width="16.5703125" style="153" customWidth="1"/>
    <col min="279" max="279" width="5.85546875" style="153" customWidth="1"/>
    <col min="280" max="281" width="0" style="153" hidden="1" customWidth="1"/>
    <col min="282" max="282" width="1.85546875" style="153" customWidth="1"/>
    <col min="283" max="283" width="0.42578125" style="153" customWidth="1"/>
    <col min="284" max="290" width="0" style="153" hidden="1" customWidth="1"/>
    <col min="291" max="291" width="9.140625" style="153"/>
    <col min="292" max="292" width="10.7109375" style="153" customWidth="1"/>
    <col min="293" max="295" width="0" style="153" hidden="1" customWidth="1"/>
    <col min="296" max="512" width="9.140625" style="153"/>
    <col min="513" max="518" width="3.28515625" style="153" customWidth="1"/>
    <col min="519" max="519" width="5.140625" style="153" customWidth="1"/>
    <col min="520" max="523" width="3.28515625" style="153" customWidth="1"/>
    <col min="524" max="524" width="4.28515625" style="153" customWidth="1"/>
    <col min="525" max="526" width="3.28515625" style="153" customWidth="1"/>
    <col min="527" max="527" width="4.42578125" style="153" customWidth="1"/>
    <col min="528" max="531" width="3.28515625" style="153" customWidth="1"/>
    <col min="532" max="532" width="2.42578125" style="153" customWidth="1"/>
    <col min="533" max="533" width="3.28515625" style="153" customWidth="1"/>
    <col min="534" max="534" width="16.5703125" style="153" customWidth="1"/>
    <col min="535" max="535" width="5.85546875" style="153" customWidth="1"/>
    <col min="536" max="537" width="0" style="153" hidden="1" customWidth="1"/>
    <col min="538" max="538" width="1.85546875" style="153" customWidth="1"/>
    <col min="539" max="539" width="0.42578125" style="153" customWidth="1"/>
    <col min="540" max="546" width="0" style="153" hidden="1" customWidth="1"/>
    <col min="547" max="547" width="9.140625" style="153"/>
    <col min="548" max="548" width="10.7109375" style="153" customWidth="1"/>
    <col min="549" max="551" width="0" style="153" hidden="1" customWidth="1"/>
    <col min="552" max="768" width="9.140625" style="153"/>
    <col min="769" max="774" width="3.28515625" style="153" customWidth="1"/>
    <col min="775" max="775" width="5.140625" style="153" customWidth="1"/>
    <col min="776" max="779" width="3.28515625" style="153" customWidth="1"/>
    <col min="780" max="780" width="4.28515625" style="153" customWidth="1"/>
    <col min="781" max="782" width="3.28515625" style="153" customWidth="1"/>
    <col min="783" max="783" width="4.42578125" style="153" customWidth="1"/>
    <col min="784" max="787" width="3.28515625" style="153" customWidth="1"/>
    <col min="788" max="788" width="2.42578125" style="153" customWidth="1"/>
    <col min="789" max="789" width="3.28515625" style="153" customWidth="1"/>
    <col min="790" max="790" width="16.5703125" style="153" customWidth="1"/>
    <col min="791" max="791" width="5.85546875" style="153" customWidth="1"/>
    <col min="792" max="793" width="0" style="153" hidden="1" customWidth="1"/>
    <col min="794" max="794" width="1.85546875" style="153" customWidth="1"/>
    <col min="795" max="795" width="0.42578125" style="153" customWidth="1"/>
    <col min="796" max="802" width="0" style="153" hidden="1" customWidth="1"/>
    <col min="803" max="803" width="9.140625" style="153"/>
    <col min="804" max="804" width="10.7109375" style="153" customWidth="1"/>
    <col min="805" max="807" width="0" style="153" hidden="1" customWidth="1"/>
    <col min="808" max="1024" width="9.140625" style="153"/>
    <col min="1025" max="1030" width="3.28515625" style="153" customWidth="1"/>
    <col min="1031" max="1031" width="5.140625" style="153" customWidth="1"/>
    <col min="1032" max="1035" width="3.28515625" style="153" customWidth="1"/>
    <col min="1036" max="1036" width="4.28515625" style="153" customWidth="1"/>
    <col min="1037" max="1038" width="3.28515625" style="153" customWidth="1"/>
    <col min="1039" max="1039" width="4.42578125" style="153" customWidth="1"/>
    <col min="1040" max="1043" width="3.28515625" style="153" customWidth="1"/>
    <col min="1044" max="1044" width="2.42578125" style="153" customWidth="1"/>
    <col min="1045" max="1045" width="3.28515625" style="153" customWidth="1"/>
    <col min="1046" max="1046" width="16.5703125" style="153" customWidth="1"/>
    <col min="1047" max="1047" width="5.85546875" style="153" customWidth="1"/>
    <col min="1048" max="1049" width="0" style="153" hidden="1" customWidth="1"/>
    <col min="1050" max="1050" width="1.85546875" style="153" customWidth="1"/>
    <col min="1051" max="1051" width="0.42578125" style="153" customWidth="1"/>
    <col min="1052" max="1058" width="0" style="153" hidden="1" customWidth="1"/>
    <col min="1059" max="1059" width="9.140625" style="153"/>
    <col min="1060" max="1060" width="10.7109375" style="153" customWidth="1"/>
    <col min="1061" max="1063" width="0" style="153" hidden="1" customWidth="1"/>
    <col min="1064" max="1280" width="9.140625" style="153"/>
    <col min="1281" max="1286" width="3.28515625" style="153" customWidth="1"/>
    <col min="1287" max="1287" width="5.140625" style="153" customWidth="1"/>
    <col min="1288" max="1291" width="3.28515625" style="153" customWidth="1"/>
    <col min="1292" max="1292" width="4.28515625" style="153" customWidth="1"/>
    <col min="1293" max="1294" width="3.28515625" style="153" customWidth="1"/>
    <col min="1295" max="1295" width="4.42578125" style="153" customWidth="1"/>
    <col min="1296" max="1299" width="3.28515625" style="153" customWidth="1"/>
    <col min="1300" max="1300" width="2.42578125" style="153" customWidth="1"/>
    <col min="1301" max="1301" width="3.28515625" style="153" customWidth="1"/>
    <col min="1302" max="1302" width="16.5703125" style="153" customWidth="1"/>
    <col min="1303" max="1303" width="5.85546875" style="153" customWidth="1"/>
    <col min="1304" max="1305" width="0" style="153" hidden="1" customWidth="1"/>
    <col min="1306" max="1306" width="1.85546875" style="153" customWidth="1"/>
    <col min="1307" max="1307" width="0.42578125" style="153" customWidth="1"/>
    <col min="1308" max="1314" width="0" style="153" hidden="1" customWidth="1"/>
    <col min="1315" max="1315" width="9.140625" style="153"/>
    <col min="1316" max="1316" width="10.7109375" style="153" customWidth="1"/>
    <col min="1317" max="1319" width="0" style="153" hidden="1" customWidth="1"/>
    <col min="1320" max="1536" width="9.140625" style="153"/>
    <col min="1537" max="1542" width="3.28515625" style="153" customWidth="1"/>
    <col min="1543" max="1543" width="5.140625" style="153" customWidth="1"/>
    <col min="1544" max="1547" width="3.28515625" style="153" customWidth="1"/>
    <col min="1548" max="1548" width="4.28515625" style="153" customWidth="1"/>
    <col min="1549" max="1550" width="3.28515625" style="153" customWidth="1"/>
    <col min="1551" max="1551" width="4.42578125" style="153" customWidth="1"/>
    <col min="1552" max="1555" width="3.28515625" style="153" customWidth="1"/>
    <col min="1556" max="1556" width="2.42578125" style="153" customWidth="1"/>
    <col min="1557" max="1557" width="3.28515625" style="153" customWidth="1"/>
    <col min="1558" max="1558" width="16.5703125" style="153" customWidth="1"/>
    <col min="1559" max="1559" width="5.85546875" style="153" customWidth="1"/>
    <col min="1560" max="1561" width="0" style="153" hidden="1" customWidth="1"/>
    <col min="1562" max="1562" width="1.85546875" style="153" customWidth="1"/>
    <col min="1563" max="1563" width="0.42578125" style="153" customWidth="1"/>
    <col min="1564" max="1570" width="0" style="153" hidden="1" customWidth="1"/>
    <col min="1571" max="1571" width="9.140625" style="153"/>
    <col min="1572" max="1572" width="10.7109375" style="153" customWidth="1"/>
    <col min="1573" max="1575" width="0" style="153" hidden="1" customWidth="1"/>
    <col min="1576" max="1792" width="9.140625" style="153"/>
    <col min="1793" max="1798" width="3.28515625" style="153" customWidth="1"/>
    <col min="1799" max="1799" width="5.140625" style="153" customWidth="1"/>
    <col min="1800" max="1803" width="3.28515625" style="153" customWidth="1"/>
    <col min="1804" max="1804" width="4.28515625" style="153" customWidth="1"/>
    <col min="1805" max="1806" width="3.28515625" style="153" customWidth="1"/>
    <col min="1807" max="1807" width="4.42578125" style="153" customWidth="1"/>
    <col min="1808" max="1811" width="3.28515625" style="153" customWidth="1"/>
    <col min="1812" max="1812" width="2.42578125" style="153" customWidth="1"/>
    <col min="1813" max="1813" width="3.28515625" style="153" customWidth="1"/>
    <col min="1814" max="1814" width="16.5703125" style="153" customWidth="1"/>
    <col min="1815" max="1815" width="5.85546875" style="153" customWidth="1"/>
    <col min="1816" max="1817" width="0" style="153" hidden="1" customWidth="1"/>
    <col min="1818" max="1818" width="1.85546875" style="153" customWidth="1"/>
    <col min="1819" max="1819" width="0.42578125" style="153" customWidth="1"/>
    <col min="1820" max="1826" width="0" style="153" hidden="1" customWidth="1"/>
    <col min="1827" max="1827" width="9.140625" style="153"/>
    <col min="1828" max="1828" width="10.7109375" style="153" customWidth="1"/>
    <col min="1829" max="1831" width="0" style="153" hidden="1" customWidth="1"/>
    <col min="1832" max="2048" width="9.140625" style="153"/>
    <col min="2049" max="2054" width="3.28515625" style="153" customWidth="1"/>
    <col min="2055" max="2055" width="5.140625" style="153" customWidth="1"/>
    <col min="2056" max="2059" width="3.28515625" style="153" customWidth="1"/>
    <col min="2060" max="2060" width="4.28515625" style="153" customWidth="1"/>
    <col min="2061" max="2062" width="3.28515625" style="153" customWidth="1"/>
    <col min="2063" max="2063" width="4.42578125" style="153" customWidth="1"/>
    <col min="2064" max="2067" width="3.28515625" style="153" customWidth="1"/>
    <col min="2068" max="2068" width="2.42578125" style="153" customWidth="1"/>
    <col min="2069" max="2069" width="3.28515625" style="153" customWidth="1"/>
    <col min="2070" max="2070" width="16.5703125" style="153" customWidth="1"/>
    <col min="2071" max="2071" width="5.85546875" style="153" customWidth="1"/>
    <col min="2072" max="2073" width="0" style="153" hidden="1" customWidth="1"/>
    <col min="2074" max="2074" width="1.85546875" style="153" customWidth="1"/>
    <col min="2075" max="2075" width="0.42578125" style="153" customWidth="1"/>
    <col min="2076" max="2082" width="0" style="153" hidden="1" customWidth="1"/>
    <col min="2083" max="2083" width="9.140625" style="153"/>
    <col min="2084" max="2084" width="10.7109375" style="153" customWidth="1"/>
    <col min="2085" max="2087" width="0" style="153" hidden="1" customWidth="1"/>
    <col min="2088" max="2304" width="9.140625" style="153"/>
    <col min="2305" max="2310" width="3.28515625" style="153" customWidth="1"/>
    <col min="2311" max="2311" width="5.140625" style="153" customWidth="1"/>
    <col min="2312" max="2315" width="3.28515625" style="153" customWidth="1"/>
    <col min="2316" max="2316" width="4.28515625" style="153" customWidth="1"/>
    <col min="2317" max="2318" width="3.28515625" style="153" customWidth="1"/>
    <col min="2319" max="2319" width="4.42578125" style="153" customWidth="1"/>
    <col min="2320" max="2323" width="3.28515625" style="153" customWidth="1"/>
    <col min="2324" max="2324" width="2.42578125" style="153" customWidth="1"/>
    <col min="2325" max="2325" width="3.28515625" style="153" customWidth="1"/>
    <col min="2326" max="2326" width="16.5703125" style="153" customWidth="1"/>
    <col min="2327" max="2327" width="5.85546875" style="153" customWidth="1"/>
    <col min="2328" max="2329" width="0" style="153" hidden="1" customWidth="1"/>
    <col min="2330" max="2330" width="1.85546875" style="153" customWidth="1"/>
    <col min="2331" max="2331" width="0.42578125" style="153" customWidth="1"/>
    <col min="2332" max="2338" width="0" style="153" hidden="1" customWidth="1"/>
    <col min="2339" max="2339" width="9.140625" style="153"/>
    <col min="2340" max="2340" width="10.7109375" style="153" customWidth="1"/>
    <col min="2341" max="2343" width="0" style="153" hidden="1" customWidth="1"/>
    <col min="2344" max="2560" width="9.140625" style="153"/>
    <col min="2561" max="2566" width="3.28515625" style="153" customWidth="1"/>
    <col min="2567" max="2567" width="5.140625" style="153" customWidth="1"/>
    <col min="2568" max="2571" width="3.28515625" style="153" customWidth="1"/>
    <col min="2572" max="2572" width="4.28515625" style="153" customWidth="1"/>
    <col min="2573" max="2574" width="3.28515625" style="153" customWidth="1"/>
    <col min="2575" max="2575" width="4.42578125" style="153" customWidth="1"/>
    <col min="2576" max="2579" width="3.28515625" style="153" customWidth="1"/>
    <col min="2580" max="2580" width="2.42578125" style="153" customWidth="1"/>
    <col min="2581" max="2581" width="3.28515625" style="153" customWidth="1"/>
    <col min="2582" max="2582" width="16.5703125" style="153" customWidth="1"/>
    <col min="2583" max="2583" width="5.85546875" style="153" customWidth="1"/>
    <col min="2584" max="2585" width="0" style="153" hidden="1" customWidth="1"/>
    <col min="2586" max="2586" width="1.85546875" style="153" customWidth="1"/>
    <col min="2587" max="2587" width="0.42578125" style="153" customWidth="1"/>
    <col min="2588" max="2594" width="0" style="153" hidden="1" customWidth="1"/>
    <col min="2595" max="2595" width="9.140625" style="153"/>
    <col min="2596" max="2596" width="10.7109375" style="153" customWidth="1"/>
    <col min="2597" max="2599" width="0" style="153" hidden="1" customWidth="1"/>
    <col min="2600" max="2816" width="9.140625" style="153"/>
    <col min="2817" max="2822" width="3.28515625" style="153" customWidth="1"/>
    <col min="2823" max="2823" width="5.140625" style="153" customWidth="1"/>
    <col min="2824" max="2827" width="3.28515625" style="153" customWidth="1"/>
    <col min="2828" max="2828" width="4.28515625" style="153" customWidth="1"/>
    <col min="2829" max="2830" width="3.28515625" style="153" customWidth="1"/>
    <col min="2831" max="2831" width="4.42578125" style="153" customWidth="1"/>
    <col min="2832" max="2835" width="3.28515625" style="153" customWidth="1"/>
    <col min="2836" max="2836" width="2.42578125" style="153" customWidth="1"/>
    <col min="2837" max="2837" width="3.28515625" style="153" customWidth="1"/>
    <col min="2838" max="2838" width="16.5703125" style="153" customWidth="1"/>
    <col min="2839" max="2839" width="5.85546875" style="153" customWidth="1"/>
    <col min="2840" max="2841" width="0" style="153" hidden="1" customWidth="1"/>
    <col min="2842" max="2842" width="1.85546875" style="153" customWidth="1"/>
    <col min="2843" max="2843" width="0.42578125" style="153" customWidth="1"/>
    <col min="2844" max="2850" width="0" style="153" hidden="1" customWidth="1"/>
    <col min="2851" max="2851" width="9.140625" style="153"/>
    <col min="2852" max="2852" width="10.7109375" style="153" customWidth="1"/>
    <col min="2853" max="2855" width="0" style="153" hidden="1" customWidth="1"/>
    <col min="2856" max="3072" width="9.140625" style="153"/>
    <col min="3073" max="3078" width="3.28515625" style="153" customWidth="1"/>
    <col min="3079" max="3079" width="5.140625" style="153" customWidth="1"/>
    <col min="3080" max="3083" width="3.28515625" style="153" customWidth="1"/>
    <col min="3084" max="3084" width="4.28515625" style="153" customWidth="1"/>
    <col min="3085" max="3086" width="3.28515625" style="153" customWidth="1"/>
    <col min="3087" max="3087" width="4.42578125" style="153" customWidth="1"/>
    <col min="3088" max="3091" width="3.28515625" style="153" customWidth="1"/>
    <col min="3092" max="3092" width="2.42578125" style="153" customWidth="1"/>
    <col min="3093" max="3093" width="3.28515625" style="153" customWidth="1"/>
    <col min="3094" max="3094" width="16.5703125" style="153" customWidth="1"/>
    <col min="3095" max="3095" width="5.85546875" style="153" customWidth="1"/>
    <col min="3096" max="3097" width="0" style="153" hidden="1" customWidth="1"/>
    <col min="3098" max="3098" width="1.85546875" style="153" customWidth="1"/>
    <col min="3099" max="3099" width="0.42578125" style="153" customWidth="1"/>
    <col min="3100" max="3106" width="0" style="153" hidden="1" customWidth="1"/>
    <col min="3107" max="3107" width="9.140625" style="153"/>
    <col min="3108" max="3108" width="10.7109375" style="153" customWidth="1"/>
    <col min="3109" max="3111" width="0" style="153" hidden="1" customWidth="1"/>
    <col min="3112" max="3328" width="9.140625" style="153"/>
    <col min="3329" max="3334" width="3.28515625" style="153" customWidth="1"/>
    <col min="3335" max="3335" width="5.140625" style="153" customWidth="1"/>
    <col min="3336" max="3339" width="3.28515625" style="153" customWidth="1"/>
    <col min="3340" max="3340" width="4.28515625" style="153" customWidth="1"/>
    <col min="3341" max="3342" width="3.28515625" style="153" customWidth="1"/>
    <col min="3343" max="3343" width="4.42578125" style="153" customWidth="1"/>
    <col min="3344" max="3347" width="3.28515625" style="153" customWidth="1"/>
    <col min="3348" max="3348" width="2.42578125" style="153" customWidth="1"/>
    <col min="3349" max="3349" width="3.28515625" style="153" customWidth="1"/>
    <col min="3350" max="3350" width="16.5703125" style="153" customWidth="1"/>
    <col min="3351" max="3351" width="5.85546875" style="153" customWidth="1"/>
    <col min="3352" max="3353" width="0" style="153" hidden="1" customWidth="1"/>
    <col min="3354" max="3354" width="1.85546875" style="153" customWidth="1"/>
    <col min="3355" max="3355" width="0.42578125" style="153" customWidth="1"/>
    <col min="3356" max="3362" width="0" style="153" hidden="1" customWidth="1"/>
    <col min="3363" max="3363" width="9.140625" style="153"/>
    <col min="3364" max="3364" width="10.7109375" style="153" customWidth="1"/>
    <col min="3365" max="3367" width="0" style="153" hidden="1" customWidth="1"/>
    <col min="3368" max="3584" width="9.140625" style="153"/>
    <col min="3585" max="3590" width="3.28515625" style="153" customWidth="1"/>
    <col min="3591" max="3591" width="5.140625" style="153" customWidth="1"/>
    <col min="3592" max="3595" width="3.28515625" style="153" customWidth="1"/>
    <col min="3596" max="3596" width="4.28515625" style="153" customWidth="1"/>
    <col min="3597" max="3598" width="3.28515625" style="153" customWidth="1"/>
    <col min="3599" max="3599" width="4.42578125" style="153" customWidth="1"/>
    <col min="3600" max="3603" width="3.28515625" style="153" customWidth="1"/>
    <col min="3604" max="3604" width="2.42578125" style="153" customWidth="1"/>
    <col min="3605" max="3605" width="3.28515625" style="153" customWidth="1"/>
    <col min="3606" max="3606" width="16.5703125" style="153" customWidth="1"/>
    <col min="3607" max="3607" width="5.85546875" style="153" customWidth="1"/>
    <col min="3608" max="3609" width="0" style="153" hidden="1" customWidth="1"/>
    <col min="3610" max="3610" width="1.85546875" style="153" customWidth="1"/>
    <col min="3611" max="3611" width="0.42578125" style="153" customWidth="1"/>
    <col min="3612" max="3618" width="0" style="153" hidden="1" customWidth="1"/>
    <col min="3619" max="3619" width="9.140625" style="153"/>
    <col min="3620" max="3620" width="10.7109375" style="153" customWidth="1"/>
    <col min="3621" max="3623" width="0" style="153" hidden="1" customWidth="1"/>
    <col min="3624" max="3840" width="9.140625" style="153"/>
    <col min="3841" max="3846" width="3.28515625" style="153" customWidth="1"/>
    <col min="3847" max="3847" width="5.140625" style="153" customWidth="1"/>
    <col min="3848" max="3851" width="3.28515625" style="153" customWidth="1"/>
    <col min="3852" max="3852" width="4.28515625" style="153" customWidth="1"/>
    <col min="3853" max="3854" width="3.28515625" style="153" customWidth="1"/>
    <col min="3855" max="3855" width="4.42578125" style="153" customWidth="1"/>
    <col min="3856" max="3859" width="3.28515625" style="153" customWidth="1"/>
    <col min="3860" max="3860" width="2.42578125" style="153" customWidth="1"/>
    <col min="3861" max="3861" width="3.28515625" style="153" customWidth="1"/>
    <col min="3862" max="3862" width="16.5703125" style="153" customWidth="1"/>
    <col min="3863" max="3863" width="5.85546875" style="153" customWidth="1"/>
    <col min="3864" max="3865" width="0" style="153" hidden="1" customWidth="1"/>
    <col min="3866" max="3866" width="1.85546875" style="153" customWidth="1"/>
    <col min="3867" max="3867" width="0.42578125" style="153" customWidth="1"/>
    <col min="3868" max="3874" width="0" style="153" hidden="1" customWidth="1"/>
    <col min="3875" max="3875" width="9.140625" style="153"/>
    <col min="3876" max="3876" width="10.7109375" style="153" customWidth="1"/>
    <col min="3877" max="3879" width="0" style="153" hidden="1" customWidth="1"/>
    <col min="3880" max="4096" width="9.140625" style="153"/>
    <col min="4097" max="4102" width="3.28515625" style="153" customWidth="1"/>
    <col min="4103" max="4103" width="5.140625" style="153" customWidth="1"/>
    <col min="4104" max="4107" width="3.28515625" style="153" customWidth="1"/>
    <col min="4108" max="4108" width="4.28515625" style="153" customWidth="1"/>
    <col min="4109" max="4110" width="3.28515625" style="153" customWidth="1"/>
    <col min="4111" max="4111" width="4.42578125" style="153" customWidth="1"/>
    <col min="4112" max="4115" width="3.28515625" style="153" customWidth="1"/>
    <col min="4116" max="4116" width="2.42578125" style="153" customWidth="1"/>
    <col min="4117" max="4117" width="3.28515625" style="153" customWidth="1"/>
    <col min="4118" max="4118" width="16.5703125" style="153" customWidth="1"/>
    <col min="4119" max="4119" width="5.85546875" style="153" customWidth="1"/>
    <col min="4120" max="4121" width="0" style="153" hidden="1" customWidth="1"/>
    <col min="4122" max="4122" width="1.85546875" style="153" customWidth="1"/>
    <col min="4123" max="4123" width="0.42578125" style="153" customWidth="1"/>
    <col min="4124" max="4130" width="0" style="153" hidden="1" customWidth="1"/>
    <col min="4131" max="4131" width="9.140625" style="153"/>
    <col min="4132" max="4132" width="10.7109375" style="153" customWidth="1"/>
    <col min="4133" max="4135" width="0" style="153" hidden="1" customWidth="1"/>
    <col min="4136" max="4352" width="9.140625" style="153"/>
    <col min="4353" max="4358" width="3.28515625" style="153" customWidth="1"/>
    <col min="4359" max="4359" width="5.140625" style="153" customWidth="1"/>
    <col min="4360" max="4363" width="3.28515625" style="153" customWidth="1"/>
    <col min="4364" max="4364" width="4.28515625" style="153" customWidth="1"/>
    <col min="4365" max="4366" width="3.28515625" style="153" customWidth="1"/>
    <col min="4367" max="4367" width="4.42578125" style="153" customWidth="1"/>
    <col min="4368" max="4371" width="3.28515625" style="153" customWidth="1"/>
    <col min="4372" max="4372" width="2.42578125" style="153" customWidth="1"/>
    <col min="4373" max="4373" width="3.28515625" style="153" customWidth="1"/>
    <col min="4374" max="4374" width="16.5703125" style="153" customWidth="1"/>
    <col min="4375" max="4375" width="5.85546875" style="153" customWidth="1"/>
    <col min="4376" max="4377" width="0" style="153" hidden="1" customWidth="1"/>
    <col min="4378" max="4378" width="1.85546875" style="153" customWidth="1"/>
    <col min="4379" max="4379" width="0.42578125" style="153" customWidth="1"/>
    <col min="4380" max="4386" width="0" style="153" hidden="1" customWidth="1"/>
    <col min="4387" max="4387" width="9.140625" style="153"/>
    <col min="4388" max="4388" width="10.7109375" style="153" customWidth="1"/>
    <col min="4389" max="4391" width="0" style="153" hidden="1" customWidth="1"/>
    <col min="4392" max="4608" width="9.140625" style="153"/>
    <col min="4609" max="4614" width="3.28515625" style="153" customWidth="1"/>
    <col min="4615" max="4615" width="5.140625" style="153" customWidth="1"/>
    <col min="4616" max="4619" width="3.28515625" style="153" customWidth="1"/>
    <col min="4620" max="4620" width="4.28515625" style="153" customWidth="1"/>
    <col min="4621" max="4622" width="3.28515625" style="153" customWidth="1"/>
    <col min="4623" max="4623" width="4.42578125" style="153" customWidth="1"/>
    <col min="4624" max="4627" width="3.28515625" style="153" customWidth="1"/>
    <col min="4628" max="4628" width="2.42578125" style="153" customWidth="1"/>
    <col min="4629" max="4629" width="3.28515625" style="153" customWidth="1"/>
    <col min="4630" max="4630" width="16.5703125" style="153" customWidth="1"/>
    <col min="4631" max="4631" width="5.85546875" style="153" customWidth="1"/>
    <col min="4632" max="4633" width="0" style="153" hidden="1" customWidth="1"/>
    <col min="4634" max="4634" width="1.85546875" style="153" customWidth="1"/>
    <col min="4635" max="4635" width="0.42578125" style="153" customWidth="1"/>
    <col min="4636" max="4642" width="0" style="153" hidden="1" customWidth="1"/>
    <col min="4643" max="4643" width="9.140625" style="153"/>
    <col min="4644" max="4644" width="10.7109375" style="153" customWidth="1"/>
    <col min="4645" max="4647" width="0" style="153" hidden="1" customWidth="1"/>
    <col min="4648" max="4864" width="9.140625" style="153"/>
    <col min="4865" max="4870" width="3.28515625" style="153" customWidth="1"/>
    <col min="4871" max="4871" width="5.140625" style="153" customWidth="1"/>
    <col min="4872" max="4875" width="3.28515625" style="153" customWidth="1"/>
    <col min="4876" max="4876" width="4.28515625" style="153" customWidth="1"/>
    <col min="4877" max="4878" width="3.28515625" style="153" customWidth="1"/>
    <col min="4879" max="4879" width="4.42578125" style="153" customWidth="1"/>
    <col min="4880" max="4883" width="3.28515625" style="153" customWidth="1"/>
    <col min="4884" max="4884" width="2.42578125" style="153" customWidth="1"/>
    <col min="4885" max="4885" width="3.28515625" style="153" customWidth="1"/>
    <col min="4886" max="4886" width="16.5703125" style="153" customWidth="1"/>
    <col min="4887" max="4887" width="5.85546875" style="153" customWidth="1"/>
    <col min="4888" max="4889" width="0" style="153" hidden="1" customWidth="1"/>
    <col min="4890" max="4890" width="1.85546875" style="153" customWidth="1"/>
    <col min="4891" max="4891" width="0.42578125" style="153" customWidth="1"/>
    <col min="4892" max="4898" width="0" style="153" hidden="1" customWidth="1"/>
    <col min="4899" max="4899" width="9.140625" style="153"/>
    <col min="4900" max="4900" width="10.7109375" style="153" customWidth="1"/>
    <col min="4901" max="4903" width="0" style="153" hidden="1" customWidth="1"/>
    <col min="4904" max="5120" width="9.140625" style="153"/>
    <col min="5121" max="5126" width="3.28515625" style="153" customWidth="1"/>
    <col min="5127" max="5127" width="5.140625" style="153" customWidth="1"/>
    <col min="5128" max="5131" width="3.28515625" style="153" customWidth="1"/>
    <col min="5132" max="5132" width="4.28515625" style="153" customWidth="1"/>
    <col min="5133" max="5134" width="3.28515625" style="153" customWidth="1"/>
    <col min="5135" max="5135" width="4.42578125" style="153" customWidth="1"/>
    <col min="5136" max="5139" width="3.28515625" style="153" customWidth="1"/>
    <col min="5140" max="5140" width="2.42578125" style="153" customWidth="1"/>
    <col min="5141" max="5141" width="3.28515625" style="153" customWidth="1"/>
    <col min="5142" max="5142" width="16.5703125" style="153" customWidth="1"/>
    <col min="5143" max="5143" width="5.85546875" style="153" customWidth="1"/>
    <col min="5144" max="5145" width="0" style="153" hidden="1" customWidth="1"/>
    <col min="5146" max="5146" width="1.85546875" style="153" customWidth="1"/>
    <col min="5147" max="5147" width="0.42578125" style="153" customWidth="1"/>
    <col min="5148" max="5154" width="0" style="153" hidden="1" customWidth="1"/>
    <col min="5155" max="5155" width="9.140625" style="153"/>
    <col min="5156" max="5156" width="10.7109375" style="153" customWidth="1"/>
    <col min="5157" max="5159" width="0" style="153" hidden="1" customWidth="1"/>
    <col min="5160" max="5376" width="9.140625" style="153"/>
    <col min="5377" max="5382" width="3.28515625" style="153" customWidth="1"/>
    <col min="5383" max="5383" width="5.140625" style="153" customWidth="1"/>
    <col min="5384" max="5387" width="3.28515625" style="153" customWidth="1"/>
    <col min="5388" max="5388" width="4.28515625" style="153" customWidth="1"/>
    <col min="5389" max="5390" width="3.28515625" style="153" customWidth="1"/>
    <col min="5391" max="5391" width="4.42578125" style="153" customWidth="1"/>
    <col min="5392" max="5395" width="3.28515625" style="153" customWidth="1"/>
    <col min="5396" max="5396" width="2.42578125" style="153" customWidth="1"/>
    <col min="5397" max="5397" width="3.28515625" style="153" customWidth="1"/>
    <col min="5398" max="5398" width="16.5703125" style="153" customWidth="1"/>
    <col min="5399" max="5399" width="5.85546875" style="153" customWidth="1"/>
    <col min="5400" max="5401" width="0" style="153" hidden="1" customWidth="1"/>
    <col min="5402" max="5402" width="1.85546875" style="153" customWidth="1"/>
    <col min="5403" max="5403" width="0.42578125" style="153" customWidth="1"/>
    <col min="5404" max="5410" width="0" style="153" hidden="1" customWidth="1"/>
    <col min="5411" max="5411" width="9.140625" style="153"/>
    <col min="5412" max="5412" width="10.7109375" style="153" customWidth="1"/>
    <col min="5413" max="5415" width="0" style="153" hidden="1" customWidth="1"/>
    <col min="5416" max="5632" width="9.140625" style="153"/>
    <col min="5633" max="5638" width="3.28515625" style="153" customWidth="1"/>
    <col min="5639" max="5639" width="5.140625" style="153" customWidth="1"/>
    <col min="5640" max="5643" width="3.28515625" style="153" customWidth="1"/>
    <col min="5644" max="5644" width="4.28515625" style="153" customWidth="1"/>
    <col min="5645" max="5646" width="3.28515625" style="153" customWidth="1"/>
    <col min="5647" max="5647" width="4.42578125" style="153" customWidth="1"/>
    <col min="5648" max="5651" width="3.28515625" style="153" customWidth="1"/>
    <col min="5652" max="5652" width="2.42578125" style="153" customWidth="1"/>
    <col min="5653" max="5653" width="3.28515625" style="153" customWidth="1"/>
    <col min="5654" max="5654" width="16.5703125" style="153" customWidth="1"/>
    <col min="5655" max="5655" width="5.85546875" style="153" customWidth="1"/>
    <col min="5656" max="5657" width="0" style="153" hidden="1" customWidth="1"/>
    <col min="5658" max="5658" width="1.85546875" style="153" customWidth="1"/>
    <col min="5659" max="5659" width="0.42578125" style="153" customWidth="1"/>
    <col min="5660" max="5666" width="0" style="153" hidden="1" customWidth="1"/>
    <col min="5667" max="5667" width="9.140625" style="153"/>
    <col min="5668" max="5668" width="10.7109375" style="153" customWidth="1"/>
    <col min="5669" max="5671" width="0" style="153" hidden="1" customWidth="1"/>
    <col min="5672" max="5888" width="9.140625" style="153"/>
    <col min="5889" max="5894" width="3.28515625" style="153" customWidth="1"/>
    <col min="5895" max="5895" width="5.140625" style="153" customWidth="1"/>
    <col min="5896" max="5899" width="3.28515625" style="153" customWidth="1"/>
    <col min="5900" max="5900" width="4.28515625" style="153" customWidth="1"/>
    <col min="5901" max="5902" width="3.28515625" style="153" customWidth="1"/>
    <col min="5903" max="5903" width="4.42578125" style="153" customWidth="1"/>
    <col min="5904" max="5907" width="3.28515625" style="153" customWidth="1"/>
    <col min="5908" max="5908" width="2.42578125" style="153" customWidth="1"/>
    <col min="5909" max="5909" width="3.28515625" style="153" customWidth="1"/>
    <col min="5910" max="5910" width="16.5703125" style="153" customWidth="1"/>
    <col min="5911" max="5911" width="5.85546875" style="153" customWidth="1"/>
    <col min="5912" max="5913" width="0" style="153" hidden="1" customWidth="1"/>
    <col min="5914" max="5914" width="1.85546875" style="153" customWidth="1"/>
    <col min="5915" max="5915" width="0.42578125" style="153" customWidth="1"/>
    <col min="5916" max="5922" width="0" style="153" hidden="1" customWidth="1"/>
    <col min="5923" max="5923" width="9.140625" style="153"/>
    <col min="5924" max="5924" width="10.7109375" style="153" customWidth="1"/>
    <col min="5925" max="5927" width="0" style="153" hidden="1" customWidth="1"/>
    <col min="5928" max="6144" width="9.140625" style="153"/>
    <col min="6145" max="6150" width="3.28515625" style="153" customWidth="1"/>
    <col min="6151" max="6151" width="5.140625" style="153" customWidth="1"/>
    <col min="6152" max="6155" width="3.28515625" style="153" customWidth="1"/>
    <col min="6156" max="6156" width="4.28515625" style="153" customWidth="1"/>
    <col min="6157" max="6158" width="3.28515625" style="153" customWidth="1"/>
    <col min="6159" max="6159" width="4.42578125" style="153" customWidth="1"/>
    <col min="6160" max="6163" width="3.28515625" style="153" customWidth="1"/>
    <col min="6164" max="6164" width="2.42578125" style="153" customWidth="1"/>
    <col min="6165" max="6165" width="3.28515625" style="153" customWidth="1"/>
    <col min="6166" max="6166" width="16.5703125" style="153" customWidth="1"/>
    <col min="6167" max="6167" width="5.85546875" style="153" customWidth="1"/>
    <col min="6168" max="6169" width="0" style="153" hidden="1" customWidth="1"/>
    <col min="6170" max="6170" width="1.85546875" style="153" customWidth="1"/>
    <col min="6171" max="6171" width="0.42578125" style="153" customWidth="1"/>
    <col min="6172" max="6178" width="0" style="153" hidden="1" customWidth="1"/>
    <col min="6179" max="6179" width="9.140625" style="153"/>
    <col min="6180" max="6180" width="10.7109375" style="153" customWidth="1"/>
    <col min="6181" max="6183" width="0" style="153" hidden="1" customWidth="1"/>
    <col min="6184" max="6400" width="9.140625" style="153"/>
    <col min="6401" max="6406" width="3.28515625" style="153" customWidth="1"/>
    <col min="6407" max="6407" width="5.140625" style="153" customWidth="1"/>
    <col min="6408" max="6411" width="3.28515625" style="153" customWidth="1"/>
    <col min="6412" max="6412" width="4.28515625" style="153" customWidth="1"/>
    <col min="6413" max="6414" width="3.28515625" style="153" customWidth="1"/>
    <col min="6415" max="6415" width="4.42578125" style="153" customWidth="1"/>
    <col min="6416" max="6419" width="3.28515625" style="153" customWidth="1"/>
    <col min="6420" max="6420" width="2.42578125" style="153" customWidth="1"/>
    <col min="6421" max="6421" width="3.28515625" style="153" customWidth="1"/>
    <col min="6422" max="6422" width="16.5703125" style="153" customWidth="1"/>
    <col min="6423" max="6423" width="5.85546875" style="153" customWidth="1"/>
    <col min="6424" max="6425" width="0" style="153" hidden="1" customWidth="1"/>
    <col min="6426" max="6426" width="1.85546875" style="153" customWidth="1"/>
    <col min="6427" max="6427" width="0.42578125" style="153" customWidth="1"/>
    <col min="6428" max="6434" width="0" style="153" hidden="1" customWidth="1"/>
    <col min="6435" max="6435" width="9.140625" style="153"/>
    <col min="6436" max="6436" width="10.7109375" style="153" customWidth="1"/>
    <col min="6437" max="6439" width="0" style="153" hidden="1" customWidth="1"/>
    <col min="6440" max="6656" width="9.140625" style="153"/>
    <col min="6657" max="6662" width="3.28515625" style="153" customWidth="1"/>
    <col min="6663" max="6663" width="5.140625" style="153" customWidth="1"/>
    <col min="6664" max="6667" width="3.28515625" style="153" customWidth="1"/>
    <col min="6668" max="6668" width="4.28515625" style="153" customWidth="1"/>
    <col min="6669" max="6670" width="3.28515625" style="153" customWidth="1"/>
    <col min="6671" max="6671" width="4.42578125" style="153" customWidth="1"/>
    <col min="6672" max="6675" width="3.28515625" style="153" customWidth="1"/>
    <col min="6676" max="6676" width="2.42578125" style="153" customWidth="1"/>
    <col min="6677" max="6677" width="3.28515625" style="153" customWidth="1"/>
    <col min="6678" max="6678" width="16.5703125" style="153" customWidth="1"/>
    <col min="6679" max="6679" width="5.85546875" style="153" customWidth="1"/>
    <col min="6680" max="6681" width="0" style="153" hidden="1" customWidth="1"/>
    <col min="6682" max="6682" width="1.85546875" style="153" customWidth="1"/>
    <col min="6683" max="6683" width="0.42578125" style="153" customWidth="1"/>
    <col min="6684" max="6690" width="0" style="153" hidden="1" customWidth="1"/>
    <col min="6691" max="6691" width="9.140625" style="153"/>
    <col min="6692" max="6692" width="10.7109375" style="153" customWidth="1"/>
    <col min="6693" max="6695" width="0" style="153" hidden="1" customWidth="1"/>
    <col min="6696" max="6912" width="9.140625" style="153"/>
    <col min="6913" max="6918" width="3.28515625" style="153" customWidth="1"/>
    <col min="6919" max="6919" width="5.140625" style="153" customWidth="1"/>
    <col min="6920" max="6923" width="3.28515625" style="153" customWidth="1"/>
    <col min="6924" max="6924" width="4.28515625" style="153" customWidth="1"/>
    <col min="6925" max="6926" width="3.28515625" style="153" customWidth="1"/>
    <col min="6927" max="6927" width="4.42578125" style="153" customWidth="1"/>
    <col min="6928" max="6931" width="3.28515625" style="153" customWidth="1"/>
    <col min="6932" max="6932" width="2.42578125" style="153" customWidth="1"/>
    <col min="6933" max="6933" width="3.28515625" style="153" customWidth="1"/>
    <col min="6934" max="6934" width="16.5703125" style="153" customWidth="1"/>
    <col min="6935" max="6935" width="5.85546875" style="153" customWidth="1"/>
    <col min="6936" max="6937" width="0" style="153" hidden="1" customWidth="1"/>
    <col min="6938" max="6938" width="1.85546875" style="153" customWidth="1"/>
    <col min="6939" max="6939" width="0.42578125" style="153" customWidth="1"/>
    <col min="6940" max="6946" width="0" style="153" hidden="1" customWidth="1"/>
    <col min="6947" max="6947" width="9.140625" style="153"/>
    <col min="6948" max="6948" width="10.7109375" style="153" customWidth="1"/>
    <col min="6949" max="6951" width="0" style="153" hidden="1" customWidth="1"/>
    <col min="6952" max="7168" width="9.140625" style="153"/>
    <col min="7169" max="7174" width="3.28515625" style="153" customWidth="1"/>
    <col min="7175" max="7175" width="5.140625" style="153" customWidth="1"/>
    <col min="7176" max="7179" width="3.28515625" style="153" customWidth="1"/>
    <col min="7180" max="7180" width="4.28515625" style="153" customWidth="1"/>
    <col min="7181" max="7182" width="3.28515625" style="153" customWidth="1"/>
    <col min="7183" max="7183" width="4.42578125" style="153" customWidth="1"/>
    <col min="7184" max="7187" width="3.28515625" style="153" customWidth="1"/>
    <col min="7188" max="7188" width="2.42578125" style="153" customWidth="1"/>
    <col min="7189" max="7189" width="3.28515625" style="153" customWidth="1"/>
    <col min="7190" max="7190" width="16.5703125" style="153" customWidth="1"/>
    <col min="7191" max="7191" width="5.85546875" style="153" customWidth="1"/>
    <col min="7192" max="7193" width="0" style="153" hidden="1" customWidth="1"/>
    <col min="7194" max="7194" width="1.85546875" style="153" customWidth="1"/>
    <col min="7195" max="7195" width="0.42578125" style="153" customWidth="1"/>
    <col min="7196" max="7202" width="0" style="153" hidden="1" customWidth="1"/>
    <col min="7203" max="7203" width="9.140625" style="153"/>
    <col min="7204" max="7204" width="10.7109375" style="153" customWidth="1"/>
    <col min="7205" max="7207" width="0" style="153" hidden="1" customWidth="1"/>
    <col min="7208" max="7424" width="9.140625" style="153"/>
    <col min="7425" max="7430" width="3.28515625" style="153" customWidth="1"/>
    <col min="7431" max="7431" width="5.140625" style="153" customWidth="1"/>
    <col min="7432" max="7435" width="3.28515625" style="153" customWidth="1"/>
    <col min="7436" max="7436" width="4.28515625" style="153" customWidth="1"/>
    <col min="7437" max="7438" width="3.28515625" style="153" customWidth="1"/>
    <col min="7439" max="7439" width="4.42578125" style="153" customWidth="1"/>
    <col min="7440" max="7443" width="3.28515625" style="153" customWidth="1"/>
    <col min="7444" max="7444" width="2.42578125" style="153" customWidth="1"/>
    <col min="7445" max="7445" width="3.28515625" style="153" customWidth="1"/>
    <col min="7446" max="7446" width="16.5703125" style="153" customWidth="1"/>
    <col min="7447" max="7447" width="5.85546875" style="153" customWidth="1"/>
    <col min="7448" max="7449" width="0" style="153" hidden="1" customWidth="1"/>
    <col min="7450" max="7450" width="1.85546875" style="153" customWidth="1"/>
    <col min="7451" max="7451" width="0.42578125" style="153" customWidth="1"/>
    <col min="7452" max="7458" width="0" style="153" hidden="1" customWidth="1"/>
    <col min="7459" max="7459" width="9.140625" style="153"/>
    <col min="7460" max="7460" width="10.7109375" style="153" customWidth="1"/>
    <col min="7461" max="7463" width="0" style="153" hidden="1" customWidth="1"/>
    <col min="7464" max="7680" width="9.140625" style="153"/>
    <col min="7681" max="7686" width="3.28515625" style="153" customWidth="1"/>
    <col min="7687" max="7687" width="5.140625" style="153" customWidth="1"/>
    <col min="7688" max="7691" width="3.28515625" style="153" customWidth="1"/>
    <col min="7692" max="7692" width="4.28515625" style="153" customWidth="1"/>
    <col min="7693" max="7694" width="3.28515625" style="153" customWidth="1"/>
    <col min="7695" max="7695" width="4.42578125" style="153" customWidth="1"/>
    <col min="7696" max="7699" width="3.28515625" style="153" customWidth="1"/>
    <col min="7700" max="7700" width="2.42578125" style="153" customWidth="1"/>
    <col min="7701" max="7701" width="3.28515625" style="153" customWidth="1"/>
    <col min="7702" max="7702" width="16.5703125" style="153" customWidth="1"/>
    <col min="7703" max="7703" width="5.85546875" style="153" customWidth="1"/>
    <col min="7704" max="7705" width="0" style="153" hidden="1" customWidth="1"/>
    <col min="7706" max="7706" width="1.85546875" style="153" customWidth="1"/>
    <col min="7707" max="7707" width="0.42578125" style="153" customWidth="1"/>
    <col min="7708" max="7714" width="0" style="153" hidden="1" customWidth="1"/>
    <col min="7715" max="7715" width="9.140625" style="153"/>
    <col min="7716" max="7716" width="10.7109375" style="153" customWidth="1"/>
    <col min="7717" max="7719" width="0" style="153" hidden="1" customWidth="1"/>
    <col min="7720" max="7936" width="9.140625" style="153"/>
    <col min="7937" max="7942" width="3.28515625" style="153" customWidth="1"/>
    <col min="7943" max="7943" width="5.140625" style="153" customWidth="1"/>
    <col min="7944" max="7947" width="3.28515625" style="153" customWidth="1"/>
    <col min="7948" max="7948" width="4.28515625" style="153" customWidth="1"/>
    <col min="7949" max="7950" width="3.28515625" style="153" customWidth="1"/>
    <col min="7951" max="7951" width="4.42578125" style="153" customWidth="1"/>
    <col min="7952" max="7955" width="3.28515625" style="153" customWidth="1"/>
    <col min="7956" max="7956" width="2.42578125" style="153" customWidth="1"/>
    <col min="7957" max="7957" width="3.28515625" style="153" customWidth="1"/>
    <col min="7958" max="7958" width="16.5703125" style="153" customWidth="1"/>
    <col min="7959" max="7959" width="5.85546875" style="153" customWidth="1"/>
    <col min="7960" max="7961" width="0" style="153" hidden="1" customWidth="1"/>
    <col min="7962" max="7962" width="1.85546875" style="153" customWidth="1"/>
    <col min="7963" max="7963" width="0.42578125" style="153" customWidth="1"/>
    <col min="7964" max="7970" width="0" style="153" hidden="1" customWidth="1"/>
    <col min="7971" max="7971" width="9.140625" style="153"/>
    <col min="7972" max="7972" width="10.7109375" style="153" customWidth="1"/>
    <col min="7973" max="7975" width="0" style="153" hidden="1" customWidth="1"/>
    <col min="7976" max="8192" width="9.140625" style="153"/>
    <col min="8193" max="8198" width="3.28515625" style="153" customWidth="1"/>
    <col min="8199" max="8199" width="5.140625" style="153" customWidth="1"/>
    <col min="8200" max="8203" width="3.28515625" style="153" customWidth="1"/>
    <col min="8204" max="8204" width="4.28515625" style="153" customWidth="1"/>
    <col min="8205" max="8206" width="3.28515625" style="153" customWidth="1"/>
    <col min="8207" max="8207" width="4.42578125" style="153" customWidth="1"/>
    <col min="8208" max="8211" width="3.28515625" style="153" customWidth="1"/>
    <col min="8212" max="8212" width="2.42578125" style="153" customWidth="1"/>
    <col min="8213" max="8213" width="3.28515625" style="153" customWidth="1"/>
    <col min="8214" max="8214" width="16.5703125" style="153" customWidth="1"/>
    <col min="8215" max="8215" width="5.85546875" style="153" customWidth="1"/>
    <col min="8216" max="8217" width="0" style="153" hidden="1" customWidth="1"/>
    <col min="8218" max="8218" width="1.85546875" style="153" customWidth="1"/>
    <col min="8219" max="8219" width="0.42578125" style="153" customWidth="1"/>
    <col min="8220" max="8226" width="0" style="153" hidden="1" customWidth="1"/>
    <col min="8227" max="8227" width="9.140625" style="153"/>
    <col min="8228" max="8228" width="10.7109375" style="153" customWidth="1"/>
    <col min="8229" max="8231" width="0" style="153" hidden="1" customWidth="1"/>
    <col min="8232" max="8448" width="9.140625" style="153"/>
    <col min="8449" max="8454" width="3.28515625" style="153" customWidth="1"/>
    <col min="8455" max="8455" width="5.140625" style="153" customWidth="1"/>
    <col min="8456" max="8459" width="3.28515625" style="153" customWidth="1"/>
    <col min="8460" max="8460" width="4.28515625" style="153" customWidth="1"/>
    <col min="8461" max="8462" width="3.28515625" style="153" customWidth="1"/>
    <col min="8463" max="8463" width="4.42578125" style="153" customWidth="1"/>
    <col min="8464" max="8467" width="3.28515625" style="153" customWidth="1"/>
    <col min="8468" max="8468" width="2.42578125" style="153" customWidth="1"/>
    <col min="8469" max="8469" width="3.28515625" style="153" customWidth="1"/>
    <col min="8470" max="8470" width="16.5703125" style="153" customWidth="1"/>
    <col min="8471" max="8471" width="5.85546875" style="153" customWidth="1"/>
    <col min="8472" max="8473" width="0" style="153" hidden="1" customWidth="1"/>
    <col min="8474" max="8474" width="1.85546875" style="153" customWidth="1"/>
    <col min="8475" max="8475" width="0.42578125" style="153" customWidth="1"/>
    <col min="8476" max="8482" width="0" style="153" hidden="1" customWidth="1"/>
    <col min="8483" max="8483" width="9.140625" style="153"/>
    <col min="8484" max="8484" width="10.7109375" style="153" customWidth="1"/>
    <col min="8485" max="8487" width="0" style="153" hidden="1" customWidth="1"/>
    <col min="8488" max="8704" width="9.140625" style="153"/>
    <col min="8705" max="8710" width="3.28515625" style="153" customWidth="1"/>
    <col min="8711" max="8711" width="5.140625" style="153" customWidth="1"/>
    <col min="8712" max="8715" width="3.28515625" style="153" customWidth="1"/>
    <col min="8716" max="8716" width="4.28515625" style="153" customWidth="1"/>
    <col min="8717" max="8718" width="3.28515625" style="153" customWidth="1"/>
    <col min="8719" max="8719" width="4.42578125" style="153" customWidth="1"/>
    <col min="8720" max="8723" width="3.28515625" style="153" customWidth="1"/>
    <col min="8724" max="8724" width="2.42578125" style="153" customWidth="1"/>
    <col min="8725" max="8725" width="3.28515625" style="153" customWidth="1"/>
    <col min="8726" max="8726" width="16.5703125" style="153" customWidth="1"/>
    <col min="8727" max="8727" width="5.85546875" style="153" customWidth="1"/>
    <col min="8728" max="8729" width="0" style="153" hidden="1" customWidth="1"/>
    <col min="8730" max="8730" width="1.85546875" style="153" customWidth="1"/>
    <col min="8731" max="8731" width="0.42578125" style="153" customWidth="1"/>
    <col min="8732" max="8738" width="0" style="153" hidden="1" customWidth="1"/>
    <col min="8739" max="8739" width="9.140625" style="153"/>
    <col min="8740" max="8740" width="10.7109375" style="153" customWidth="1"/>
    <col min="8741" max="8743" width="0" style="153" hidden="1" customWidth="1"/>
    <col min="8744" max="8960" width="9.140625" style="153"/>
    <col min="8961" max="8966" width="3.28515625" style="153" customWidth="1"/>
    <col min="8967" max="8967" width="5.140625" style="153" customWidth="1"/>
    <col min="8968" max="8971" width="3.28515625" style="153" customWidth="1"/>
    <col min="8972" max="8972" width="4.28515625" style="153" customWidth="1"/>
    <col min="8973" max="8974" width="3.28515625" style="153" customWidth="1"/>
    <col min="8975" max="8975" width="4.42578125" style="153" customWidth="1"/>
    <col min="8976" max="8979" width="3.28515625" style="153" customWidth="1"/>
    <col min="8980" max="8980" width="2.42578125" style="153" customWidth="1"/>
    <col min="8981" max="8981" width="3.28515625" style="153" customWidth="1"/>
    <col min="8982" max="8982" width="16.5703125" style="153" customWidth="1"/>
    <col min="8983" max="8983" width="5.85546875" style="153" customWidth="1"/>
    <col min="8984" max="8985" width="0" style="153" hidden="1" customWidth="1"/>
    <col min="8986" max="8986" width="1.85546875" style="153" customWidth="1"/>
    <col min="8987" max="8987" width="0.42578125" style="153" customWidth="1"/>
    <col min="8988" max="8994" width="0" style="153" hidden="1" customWidth="1"/>
    <col min="8995" max="8995" width="9.140625" style="153"/>
    <col min="8996" max="8996" width="10.7109375" style="153" customWidth="1"/>
    <col min="8997" max="8999" width="0" style="153" hidden="1" customWidth="1"/>
    <col min="9000" max="9216" width="9.140625" style="153"/>
    <col min="9217" max="9222" width="3.28515625" style="153" customWidth="1"/>
    <col min="9223" max="9223" width="5.140625" style="153" customWidth="1"/>
    <col min="9224" max="9227" width="3.28515625" style="153" customWidth="1"/>
    <col min="9228" max="9228" width="4.28515625" style="153" customWidth="1"/>
    <col min="9229" max="9230" width="3.28515625" style="153" customWidth="1"/>
    <col min="9231" max="9231" width="4.42578125" style="153" customWidth="1"/>
    <col min="9232" max="9235" width="3.28515625" style="153" customWidth="1"/>
    <col min="9236" max="9236" width="2.42578125" style="153" customWidth="1"/>
    <col min="9237" max="9237" width="3.28515625" style="153" customWidth="1"/>
    <col min="9238" max="9238" width="16.5703125" style="153" customWidth="1"/>
    <col min="9239" max="9239" width="5.85546875" style="153" customWidth="1"/>
    <col min="9240" max="9241" width="0" style="153" hidden="1" customWidth="1"/>
    <col min="9242" max="9242" width="1.85546875" style="153" customWidth="1"/>
    <col min="9243" max="9243" width="0.42578125" style="153" customWidth="1"/>
    <col min="9244" max="9250" width="0" style="153" hidden="1" customWidth="1"/>
    <col min="9251" max="9251" width="9.140625" style="153"/>
    <col min="9252" max="9252" width="10.7109375" style="153" customWidth="1"/>
    <col min="9253" max="9255" width="0" style="153" hidden="1" customWidth="1"/>
    <col min="9256" max="9472" width="9.140625" style="153"/>
    <col min="9473" max="9478" width="3.28515625" style="153" customWidth="1"/>
    <col min="9479" max="9479" width="5.140625" style="153" customWidth="1"/>
    <col min="9480" max="9483" width="3.28515625" style="153" customWidth="1"/>
    <col min="9484" max="9484" width="4.28515625" style="153" customWidth="1"/>
    <col min="9485" max="9486" width="3.28515625" style="153" customWidth="1"/>
    <col min="9487" max="9487" width="4.42578125" style="153" customWidth="1"/>
    <col min="9488" max="9491" width="3.28515625" style="153" customWidth="1"/>
    <col min="9492" max="9492" width="2.42578125" style="153" customWidth="1"/>
    <col min="9493" max="9493" width="3.28515625" style="153" customWidth="1"/>
    <col min="9494" max="9494" width="16.5703125" style="153" customWidth="1"/>
    <col min="9495" max="9495" width="5.85546875" style="153" customWidth="1"/>
    <col min="9496" max="9497" width="0" style="153" hidden="1" customWidth="1"/>
    <col min="9498" max="9498" width="1.85546875" style="153" customWidth="1"/>
    <col min="9499" max="9499" width="0.42578125" style="153" customWidth="1"/>
    <col min="9500" max="9506" width="0" style="153" hidden="1" customWidth="1"/>
    <col min="9507" max="9507" width="9.140625" style="153"/>
    <col min="9508" max="9508" width="10.7109375" style="153" customWidth="1"/>
    <col min="9509" max="9511" width="0" style="153" hidden="1" customWidth="1"/>
    <col min="9512" max="9728" width="9.140625" style="153"/>
    <col min="9729" max="9734" width="3.28515625" style="153" customWidth="1"/>
    <col min="9735" max="9735" width="5.140625" style="153" customWidth="1"/>
    <col min="9736" max="9739" width="3.28515625" style="153" customWidth="1"/>
    <col min="9740" max="9740" width="4.28515625" style="153" customWidth="1"/>
    <col min="9741" max="9742" width="3.28515625" style="153" customWidth="1"/>
    <col min="9743" max="9743" width="4.42578125" style="153" customWidth="1"/>
    <col min="9744" max="9747" width="3.28515625" style="153" customWidth="1"/>
    <col min="9748" max="9748" width="2.42578125" style="153" customWidth="1"/>
    <col min="9749" max="9749" width="3.28515625" style="153" customWidth="1"/>
    <col min="9750" max="9750" width="16.5703125" style="153" customWidth="1"/>
    <col min="9751" max="9751" width="5.85546875" style="153" customWidth="1"/>
    <col min="9752" max="9753" width="0" style="153" hidden="1" customWidth="1"/>
    <col min="9754" max="9754" width="1.85546875" style="153" customWidth="1"/>
    <col min="9755" max="9755" width="0.42578125" style="153" customWidth="1"/>
    <col min="9756" max="9762" width="0" style="153" hidden="1" customWidth="1"/>
    <col min="9763" max="9763" width="9.140625" style="153"/>
    <col min="9764" max="9764" width="10.7109375" style="153" customWidth="1"/>
    <col min="9765" max="9767" width="0" style="153" hidden="1" customWidth="1"/>
    <col min="9768" max="9984" width="9.140625" style="153"/>
    <col min="9985" max="9990" width="3.28515625" style="153" customWidth="1"/>
    <col min="9991" max="9991" width="5.140625" style="153" customWidth="1"/>
    <col min="9992" max="9995" width="3.28515625" style="153" customWidth="1"/>
    <col min="9996" max="9996" width="4.28515625" style="153" customWidth="1"/>
    <col min="9997" max="9998" width="3.28515625" style="153" customWidth="1"/>
    <col min="9999" max="9999" width="4.42578125" style="153" customWidth="1"/>
    <col min="10000" max="10003" width="3.28515625" style="153" customWidth="1"/>
    <col min="10004" max="10004" width="2.42578125" style="153" customWidth="1"/>
    <col min="10005" max="10005" width="3.28515625" style="153" customWidth="1"/>
    <col min="10006" max="10006" width="16.5703125" style="153" customWidth="1"/>
    <col min="10007" max="10007" width="5.85546875" style="153" customWidth="1"/>
    <col min="10008" max="10009" width="0" style="153" hidden="1" customWidth="1"/>
    <col min="10010" max="10010" width="1.85546875" style="153" customWidth="1"/>
    <col min="10011" max="10011" width="0.42578125" style="153" customWidth="1"/>
    <col min="10012" max="10018" width="0" style="153" hidden="1" customWidth="1"/>
    <col min="10019" max="10019" width="9.140625" style="153"/>
    <col min="10020" max="10020" width="10.7109375" style="153" customWidth="1"/>
    <col min="10021" max="10023" width="0" style="153" hidden="1" customWidth="1"/>
    <col min="10024" max="10240" width="9.140625" style="153"/>
    <col min="10241" max="10246" width="3.28515625" style="153" customWidth="1"/>
    <col min="10247" max="10247" width="5.140625" style="153" customWidth="1"/>
    <col min="10248" max="10251" width="3.28515625" style="153" customWidth="1"/>
    <col min="10252" max="10252" width="4.28515625" style="153" customWidth="1"/>
    <col min="10253" max="10254" width="3.28515625" style="153" customWidth="1"/>
    <col min="10255" max="10255" width="4.42578125" style="153" customWidth="1"/>
    <col min="10256" max="10259" width="3.28515625" style="153" customWidth="1"/>
    <col min="10260" max="10260" width="2.42578125" style="153" customWidth="1"/>
    <col min="10261" max="10261" width="3.28515625" style="153" customWidth="1"/>
    <col min="10262" max="10262" width="16.5703125" style="153" customWidth="1"/>
    <col min="10263" max="10263" width="5.85546875" style="153" customWidth="1"/>
    <col min="10264" max="10265" width="0" style="153" hidden="1" customWidth="1"/>
    <col min="10266" max="10266" width="1.85546875" style="153" customWidth="1"/>
    <col min="10267" max="10267" width="0.42578125" style="153" customWidth="1"/>
    <col min="10268" max="10274" width="0" style="153" hidden="1" customWidth="1"/>
    <col min="10275" max="10275" width="9.140625" style="153"/>
    <col min="10276" max="10276" width="10.7109375" style="153" customWidth="1"/>
    <col min="10277" max="10279" width="0" style="153" hidden="1" customWidth="1"/>
    <col min="10280" max="10496" width="9.140625" style="153"/>
    <col min="10497" max="10502" width="3.28515625" style="153" customWidth="1"/>
    <col min="10503" max="10503" width="5.140625" style="153" customWidth="1"/>
    <col min="10504" max="10507" width="3.28515625" style="153" customWidth="1"/>
    <col min="10508" max="10508" width="4.28515625" style="153" customWidth="1"/>
    <col min="10509" max="10510" width="3.28515625" style="153" customWidth="1"/>
    <col min="10511" max="10511" width="4.42578125" style="153" customWidth="1"/>
    <col min="10512" max="10515" width="3.28515625" style="153" customWidth="1"/>
    <col min="10516" max="10516" width="2.42578125" style="153" customWidth="1"/>
    <col min="10517" max="10517" width="3.28515625" style="153" customWidth="1"/>
    <col min="10518" max="10518" width="16.5703125" style="153" customWidth="1"/>
    <col min="10519" max="10519" width="5.85546875" style="153" customWidth="1"/>
    <col min="10520" max="10521" width="0" style="153" hidden="1" customWidth="1"/>
    <col min="10522" max="10522" width="1.85546875" style="153" customWidth="1"/>
    <col min="10523" max="10523" width="0.42578125" style="153" customWidth="1"/>
    <col min="10524" max="10530" width="0" style="153" hidden="1" customWidth="1"/>
    <col min="10531" max="10531" width="9.140625" style="153"/>
    <col min="10532" max="10532" width="10.7109375" style="153" customWidth="1"/>
    <col min="10533" max="10535" width="0" style="153" hidden="1" customWidth="1"/>
    <col min="10536" max="10752" width="9.140625" style="153"/>
    <col min="10753" max="10758" width="3.28515625" style="153" customWidth="1"/>
    <col min="10759" max="10759" width="5.140625" style="153" customWidth="1"/>
    <col min="10760" max="10763" width="3.28515625" style="153" customWidth="1"/>
    <col min="10764" max="10764" width="4.28515625" style="153" customWidth="1"/>
    <col min="10765" max="10766" width="3.28515625" style="153" customWidth="1"/>
    <col min="10767" max="10767" width="4.42578125" style="153" customWidth="1"/>
    <col min="10768" max="10771" width="3.28515625" style="153" customWidth="1"/>
    <col min="10772" max="10772" width="2.42578125" style="153" customWidth="1"/>
    <col min="10773" max="10773" width="3.28515625" style="153" customWidth="1"/>
    <col min="10774" max="10774" width="16.5703125" style="153" customWidth="1"/>
    <col min="10775" max="10775" width="5.85546875" style="153" customWidth="1"/>
    <col min="10776" max="10777" width="0" style="153" hidden="1" customWidth="1"/>
    <col min="10778" max="10778" width="1.85546875" style="153" customWidth="1"/>
    <col min="10779" max="10779" width="0.42578125" style="153" customWidth="1"/>
    <col min="10780" max="10786" width="0" style="153" hidden="1" customWidth="1"/>
    <col min="10787" max="10787" width="9.140625" style="153"/>
    <col min="10788" max="10788" width="10.7109375" style="153" customWidth="1"/>
    <col min="10789" max="10791" width="0" style="153" hidden="1" customWidth="1"/>
    <col min="10792" max="11008" width="9.140625" style="153"/>
    <col min="11009" max="11014" width="3.28515625" style="153" customWidth="1"/>
    <col min="11015" max="11015" width="5.140625" style="153" customWidth="1"/>
    <col min="11016" max="11019" width="3.28515625" style="153" customWidth="1"/>
    <col min="11020" max="11020" width="4.28515625" style="153" customWidth="1"/>
    <col min="11021" max="11022" width="3.28515625" style="153" customWidth="1"/>
    <col min="11023" max="11023" width="4.42578125" style="153" customWidth="1"/>
    <col min="11024" max="11027" width="3.28515625" style="153" customWidth="1"/>
    <col min="11028" max="11028" width="2.42578125" style="153" customWidth="1"/>
    <col min="11029" max="11029" width="3.28515625" style="153" customWidth="1"/>
    <col min="11030" max="11030" width="16.5703125" style="153" customWidth="1"/>
    <col min="11031" max="11031" width="5.85546875" style="153" customWidth="1"/>
    <col min="11032" max="11033" width="0" style="153" hidden="1" customWidth="1"/>
    <col min="11034" max="11034" width="1.85546875" style="153" customWidth="1"/>
    <col min="11035" max="11035" width="0.42578125" style="153" customWidth="1"/>
    <col min="11036" max="11042" width="0" style="153" hidden="1" customWidth="1"/>
    <col min="11043" max="11043" width="9.140625" style="153"/>
    <col min="11044" max="11044" width="10.7109375" style="153" customWidth="1"/>
    <col min="11045" max="11047" width="0" style="153" hidden="1" customWidth="1"/>
    <col min="11048" max="11264" width="9.140625" style="153"/>
    <col min="11265" max="11270" width="3.28515625" style="153" customWidth="1"/>
    <col min="11271" max="11271" width="5.140625" style="153" customWidth="1"/>
    <col min="11272" max="11275" width="3.28515625" style="153" customWidth="1"/>
    <col min="11276" max="11276" width="4.28515625" style="153" customWidth="1"/>
    <col min="11277" max="11278" width="3.28515625" style="153" customWidth="1"/>
    <col min="11279" max="11279" width="4.42578125" style="153" customWidth="1"/>
    <col min="11280" max="11283" width="3.28515625" style="153" customWidth="1"/>
    <col min="11284" max="11284" width="2.42578125" style="153" customWidth="1"/>
    <col min="11285" max="11285" width="3.28515625" style="153" customWidth="1"/>
    <col min="11286" max="11286" width="16.5703125" style="153" customWidth="1"/>
    <col min="11287" max="11287" width="5.85546875" style="153" customWidth="1"/>
    <col min="11288" max="11289" width="0" style="153" hidden="1" customWidth="1"/>
    <col min="11290" max="11290" width="1.85546875" style="153" customWidth="1"/>
    <col min="11291" max="11291" width="0.42578125" style="153" customWidth="1"/>
    <col min="11292" max="11298" width="0" style="153" hidden="1" customWidth="1"/>
    <col min="11299" max="11299" width="9.140625" style="153"/>
    <col min="11300" max="11300" width="10.7109375" style="153" customWidth="1"/>
    <col min="11301" max="11303" width="0" style="153" hidden="1" customWidth="1"/>
    <col min="11304" max="11520" width="9.140625" style="153"/>
    <col min="11521" max="11526" width="3.28515625" style="153" customWidth="1"/>
    <col min="11527" max="11527" width="5.140625" style="153" customWidth="1"/>
    <col min="11528" max="11531" width="3.28515625" style="153" customWidth="1"/>
    <col min="11532" max="11532" width="4.28515625" style="153" customWidth="1"/>
    <col min="11533" max="11534" width="3.28515625" style="153" customWidth="1"/>
    <col min="11535" max="11535" width="4.42578125" style="153" customWidth="1"/>
    <col min="11536" max="11539" width="3.28515625" style="153" customWidth="1"/>
    <col min="11540" max="11540" width="2.42578125" style="153" customWidth="1"/>
    <col min="11541" max="11541" width="3.28515625" style="153" customWidth="1"/>
    <col min="11542" max="11542" width="16.5703125" style="153" customWidth="1"/>
    <col min="11543" max="11543" width="5.85546875" style="153" customWidth="1"/>
    <col min="11544" max="11545" width="0" style="153" hidden="1" customWidth="1"/>
    <col min="11546" max="11546" width="1.85546875" style="153" customWidth="1"/>
    <col min="11547" max="11547" width="0.42578125" style="153" customWidth="1"/>
    <col min="11548" max="11554" width="0" style="153" hidden="1" customWidth="1"/>
    <col min="11555" max="11555" width="9.140625" style="153"/>
    <col min="11556" max="11556" width="10.7109375" style="153" customWidth="1"/>
    <col min="11557" max="11559" width="0" style="153" hidden="1" customWidth="1"/>
    <col min="11560" max="11776" width="9.140625" style="153"/>
    <col min="11777" max="11782" width="3.28515625" style="153" customWidth="1"/>
    <col min="11783" max="11783" width="5.140625" style="153" customWidth="1"/>
    <col min="11784" max="11787" width="3.28515625" style="153" customWidth="1"/>
    <col min="11788" max="11788" width="4.28515625" style="153" customWidth="1"/>
    <col min="11789" max="11790" width="3.28515625" style="153" customWidth="1"/>
    <col min="11791" max="11791" width="4.42578125" style="153" customWidth="1"/>
    <col min="11792" max="11795" width="3.28515625" style="153" customWidth="1"/>
    <col min="11796" max="11796" width="2.42578125" style="153" customWidth="1"/>
    <col min="11797" max="11797" width="3.28515625" style="153" customWidth="1"/>
    <col min="11798" max="11798" width="16.5703125" style="153" customWidth="1"/>
    <col min="11799" max="11799" width="5.85546875" style="153" customWidth="1"/>
    <col min="11800" max="11801" width="0" style="153" hidden="1" customWidth="1"/>
    <col min="11802" max="11802" width="1.85546875" style="153" customWidth="1"/>
    <col min="11803" max="11803" width="0.42578125" style="153" customWidth="1"/>
    <col min="11804" max="11810" width="0" style="153" hidden="1" customWidth="1"/>
    <col min="11811" max="11811" width="9.140625" style="153"/>
    <col min="11812" max="11812" width="10.7109375" style="153" customWidth="1"/>
    <col min="11813" max="11815" width="0" style="153" hidden="1" customWidth="1"/>
    <col min="11816" max="12032" width="9.140625" style="153"/>
    <col min="12033" max="12038" width="3.28515625" style="153" customWidth="1"/>
    <col min="12039" max="12039" width="5.140625" style="153" customWidth="1"/>
    <col min="12040" max="12043" width="3.28515625" style="153" customWidth="1"/>
    <col min="12044" max="12044" width="4.28515625" style="153" customWidth="1"/>
    <col min="12045" max="12046" width="3.28515625" style="153" customWidth="1"/>
    <col min="12047" max="12047" width="4.42578125" style="153" customWidth="1"/>
    <col min="12048" max="12051" width="3.28515625" style="153" customWidth="1"/>
    <col min="12052" max="12052" width="2.42578125" style="153" customWidth="1"/>
    <col min="12053" max="12053" width="3.28515625" style="153" customWidth="1"/>
    <col min="12054" max="12054" width="16.5703125" style="153" customWidth="1"/>
    <col min="12055" max="12055" width="5.85546875" style="153" customWidth="1"/>
    <col min="12056" max="12057" width="0" style="153" hidden="1" customWidth="1"/>
    <col min="12058" max="12058" width="1.85546875" style="153" customWidth="1"/>
    <col min="12059" max="12059" width="0.42578125" style="153" customWidth="1"/>
    <col min="12060" max="12066" width="0" style="153" hidden="1" customWidth="1"/>
    <col min="12067" max="12067" width="9.140625" style="153"/>
    <col min="12068" max="12068" width="10.7109375" style="153" customWidth="1"/>
    <col min="12069" max="12071" width="0" style="153" hidden="1" customWidth="1"/>
    <col min="12072" max="12288" width="9.140625" style="153"/>
    <col min="12289" max="12294" width="3.28515625" style="153" customWidth="1"/>
    <col min="12295" max="12295" width="5.140625" style="153" customWidth="1"/>
    <col min="12296" max="12299" width="3.28515625" style="153" customWidth="1"/>
    <col min="12300" max="12300" width="4.28515625" style="153" customWidth="1"/>
    <col min="12301" max="12302" width="3.28515625" style="153" customWidth="1"/>
    <col min="12303" max="12303" width="4.42578125" style="153" customWidth="1"/>
    <col min="12304" max="12307" width="3.28515625" style="153" customWidth="1"/>
    <col min="12308" max="12308" width="2.42578125" style="153" customWidth="1"/>
    <col min="12309" max="12309" width="3.28515625" style="153" customWidth="1"/>
    <col min="12310" max="12310" width="16.5703125" style="153" customWidth="1"/>
    <col min="12311" max="12311" width="5.85546875" style="153" customWidth="1"/>
    <col min="12312" max="12313" width="0" style="153" hidden="1" customWidth="1"/>
    <col min="12314" max="12314" width="1.85546875" style="153" customWidth="1"/>
    <col min="12315" max="12315" width="0.42578125" style="153" customWidth="1"/>
    <col min="12316" max="12322" width="0" style="153" hidden="1" customWidth="1"/>
    <col min="12323" max="12323" width="9.140625" style="153"/>
    <col min="12324" max="12324" width="10.7109375" style="153" customWidth="1"/>
    <col min="12325" max="12327" width="0" style="153" hidden="1" customWidth="1"/>
    <col min="12328" max="12544" width="9.140625" style="153"/>
    <col min="12545" max="12550" width="3.28515625" style="153" customWidth="1"/>
    <col min="12551" max="12551" width="5.140625" style="153" customWidth="1"/>
    <col min="12552" max="12555" width="3.28515625" style="153" customWidth="1"/>
    <col min="12556" max="12556" width="4.28515625" style="153" customWidth="1"/>
    <col min="12557" max="12558" width="3.28515625" style="153" customWidth="1"/>
    <col min="12559" max="12559" width="4.42578125" style="153" customWidth="1"/>
    <col min="12560" max="12563" width="3.28515625" style="153" customWidth="1"/>
    <col min="12564" max="12564" width="2.42578125" style="153" customWidth="1"/>
    <col min="12565" max="12565" width="3.28515625" style="153" customWidth="1"/>
    <col min="12566" max="12566" width="16.5703125" style="153" customWidth="1"/>
    <col min="12567" max="12567" width="5.85546875" style="153" customWidth="1"/>
    <col min="12568" max="12569" width="0" style="153" hidden="1" customWidth="1"/>
    <col min="12570" max="12570" width="1.85546875" style="153" customWidth="1"/>
    <col min="12571" max="12571" width="0.42578125" style="153" customWidth="1"/>
    <col min="12572" max="12578" width="0" style="153" hidden="1" customWidth="1"/>
    <col min="12579" max="12579" width="9.140625" style="153"/>
    <col min="12580" max="12580" width="10.7109375" style="153" customWidth="1"/>
    <col min="12581" max="12583" width="0" style="153" hidden="1" customWidth="1"/>
    <col min="12584" max="12800" width="9.140625" style="153"/>
    <col min="12801" max="12806" width="3.28515625" style="153" customWidth="1"/>
    <col min="12807" max="12807" width="5.140625" style="153" customWidth="1"/>
    <col min="12808" max="12811" width="3.28515625" style="153" customWidth="1"/>
    <col min="12812" max="12812" width="4.28515625" style="153" customWidth="1"/>
    <col min="12813" max="12814" width="3.28515625" style="153" customWidth="1"/>
    <col min="12815" max="12815" width="4.42578125" style="153" customWidth="1"/>
    <col min="12816" max="12819" width="3.28515625" style="153" customWidth="1"/>
    <col min="12820" max="12820" width="2.42578125" style="153" customWidth="1"/>
    <col min="12821" max="12821" width="3.28515625" style="153" customWidth="1"/>
    <col min="12822" max="12822" width="16.5703125" style="153" customWidth="1"/>
    <col min="12823" max="12823" width="5.85546875" style="153" customWidth="1"/>
    <col min="12824" max="12825" width="0" style="153" hidden="1" customWidth="1"/>
    <col min="12826" max="12826" width="1.85546875" style="153" customWidth="1"/>
    <col min="12827" max="12827" width="0.42578125" style="153" customWidth="1"/>
    <col min="12828" max="12834" width="0" style="153" hidden="1" customWidth="1"/>
    <col min="12835" max="12835" width="9.140625" style="153"/>
    <col min="12836" max="12836" width="10.7109375" style="153" customWidth="1"/>
    <col min="12837" max="12839" width="0" style="153" hidden="1" customWidth="1"/>
    <col min="12840" max="13056" width="9.140625" style="153"/>
    <col min="13057" max="13062" width="3.28515625" style="153" customWidth="1"/>
    <col min="13063" max="13063" width="5.140625" style="153" customWidth="1"/>
    <col min="13064" max="13067" width="3.28515625" style="153" customWidth="1"/>
    <col min="13068" max="13068" width="4.28515625" style="153" customWidth="1"/>
    <col min="13069" max="13070" width="3.28515625" style="153" customWidth="1"/>
    <col min="13071" max="13071" width="4.42578125" style="153" customWidth="1"/>
    <col min="13072" max="13075" width="3.28515625" style="153" customWidth="1"/>
    <col min="13076" max="13076" width="2.42578125" style="153" customWidth="1"/>
    <col min="13077" max="13077" width="3.28515625" style="153" customWidth="1"/>
    <col min="13078" max="13078" width="16.5703125" style="153" customWidth="1"/>
    <col min="13079" max="13079" width="5.85546875" style="153" customWidth="1"/>
    <col min="13080" max="13081" width="0" style="153" hidden="1" customWidth="1"/>
    <col min="13082" max="13082" width="1.85546875" style="153" customWidth="1"/>
    <col min="13083" max="13083" width="0.42578125" style="153" customWidth="1"/>
    <col min="13084" max="13090" width="0" style="153" hidden="1" customWidth="1"/>
    <col min="13091" max="13091" width="9.140625" style="153"/>
    <col min="13092" max="13092" width="10.7109375" style="153" customWidth="1"/>
    <col min="13093" max="13095" width="0" style="153" hidden="1" customWidth="1"/>
    <col min="13096" max="13312" width="9.140625" style="153"/>
    <col min="13313" max="13318" width="3.28515625" style="153" customWidth="1"/>
    <col min="13319" max="13319" width="5.140625" style="153" customWidth="1"/>
    <col min="13320" max="13323" width="3.28515625" style="153" customWidth="1"/>
    <col min="13324" max="13324" width="4.28515625" style="153" customWidth="1"/>
    <col min="13325" max="13326" width="3.28515625" style="153" customWidth="1"/>
    <col min="13327" max="13327" width="4.42578125" style="153" customWidth="1"/>
    <col min="13328" max="13331" width="3.28515625" style="153" customWidth="1"/>
    <col min="13332" max="13332" width="2.42578125" style="153" customWidth="1"/>
    <col min="13333" max="13333" width="3.28515625" style="153" customWidth="1"/>
    <col min="13334" max="13334" width="16.5703125" style="153" customWidth="1"/>
    <col min="13335" max="13335" width="5.85546875" style="153" customWidth="1"/>
    <col min="13336" max="13337" width="0" style="153" hidden="1" customWidth="1"/>
    <col min="13338" max="13338" width="1.85546875" style="153" customWidth="1"/>
    <col min="13339" max="13339" width="0.42578125" style="153" customWidth="1"/>
    <col min="13340" max="13346" width="0" style="153" hidden="1" customWidth="1"/>
    <col min="13347" max="13347" width="9.140625" style="153"/>
    <col min="13348" max="13348" width="10.7109375" style="153" customWidth="1"/>
    <col min="13349" max="13351" width="0" style="153" hidden="1" customWidth="1"/>
    <col min="13352" max="13568" width="9.140625" style="153"/>
    <col min="13569" max="13574" width="3.28515625" style="153" customWidth="1"/>
    <col min="13575" max="13575" width="5.140625" style="153" customWidth="1"/>
    <col min="13576" max="13579" width="3.28515625" style="153" customWidth="1"/>
    <col min="13580" max="13580" width="4.28515625" style="153" customWidth="1"/>
    <col min="13581" max="13582" width="3.28515625" style="153" customWidth="1"/>
    <col min="13583" max="13583" width="4.42578125" style="153" customWidth="1"/>
    <col min="13584" max="13587" width="3.28515625" style="153" customWidth="1"/>
    <col min="13588" max="13588" width="2.42578125" style="153" customWidth="1"/>
    <col min="13589" max="13589" width="3.28515625" style="153" customWidth="1"/>
    <col min="13590" max="13590" width="16.5703125" style="153" customWidth="1"/>
    <col min="13591" max="13591" width="5.85546875" style="153" customWidth="1"/>
    <col min="13592" max="13593" width="0" style="153" hidden="1" customWidth="1"/>
    <col min="13594" max="13594" width="1.85546875" style="153" customWidth="1"/>
    <col min="13595" max="13595" width="0.42578125" style="153" customWidth="1"/>
    <col min="13596" max="13602" width="0" style="153" hidden="1" customWidth="1"/>
    <col min="13603" max="13603" width="9.140625" style="153"/>
    <col min="13604" max="13604" width="10.7109375" style="153" customWidth="1"/>
    <col min="13605" max="13607" width="0" style="153" hidden="1" customWidth="1"/>
    <col min="13608" max="13824" width="9.140625" style="153"/>
    <col min="13825" max="13830" width="3.28515625" style="153" customWidth="1"/>
    <col min="13831" max="13831" width="5.140625" style="153" customWidth="1"/>
    <col min="13832" max="13835" width="3.28515625" style="153" customWidth="1"/>
    <col min="13836" max="13836" width="4.28515625" style="153" customWidth="1"/>
    <col min="13837" max="13838" width="3.28515625" style="153" customWidth="1"/>
    <col min="13839" max="13839" width="4.42578125" style="153" customWidth="1"/>
    <col min="13840" max="13843" width="3.28515625" style="153" customWidth="1"/>
    <col min="13844" max="13844" width="2.42578125" style="153" customWidth="1"/>
    <col min="13845" max="13845" width="3.28515625" style="153" customWidth="1"/>
    <col min="13846" max="13846" width="16.5703125" style="153" customWidth="1"/>
    <col min="13847" max="13847" width="5.85546875" style="153" customWidth="1"/>
    <col min="13848" max="13849" width="0" style="153" hidden="1" customWidth="1"/>
    <col min="13850" max="13850" width="1.85546875" style="153" customWidth="1"/>
    <col min="13851" max="13851" width="0.42578125" style="153" customWidth="1"/>
    <col min="13852" max="13858" width="0" style="153" hidden="1" customWidth="1"/>
    <col min="13859" max="13859" width="9.140625" style="153"/>
    <col min="13860" max="13860" width="10.7109375" style="153" customWidth="1"/>
    <col min="13861" max="13863" width="0" style="153" hidden="1" customWidth="1"/>
    <col min="13864" max="14080" width="9.140625" style="153"/>
    <col min="14081" max="14086" width="3.28515625" style="153" customWidth="1"/>
    <col min="14087" max="14087" width="5.140625" style="153" customWidth="1"/>
    <col min="14088" max="14091" width="3.28515625" style="153" customWidth="1"/>
    <col min="14092" max="14092" width="4.28515625" style="153" customWidth="1"/>
    <col min="14093" max="14094" width="3.28515625" style="153" customWidth="1"/>
    <col min="14095" max="14095" width="4.42578125" style="153" customWidth="1"/>
    <col min="14096" max="14099" width="3.28515625" style="153" customWidth="1"/>
    <col min="14100" max="14100" width="2.42578125" style="153" customWidth="1"/>
    <col min="14101" max="14101" width="3.28515625" style="153" customWidth="1"/>
    <col min="14102" max="14102" width="16.5703125" style="153" customWidth="1"/>
    <col min="14103" max="14103" width="5.85546875" style="153" customWidth="1"/>
    <col min="14104" max="14105" width="0" style="153" hidden="1" customWidth="1"/>
    <col min="14106" max="14106" width="1.85546875" style="153" customWidth="1"/>
    <col min="14107" max="14107" width="0.42578125" style="153" customWidth="1"/>
    <col min="14108" max="14114" width="0" style="153" hidden="1" customWidth="1"/>
    <col min="14115" max="14115" width="9.140625" style="153"/>
    <col min="14116" max="14116" width="10.7109375" style="153" customWidth="1"/>
    <col min="14117" max="14119" width="0" style="153" hidden="1" customWidth="1"/>
    <col min="14120" max="14336" width="9.140625" style="153"/>
    <col min="14337" max="14342" width="3.28515625" style="153" customWidth="1"/>
    <col min="14343" max="14343" width="5.140625" style="153" customWidth="1"/>
    <col min="14344" max="14347" width="3.28515625" style="153" customWidth="1"/>
    <col min="14348" max="14348" width="4.28515625" style="153" customWidth="1"/>
    <col min="14349" max="14350" width="3.28515625" style="153" customWidth="1"/>
    <col min="14351" max="14351" width="4.42578125" style="153" customWidth="1"/>
    <col min="14352" max="14355" width="3.28515625" style="153" customWidth="1"/>
    <col min="14356" max="14356" width="2.42578125" style="153" customWidth="1"/>
    <col min="14357" max="14357" width="3.28515625" style="153" customWidth="1"/>
    <col min="14358" max="14358" width="16.5703125" style="153" customWidth="1"/>
    <col min="14359" max="14359" width="5.85546875" style="153" customWidth="1"/>
    <col min="14360" max="14361" width="0" style="153" hidden="1" customWidth="1"/>
    <col min="14362" max="14362" width="1.85546875" style="153" customWidth="1"/>
    <col min="14363" max="14363" width="0.42578125" style="153" customWidth="1"/>
    <col min="14364" max="14370" width="0" style="153" hidden="1" customWidth="1"/>
    <col min="14371" max="14371" width="9.140625" style="153"/>
    <col min="14372" max="14372" width="10.7109375" style="153" customWidth="1"/>
    <col min="14373" max="14375" width="0" style="153" hidden="1" customWidth="1"/>
    <col min="14376" max="14592" width="9.140625" style="153"/>
    <col min="14593" max="14598" width="3.28515625" style="153" customWidth="1"/>
    <col min="14599" max="14599" width="5.140625" style="153" customWidth="1"/>
    <col min="14600" max="14603" width="3.28515625" style="153" customWidth="1"/>
    <col min="14604" max="14604" width="4.28515625" style="153" customWidth="1"/>
    <col min="14605" max="14606" width="3.28515625" style="153" customWidth="1"/>
    <col min="14607" max="14607" width="4.42578125" style="153" customWidth="1"/>
    <col min="14608" max="14611" width="3.28515625" style="153" customWidth="1"/>
    <col min="14612" max="14612" width="2.42578125" style="153" customWidth="1"/>
    <col min="14613" max="14613" width="3.28515625" style="153" customWidth="1"/>
    <col min="14614" max="14614" width="16.5703125" style="153" customWidth="1"/>
    <col min="14615" max="14615" width="5.85546875" style="153" customWidth="1"/>
    <col min="14616" max="14617" width="0" style="153" hidden="1" customWidth="1"/>
    <col min="14618" max="14618" width="1.85546875" style="153" customWidth="1"/>
    <col min="14619" max="14619" width="0.42578125" style="153" customWidth="1"/>
    <col min="14620" max="14626" width="0" style="153" hidden="1" customWidth="1"/>
    <col min="14627" max="14627" width="9.140625" style="153"/>
    <col min="14628" max="14628" width="10.7109375" style="153" customWidth="1"/>
    <col min="14629" max="14631" width="0" style="153" hidden="1" customWidth="1"/>
    <col min="14632" max="14848" width="9.140625" style="153"/>
    <col min="14849" max="14854" width="3.28515625" style="153" customWidth="1"/>
    <col min="14855" max="14855" width="5.140625" style="153" customWidth="1"/>
    <col min="14856" max="14859" width="3.28515625" style="153" customWidth="1"/>
    <col min="14860" max="14860" width="4.28515625" style="153" customWidth="1"/>
    <col min="14861" max="14862" width="3.28515625" style="153" customWidth="1"/>
    <col min="14863" max="14863" width="4.42578125" style="153" customWidth="1"/>
    <col min="14864" max="14867" width="3.28515625" style="153" customWidth="1"/>
    <col min="14868" max="14868" width="2.42578125" style="153" customWidth="1"/>
    <col min="14869" max="14869" width="3.28515625" style="153" customWidth="1"/>
    <col min="14870" max="14870" width="16.5703125" style="153" customWidth="1"/>
    <col min="14871" max="14871" width="5.85546875" style="153" customWidth="1"/>
    <col min="14872" max="14873" width="0" style="153" hidden="1" customWidth="1"/>
    <col min="14874" max="14874" width="1.85546875" style="153" customWidth="1"/>
    <col min="14875" max="14875" width="0.42578125" style="153" customWidth="1"/>
    <col min="14876" max="14882" width="0" style="153" hidden="1" customWidth="1"/>
    <col min="14883" max="14883" width="9.140625" style="153"/>
    <col min="14884" max="14884" width="10.7109375" style="153" customWidth="1"/>
    <col min="14885" max="14887" width="0" style="153" hidden="1" customWidth="1"/>
    <col min="14888" max="15104" width="9.140625" style="153"/>
    <col min="15105" max="15110" width="3.28515625" style="153" customWidth="1"/>
    <col min="15111" max="15111" width="5.140625" style="153" customWidth="1"/>
    <col min="15112" max="15115" width="3.28515625" style="153" customWidth="1"/>
    <col min="15116" max="15116" width="4.28515625" style="153" customWidth="1"/>
    <col min="15117" max="15118" width="3.28515625" style="153" customWidth="1"/>
    <col min="15119" max="15119" width="4.42578125" style="153" customWidth="1"/>
    <col min="15120" max="15123" width="3.28515625" style="153" customWidth="1"/>
    <col min="15124" max="15124" width="2.42578125" style="153" customWidth="1"/>
    <col min="15125" max="15125" width="3.28515625" style="153" customWidth="1"/>
    <col min="15126" max="15126" width="16.5703125" style="153" customWidth="1"/>
    <col min="15127" max="15127" width="5.85546875" style="153" customWidth="1"/>
    <col min="15128" max="15129" width="0" style="153" hidden="1" customWidth="1"/>
    <col min="15130" max="15130" width="1.85546875" style="153" customWidth="1"/>
    <col min="15131" max="15131" width="0.42578125" style="153" customWidth="1"/>
    <col min="15132" max="15138" width="0" style="153" hidden="1" customWidth="1"/>
    <col min="15139" max="15139" width="9.140625" style="153"/>
    <col min="15140" max="15140" width="10.7109375" style="153" customWidth="1"/>
    <col min="15141" max="15143" width="0" style="153" hidden="1" customWidth="1"/>
    <col min="15144" max="15360" width="9.140625" style="153"/>
    <col min="15361" max="15366" width="3.28515625" style="153" customWidth="1"/>
    <col min="15367" max="15367" width="5.140625" style="153" customWidth="1"/>
    <col min="15368" max="15371" width="3.28515625" style="153" customWidth="1"/>
    <col min="15372" max="15372" width="4.28515625" style="153" customWidth="1"/>
    <col min="15373" max="15374" width="3.28515625" style="153" customWidth="1"/>
    <col min="15375" max="15375" width="4.42578125" style="153" customWidth="1"/>
    <col min="15376" max="15379" width="3.28515625" style="153" customWidth="1"/>
    <col min="15380" max="15380" width="2.42578125" style="153" customWidth="1"/>
    <col min="15381" max="15381" width="3.28515625" style="153" customWidth="1"/>
    <col min="15382" max="15382" width="16.5703125" style="153" customWidth="1"/>
    <col min="15383" max="15383" width="5.85546875" style="153" customWidth="1"/>
    <col min="15384" max="15385" width="0" style="153" hidden="1" customWidth="1"/>
    <col min="15386" max="15386" width="1.85546875" style="153" customWidth="1"/>
    <col min="15387" max="15387" width="0.42578125" style="153" customWidth="1"/>
    <col min="15388" max="15394" width="0" style="153" hidden="1" customWidth="1"/>
    <col min="15395" max="15395" width="9.140625" style="153"/>
    <col min="15396" max="15396" width="10.7109375" style="153" customWidth="1"/>
    <col min="15397" max="15399" width="0" style="153" hidden="1" customWidth="1"/>
    <col min="15400" max="15616" width="9.140625" style="153"/>
    <col min="15617" max="15622" width="3.28515625" style="153" customWidth="1"/>
    <col min="15623" max="15623" width="5.140625" style="153" customWidth="1"/>
    <col min="15624" max="15627" width="3.28515625" style="153" customWidth="1"/>
    <col min="15628" max="15628" width="4.28515625" style="153" customWidth="1"/>
    <col min="15629" max="15630" width="3.28515625" style="153" customWidth="1"/>
    <col min="15631" max="15631" width="4.42578125" style="153" customWidth="1"/>
    <col min="15632" max="15635" width="3.28515625" style="153" customWidth="1"/>
    <col min="15636" max="15636" width="2.42578125" style="153" customWidth="1"/>
    <col min="15637" max="15637" width="3.28515625" style="153" customWidth="1"/>
    <col min="15638" max="15638" width="16.5703125" style="153" customWidth="1"/>
    <col min="15639" max="15639" width="5.85546875" style="153" customWidth="1"/>
    <col min="15640" max="15641" width="0" style="153" hidden="1" customWidth="1"/>
    <col min="15642" max="15642" width="1.85546875" style="153" customWidth="1"/>
    <col min="15643" max="15643" width="0.42578125" style="153" customWidth="1"/>
    <col min="15644" max="15650" width="0" style="153" hidden="1" customWidth="1"/>
    <col min="15651" max="15651" width="9.140625" style="153"/>
    <col min="15652" max="15652" width="10.7109375" style="153" customWidth="1"/>
    <col min="15653" max="15655" width="0" style="153" hidden="1" customWidth="1"/>
    <col min="15656" max="15872" width="9.140625" style="153"/>
    <col min="15873" max="15878" width="3.28515625" style="153" customWidth="1"/>
    <col min="15879" max="15879" width="5.140625" style="153" customWidth="1"/>
    <col min="15880" max="15883" width="3.28515625" style="153" customWidth="1"/>
    <col min="15884" max="15884" width="4.28515625" style="153" customWidth="1"/>
    <col min="15885" max="15886" width="3.28515625" style="153" customWidth="1"/>
    <col min="15887" max="15887" width="4.42578125" style="153" customWidth="1"/>
    <col min="15888" max="15891" width="3.28515625" style="153" customWidth="1"/>
    <col min="15892" max="15892" width="2.42578125" style="153" customWidth="1"/>
    <col min="15893" max="15893" width="3.28515625" style="153" customWidth="1"/>
    <col min="15894" max="15894" width="16.5703125" style="153" customWidth="1"/>
    <col min="15895" max="15895" width="5.85546875" style="153" customWidth="1"/>
    <col min="15896" max="15897" width="0" style="153" hidden="1" customWidth="1"/>
    <col min="15898" max="15898" width="1.85546875" style="153" customWidth="1"/>
    <col min="15899" max="15899" width="0.42578125" style="153" customWidth="1"/>
    <col min="15900" max="15906" width="0" style="153" hidden="1" customWidth="1"/>
    <col min="15907" max="15907" width="9.140625" style="153"/>
    <col min="15908" max="15908" width="10.7109375" style="153" customWidth="1"/>
    <col min="15909" max="15911" width="0" style="153" hidden="1" customWidth="1"/>
    <col min="15912" max="16128" width="9.140625" style="153"/>
    <col min="16129" max="16134" width="3.28515625" style="153" customWidth="1"/>
    <col min="16135" max="16135" width="5.140625" style="153" customWidth="1"/>
    <col min="16136" max="16139" width="3.28515625" style="153" customWidth="1"/>
    <col min="16140" max="16140" width="4.28515625" style="153" customWidth="1"/>
    <col min="16141" max="16142" width="3.28515625" style="153" customWidth="1"/>
    <col min="16143" max="16143" width="4.42578125" style="153" customWidth="1"/>
    <col min="16144" max="16147" width="3.28515625" style="153" customWidth="1"/>
    <col min="16148" max="16148" width="2.42578125" style="153" customWidth="1"/>
    <col min="16149" max="16149" width="3.28515625" style="153" customWidth="1"/>
    <col min="16150" max="16150" width="16.5703125" style="153" customWidth="1"/>
    <col min="16151" max="16151" width="5.85546875" style="153" customWidth="1"/>
    <col min="16152" max="16153" width="0" style="153" hidden="1" customWidth="1"/>
    <col min="16154" max="16154" width="1.85546875" style="153" customWidth="1"/>
    <col min="16155" max="16155" width="0.42578125" style="153" customWidth="1"/>
    <col min="16156" max="16162" width="0" style="153" hidden="1" customWidth="1"/>
    <col min="16163" max="16163" width="9.140625" style="153"/>
    <col min="16164" max="16164" width="10.7109375" style="153" customWidth="1"/>
    <col min="16165" max="16167" width="0" style="153" hidden="1" customWidth="1"/>
    <col min="16168" max="16384" width="9.140625" style="153"/>
  </cols>
  <sheetData>
    <row r="1" spans="1:39" ht="22.5" customHeight="1" x14ac:dyDescent="0.25">
      <c r="A1" s="802" t="s">
        <v>857</v>
      </c>
      <c r="B1" s="802"/>
      <c r="C1" s="802"/>
      <c r="D1" s="802"/>
      <c r="E1" s="802"/>
      <c r="F1" s="802"/>
      <c r="G1" s="802"/>
      <c r="H1" s="802"/>
      <c r="I1" s="802"/>
      <c r="J1" s="802"/>
      <c r="K1" s="802"/>
      <c r="L1" s="802"/>
      <c r="M1" s="802"/>
      <c r="N1" s="802"/>
      <c r="O1" s="802"/>
      <c r="P1" s="802"/>
      <c r="Q1" s="802"/>
      <c r="R1" s="802"/>
      <c r="S1" s="802"/>
      <c r="T1" s="802"/>
      <c r="U1" s="802"/>
      <c r="V1" s="802"/>
      <c r="W1" s="802"/>
      <c r="X1" s="802"/>
      <c r="Y1" s="802"/>
      <c r="Z1" s="802"/>
      <c r="AA1" s="802"/>
      <c r="AB1" s="802"/>
      <c r="AC1" s="802"/>
      <c r="AD1" s="802"/>
      <c r="AE1" s="802"/>
      <c r="AF1" s="802"/>
      <c r="AG1" s="802"/>
      <c r="AH1" s="802"/>
    </row>
    <row r="2" spans="1:39" ht="15.75" x14ac:dyDescent="0.25">
      <c r="A2" s="802" t="s">
        <v>697</v>
      </c>
      <c r="B2" s="802"/>
      <c r="C2" s="802"/>
      <c r="D2" s="802"/>
      <c r="E2" s="802"/>
      <c r="F2" s="802"/>
      <c r="G2" s="802"/>
      <c r="H2" s="802"/>
      <c r="I2" s="802"/>
      <c r="J2" s="802"/>
      <c r="K2" s="802"/>
      <c r="L2" s="802"/>
      <c r="M2" s="802"/>
      <c r="N2" s="802"/>
      <c r="O2" s="802"/>
      <c r="P2" s="802"/>
      <c r="Q2" s="802"/>
      <c r="R2" s="802"/>
      <c r="S2" s="802"/>
      <c r="T2" s="802"/>
      <c r="U2" s="802"/>
      <c r="V2" s="802"/>
      <c r="W2" s="802"/>
      <c r="X2" s="802"/>
      <c r="Y2" s="802"/>
      <c r="Z2" s="802"/>
      <c r="AA2" s="802"/>
      <c r="AB2" s="802"/>
      <c r="AC2" s="802"/>
      <c r="AD2" s="802"/>
      <c r="AE2" s="802"/>
      <c r="AF2" s="802"/>
      <c r="AG2" s="802"/>
      <c r="AH2" s="802"/>
    </row>
    <row r="3" spans="1:39" ht="15.75" x14ac:dyDescent="0.25">
      <c r="A3" s="530"/>
      <c r="B3" s="530"/>
      <c r="C3" s="530"/>
      <c r="D3" s="530"/>
      <c r="E3" s="530"/>
      <c r="F3" s="802" t="s">
        <v>3</v>
      </c>
      <c r="G3" s="806"/>
      <c r="H3" s="802"/>
      <c r="I3" s="802"/>
      <c r="J3" s="802"/>
      <c r="K3" s="802"/>
      <c r="L3" s="802"/>
      <c r="M3" s="802"/>
      <c r="N3" s="802"/>
      <c r="O3" s="802"/>
      <c r="P3" s="802"/>
      <c r="Q3" s="802"/>
      <c r="R3" s="802"/>
      <c r="S3" s="802"/>
      <c r="T3" s="802"/>
      <c r="U3" s="802"/>
      <c r="V3" s="152"/>
      <c r="W3" s="530"/>
      <c r="X3" s="530"/>
      <c r="Y3" s="530"/>
      <c r="Z3" s="530"/>
      <c r="AA3" s="530"/>
      <c r="AB3" s="530"/>
      <c r="AC3" s="530"/>
      <c r="AD3" s="530"/>
      <c r="AE3" s="530"/>
      <c r="AF3" s="530"/>
      <c r="AG3" s="530"/>
      <c r="AH3" s="530"/>
    </row>
    <row r="4" spans="1:39" ht="15.75" x14ac:dyDescent="0.2">
      <c r="A4" s="803" t="s">
        <v>172</v>
      </c>
      <c r="B4" s="803"/>
      <c r="C4" s="803"/>
      <c r="D4" s="803"/>
      <c r="E4" s="803"/>
      <c r="F4" s="803"/>
      <c r="G4" s="803"/>
      <c r="H4" s="803"/>
      <c r="I4" s="803"/>
      <c r="J4" s="803"/>
      <c r="K4" s="803"/>
      <c r="L4" s="803"/>
      <c r="M4" s="803"/>
      <c r="N4" s="803"/>
      <c r="O4" s="803"/>
      <c r="P4" s="803"/>
      <c r="Q4" s="803"/>
      <c r="R4" s="803"/>
      <c r="S4" s="803"/>
      <c r="T4" s="803"/>
      <c r="U4" s="803"/>
      <c r="V4" s="803"/>
      <c r="W4" s="803"/>
      <c r="X4" s="803"/>
      <c r="Y4" s="803"/>
      <c r="Z4" s="803"/>
      <c r="AA4" s="803"/>
      <c r="AB4" s="803"/>
      <c r="AC4" s="803"/>
      <c r="AD4" s="803"/>
      <c r="AE4" s="803"/>
      <c r="AF4" s="803"/>
      <c r="AG4" s="803"/>
      <c r="AH4" s="803"/>
    </row>
    <row r="5" spans="1:39" ht="16.5" thickBot="1" x14ac:dyDescent="0.25">
      <c r="A5" s="531"/>
      <c r="B5" s="531"/>
      <c r="C5" s="531"/>
      <c r="D5" s="531"/>
      <c r="E5" s="531"/>
      <c r="F5" s="531"/>
      <c r="G5" s="531"/>
      <c r="H5" s="531"/>
      <c r="I5" s="531"/>
      <c r="J5" s="531"/>
      <c r="K5" s="531"/>
      <c r="L5" s="531"/>
      <c r="M5" s="531"/>
      <c r="N5" s="531"/>
      <c r="O5" s="531"/>
      <c r="P5" s="531"/>
      <c r="Q5" s="531"/>
      <c r="R5" s="531"/>
      <c r="S5" s="531"/>
      <c r="T5" s="531"/>
      <c r="U5" s="531"/>
      <c r="V5" s="154"/>
      <c r="W5" s="531"/>
      <c r="X5" s="531"/>
      <c r="Y5" s="531"/>
      <c r="Z5" s="531"/>
      <c r="AA5" s="531"/>
      <c r="AB5" s="531"/>
      <c r="AC5" s="531"/>
      <c r="AD5" s="531"/>
      <c r="AE5" s="531"/>
      <c r="AF5" s="531"/>
      <c r="AG5" s="531"/>
      <c r="AH5" s="531"/>
    </row>
    <row r="6" spans="1:39" ht="31.5" customHeight="1" thickBot="1" x14ac:dyDescent="0.25">
      <c r="V6" s="804" t="s">
        <v>856</v>
      </c>
      <c r="W6" s="805"/>
      <c r="X6" s="805"/>
      <c r="Y6" s="805"/>
      <c r="Z6" s="606"/>
      <c r="AG6" s="156" t="s">
        <v>173</v>
      </c>
      <c r="AI6" s="782" t="s">
        <v>894</v>
      </c>
      <c r="AJ6" s="783"/>
      <c r="AK6" s="783"/>
      <c r="AL6" s="784"/>
      <c r="AM6" s="606"/>
    </row>
    <row r="7" spans="1:39" ht="24.75" customHeight="1" x14ac:dyDescent="0.2">
      <c r="A7" s="797" t="s">
        <v>174</v>
      </c>
      <c r="B7" s="797"/>
      <c r="C7" s="797"/>
      <c r="D7" s="797"/>
      <c r="E7" s="797"/>
      <c r="F7" s="797"/>
      <c r="G7" s="797"/>
      <c r="H7" s="797"/>
      <c r="I7" s="797"/>
      <c r="J7" s="797"/>
      <c r="K7" s="797"/>
      <c r="L7" s="797"/>
      <c r="M7" s="797"/>
      <c r="N7" s="797"/>
      <c r="O7" s="797"/>
      <c r="P7" s="797"/>
      <c r="Q7" s="797"/>
      <c r="R7" s="797"/>
      <c r="S7" s="797"/>
      <c r="T7" s="793">
        <v>1</v>
      </c>
      <c r="U7" s="794"/>
      <c r="V7" s="788">
        <v>4000000</v>
      </c>
      <c r="W7" s="789"/>
      <c r="X7" s="789"/>
      <c r="Y7" s="789"/>
      <c r="Z7" s="787"/>
      <c r="AA7" s="798"/>
      <c r="AB7" s="799"/>
      <c r="AC7" s="799"/>
      <c r="AD7" s="799"/>
      <c r="AE7" s="799"/>
      <c r="AF7" s="529"/>
      <c r="AG7" s="529"/>
      <c r="AI7" s="785">
        <v>4000000</v>
      </c>
      <c r="AJ7" s="786"/>
      <c r="AK7" s="786"/>
      <c r="AL7" s="786"/>
      <c r="AM7" s="787"/>
    </row>
    <row r="8" spans="1:39" ht="22.5" customHeight="1" x14ac:dyDescent="0.2">
      <c r="A8" s="797" t="s">
        <v>175</v>
      </c>
      <c r="B8" s="797"/>
      <c r="C8" s="797"/>
      <c r="D8" s="797"/>
      <c r="E8" s="797"/>
      <c r="F8" s="797"/>
      <c r="G8" s="797"/>
      <c r="H8" s="797"/>
      <c r="I8" s="797"/>
      <c r="J8" s="797"/>
      <c r="K8" s="797"/>
      <c r="L8" s="797"/>
      <c r="M8" s="797"/>
      <c r="N8" s="797"/>
      <c r="O8" s="797"/>
      <c r="P8" s="797"/>
      <c r="Q8" s="797"/>
      <c r="R8" s="797"/>
      <c r="S8" s="797"/>
      <c r="T8" s="793">
        <v>2</v>
      </c>
      <c r="U8" s="794"/>
      <c r="V8" s="788">
        <v>400000</v>
      </c>
      <c r="W8" s="789"/>
      <c r="X8" s="789"/>
      <c r="Y8" s="789"/>
      <c r="Z8" s="787"/>
      <c r="AA8" s="534"/>
      <c r="AB8" s="529"/>
      <c r="AC8" s="529"/>
      <c r="AD8" s="529"/>
      <c r="AE8" s="529"/>
      <c r="AF8" s="529"/>
      <c r="AG8" s="529"/>
      <c r="AI8" s="788">
        <v>400000</v>
      </c>
      <c r="AJ8" s="789"/>
      <c r="AK8" s="789"/>
      <c r="AL8" s="789"/>
      <c r="AM8" s="787"/>
    </row>
    <row r="9" spans="1:39" ht="19.5" customHeight="1" x14ac:dyDescent="0.2">
      <c r="A9" s="800" t="s">
        <v>176</v>
      </c>
      <c r="B9" s="801"/>
      <c r="C9" s="801"/>
      <c r="D9" s="801"/>
      <c r="E9" s="801"/>
      <c r="F9" s="801"/>
      <c r="G9" s="801"/>
      <c r="H9" s="801"/>
      <c r="I9" s="801"/>
      <c r="J9" s="801"/>
      <c r="K9" s="801"/>
      <c r="L9" s="801"/>
      <c r="M9" s="801"/>
      <c r="N9" s="801"/>
      <c r="O9" s="801"/>
      <c r="P9" s="801"/>
      <c r="Q9" s="801"/>
      <c r="R9" s="801"/>
      <c r="S9" s="801"/>
      <c r="T9" s="793">
        <v>4</v>
      </c>
      <c r="U9" s="794"/>
      <c r="V9" s="790">
        <f>V7+V8</f>
        <v>4400000</v>
      </c>
      <c r="W9" s="791"/>
      <c r="X9" s="791"/>
      <c r="Y9" s="791"/>
      <c r="Z9" s="792"/>
      <c r="AA9" s="798"/>
      <c r="AB9" s="799"/>
      <c r="AC9" s="799"/>
      <c r="AD9" s="799"/>
      <c r="AE9" s="799"/>
      <c r="AF9" s="529"/>
      <c r="AG9" s="529"/>
      <c r="AI9" s="790">
        <f>AI7+AI8</f>
        <v>4400000</v>
      </c>
      <c r="AJ9" s="791"/>
      <c r="AK9" s="791"/>
      <c r="AL9" s="791"/>
      <c r="AM9" s="792"/>
    </row>
    <row r="10" spans="1:39" ht="19.5" customHeight="1" x14ac:dyDescent="0.2">
      <c r="A10" s="797" t="s">
        <v>177</v>
      </c>
      <c r="B10" s="797"/>
      <c r="C10" s="797"/>
      <c r="D10" s="797"/>
      <c r="E10" s="797"/>
      <c r="F10" s="797"/>
      <c r="G10" s="797"/>
      <c r="H10" s="797"/>
      <c r="I10" s="797"/>
      <c r="J10" s="797"/>
      <c r="K10" s="797"/>
      <c r="L10" s="797"/>
      <c r="M10" s="797"/>
      <c r="N10" s="797"/>
      <c r="O10" s="797"/>
      <c r="P10" s="797"/>
      <c r="Q10" s="797"/>
      <c r="R10" s="797"/>
      <c r="S10" s="797"/>
      <c r="T10" s="793">
        <v>5</v>
      </c>
      <c r="U10" s="794"/>
      <c r="V10" s="776">
        <v>3442000</v>
      </c>
      <c r="W10" s="777"/>
      <c r="X10" s="777"/>
      <c r="Y10" s="777"/>
      <c r="Z10" s="778"/>
      <c r="AA10" s="798"/>
      <c r="AB10" s="799"/>
      <c r="AC10" s="799"/>
      <c r="AD10" s="799"/>
      <c r="AE10" s="799"/>
      <c r="AF10" s="529"/>
      <c r="AG10" s="529"/>
      <c r="AI10" s="776">
        <v>3442000</v>
      </c>
      <c r="AJ10" s="777"/>
      <c r="AK10" s="777"/>
      <c r="AL10" s="777"/>
      <c r="AM10" s="778"/>
    </row>
    <row r="11" spans="1:39" ht="19.5" customHeight="1" x14ac:dyDescent="0.2">
      <c r="A11" s="797" t="s">
        <v>708</v>
      </c>
      <c r="B11" s="797"/>
      <c r="C11" s="797"/>
      <c r="D11" s="797"/>
      <c r="E11" s="797"/>
      <c r="F11" s="797"/>
      <c r="G11" s="797"/>
      <c r="H11" s="797"/>
      <c r="I11" s="797"/>
      <c r="J11" s="797"/>
      <c r="K11" s="797"/>
      <c r="L11" s="797"/>
      <c r="M11" s="797"/>
      <c r="N11" s="797"/>
      <c r="O11" s="797"/>
      <c r="P11" s="797"/>
      <c r="Q11" s="797"/>
      <c r="R11" s="797"/>
      <c r="S11" s="797"/>
      <c r="T11" s="793">
        <v>8</v>
      </c>
      <c r="U11" s="794"/>
      <c r="V11" s="776">
        <v>2569000</v>
      </c>
      <c r="W11" s="777"/>
      <c r="X11" s="777"/>
      <c r="Y11" s="777"/>
      <c r="Z11" s="778"/>
      <c r="AA11" s="798"/>
      <c r="AB11" s="799"/>
      <c r="AC11" s="799"/>
      <c r="AD11" s="799"/>
      <c r="AE11" s="799"/>
      <c r="AF11" s="529"/>
      <c r="AG11" s="529"/>
      <c r="AI11" s="776">
        <v>2569000</v>
      </c>
      <c r="AJ11" s="777"/>
      <c r="AK11" s="777"/>
      <c r="AL11" s="777"/>
      <c r="AM11" s="778"/>
    </row>
    <row r="12" spans="1:39" ht="19.5" customHeight="1" x14ac:dyDescent="0.2">
      <c r="A12" s="797" t="s">
        <v>709</v>
      </c>
      <c r="B12" s="797"/>
      <c r="C12" s="797"/>
      <c r="D12" s="797"/>
      <c r="E12" s="797"/>
      <c r="F12" s="797"/>
      <c r="G12" s="797"/>
      <c r="H12" s="797"/>
      <c r="I12" s="797"/>
      <c r="J12" s="797"/>
      <c r="K12" s="797"/>
      <c r="L12" s="797"/>
      <c r="M12" s="797"/>
      <c r="N12" s="797"/>
      <c r="O12" s="797"/>
      <c r="P12" s="797"/>
      <c r="Q12" s="797"/>
      <c r="R12" s="797"/>
      <c r="S12" s="797"/>
      <c r="T12" s="793">
        <v>9</v>
      </c>
      <c r="U12" s="794"/>
      <c r="V12" s="776">
        <v>2010000</v>
      </c>
      <c r="W12" s="777"/>
      <c r="X12" s="777"/>
      <c r="Y12" s="777"/>
      <c r="Z12" s="778"/>
      <c r="AA12" s="798"/>
      <c r="AB12" s="799"/>
      <c r="AC12" s="799"/>
      <c r="AD12" s="799"/>
      <c r="AE12" s="799"/>
      <c r="AF12" s="529"/>
      <c r="AG12" s="529"/>
      <c r="AI12" s="776">
        <v>2010000</v>
      </c>
      <c r="AJ12" s="777"/>
      <c r="AK12" s="777"/>
      <c r="AL12" s="777"/>
      <c r="AM12" s="778"/>
    </row>
    <row r="13" spans="1:39" ht="19.5" customHeight="1" x14ac:dyDescent="0.2">
      <c r="A13" s="797" t="s">
        <v>178</v>
      </c>
      <c r="B13" s="797"/>
      <c r="C13" s="797"/>
      <c r="D13" s="797"/>
      <c r="E13" s="797"/>
      <c r="F13" s="797"/>
      <c r="G13" s="797"/>
      <c r="H13" s="797"/>
      <c r="I13" s="797"/>
      <c r="J13" s="797"/>
      <c r="K13" s="797"/>
      <c r="L13" s="797"/>
      <c r="M13" s="797"/>
      <c r="N13" s="797"/>
      <c r="O13" s="797"/>
      <c r="P13" s="797"/>
      <c r="Q13" s="797"/>
      <c r="R13" s="797"/>
      <c r="S13" s="797"/>
      <c r="T13" s="793">
        <v>10</v>
      </c>
      <c r="U13" s="794"/>
      <c r="V13" s="776">
        <v>1000000</v>
      </c>
      <c r="W13" s="777"/>
      <c r="X13" s="777"/>
      <c r="Y13" s="777"/>
      <c r="Z13" s="778"/>
      <c r="AA13" s="534"/>
      <c r="AB13" s="529"/>
      <c r="AC13" s="529"/>
      <c r="AD13" s="529"/>
      <c r="AE13" s="529"/>
      <c r="AF13" s="529"/>
      <c r="AG13" s="529"/>
      <c r="AI13" s="776">
        <v>1000000</v>
      </c>
      <c r="AJ13" s="777"/>
      <c r="AK13" s="777"/>
      <c r="AL13" s="777"/>
      <c r="AM13" s="778"/>
    </row>
    <row r="14" spans="1:39" ht="19.5" customHeight="1" x14ac:dyDescent="0.2">
      <c r="A14" s="817" t="s">
        <v>179</v>
      </c>
      <c r="B14" s="817"/>
      <c r="C14" s="817"/>
      <c r="D14" s="817"/>
      <c r="E14" s="817"/>
      <c r="F14" s="817"/>
      <c r="G14" s="817"/>
      <c r="H14" s="817"/>
      <c r="I14" s="817"/>
      <c r="J14" s="817"/>
      <c r="K14" s="817"/>
      <c r="L14" s="817"/>
      <c r="M14" s="817"/>
      <c r="N14" s="817"/>
      <c r="O14" s="817"/>
      <c r="P14" s="817"/>
      <c r="Q14" s="817"/>
      <c r="R14" s="817"/>
      <c r="S14" s="817"/>
      <c r="T14" s="793">
        <v>11</v>
      </c>
      <c r="U14" s="794"/>
      <c r="V14" s="776">
        <f>V10+V11+V12+V13</f>
        <v>9021000</v>
      </c>
      <c r="W14" s="777"/>
      <c r="X14" s="777"/>
      <c r="Y14" s="777"/>
      <c r="Z14" s="778"/>
      <c r="AA14" s="798"/>
      <c r="AB14" s="799"/>
      <c r="AC14" s="799"/>
      <c r="AD14" s="799"/>
      <c r="AE14" s="799"/>
      <c r="AF14" s="529"/>
      <c r="AG14" s="529"/>
      <c r="AI14" s="776">
        <f>AI10+AI11+AI12+AI13</f>
        <v>9021000</v>
      </c>
      <c r="AJ14" s="777"/>
      <c r="AK14" s="777"/>
      <c r="AL14" s="777"/>
      <c r="AM14" s="778"/>
    </row>
    <row r="15" spans="1:39" ht="27" customHeight="1" x14ac:dyDescent="0.25">
      <c r="A15" s="818" t="s">
        <v>180</v>
      </c>
      <c r="B15" s="818"/>
      <c r="C15" s="818"/>
      <c r="D15" s="818"/>
      <c r="E15" s="818"/>
      <c r="F15" s="818"/>
      <c r="G15" s="818"/>
      <c r="H15" s="818"/>
      <c r="I15" s="818"/>
      <c r="J15" s="818"/>
      <c r="K15" s="818"/>
      <c r="L15" s="818"/>
      <c r="M15" s="818"/>
      <c r="N15" s="818"/>
      <c r="O15" s="818"/>
      <c r="P15" s="818"/>
      <c r="Q15" s="818"/>
      <c r="R15" s="818"/>
      <c r="S15" s="818"/>
      <c r="T15" s="793">
        <v>12</v>
      </c>
      <c r="U15" s="794"/>
      <c r="V15" s="779">
        <f>V14+V9</f>
        <v>13421000</v>
      </c>
      <c r="W15" s="780"/>
      <c r="X15" s="780"/>
      <c r="Y15" s="780"/>
      <c r="Z15" s="781"/>
      <c r="AA15" s="795"/>
      <c r="AB15" s="796"/>
      <c r="AC15" s="796"/>
      <c r="AD15" s="796"/>
      <c r="AE15" s="796"/>
      <c r="AF15" s="528"/>
      <c r="AG15" s="528"/>
      <c r="AI15" s="779">
        <f>AI14+AI9</f>
        <v>13421000</v>
      </c>
      <c r="AJ15" s="780"/>
      <c r="AK15" s="780"/>
      <c r="AL15" s="780"/>
      <c r="AM15" s="781"/>
    </row>
    <row r="16" spans="1:39" ht="20.25" customHeight="1" thickBot="1" x14ac:dyDescent="0.25">
      <c r="A16" s="813" t="s">
        <v>181</v>
      </c>
      <c r="B16" s="814"/>
      <c r="C16" s="814"/>
      <c r="D16" s="814"/>
      <c r="E16" s="814"/>
      <c r="F16" s="814"/>
      <c r="G16" s="814"/>
      <c r="H16" s="814"/>
      <c r="I16" s="814"/>
      <c r="J16" s="814"/>
      <c r="K16" s="814"/>
      <c r="L16" s="814"/>
      <c r="M16" s="814"/>
      <c r="N16" s="814"/>
      <c r="O16" s="814"/>
      <c r="P16" s="814"/>
      <c r="Q16" s="814"/>
      <c r="R16" s="814"/>
      <c r="S16" s="815"/>
      <c r="T16" s="793">
        <v>13</v>
      </c>
      <c r="U16" s="794"/>
      <c r="V16" s="776">
        <v>0</v>
      </c>
      <c r="W16" s="777"/>
      <c r="X16" s="777"/>
      <c r="Y16" s="777"/>
      <c r="Z16" s="778"/>
      <c r="AA16" s="816"/>
      <c r="AB16" s="816"/>
      <c r="AC16" s="816"/>
      <c r="AD16" s="816"/>
      <c r="AE16" s="798"/>
      <c r="AF16" s="529"/>
      <c r="AG16" s="529"/>
      <c r="AI16" s="770">
        <v>0</v>
      </c>
      <c r="AJ16" s="771"/>
      <c r="AK16" s="771"/>
      <c r="AL16" s="771"/>
      <c r="AM16" s="772"/>
    </row>
    <row r="17" spans="1:39" ht="21.95" customHeight="1" thickBot="1" x14ac:dyDescent="0.3">
      <c r="A17" s="807" t="s">
        <v>182</v>
      </c>
      <c r="B17" s="807"/>
      <c r="C17" s="807"/>
      <c r="D17" s="807"/>
      <c r="E17" s="807"/>
      <c r="F17" s="807"/>
      <c r="G17" s="807"/>
      <c r="H17" s="807"/>
      <c r="I17" s="807"/>
      <c r="J17" s="807"/>
      <c r="K17" s="807"/>
      <c r="L17" s="807"/>
      <c r="M17" s="807"/>
      <c r="N17" s="807"/>
      <c r="O17" s="807"/>
      <c r="P17" s="807"/>
      <c r="Q17" s="807"/>
      <c r="R17" s="807"/>
      <c r="S17" s="807"/>
      <c r="T17" s="793">
        <v>14</v>
      </c>
      <c r="U17" s="794"/>
      <c r="V17" s="808">
        <f>V15</f>
        <v>13421000</v>
      </c>
      <c r="W17" s="809"/>
      <c r="X17" s="809"/>
      <c r="Y17" s="809"/>
      <c r="Z17" s="810"/>
      <c r="AA17" s="811"/>
      <c r="AB17" s="812"/>
      <c r="AC17" s="812"/>
      <c r="AD17" s="812"/>
      <c r="AE17" s="812"/>
      <c r="AF17" s="533"/>
      <c r="AG17" s="533"/>
      <c r="AI17" s="773">
        <f>AI15</f>
        <v>13421000</v>
      </c>
      <c r="AJ17" s="774"/>
      <c r="AK17" s="774"/>
      <c r="AL17" s="774"/>
      <c r="AM17" s="775"/>
    </row>
    <row r="18" spans="1:39" ht="21.95" customHeight="1" x14ac:dyDescent="0.2"/>
    <row r="19" spans="1:39" ht="21.95" customHeight="1" x14ac:dyDescent="0.2"/>
    <row r="20" spans="1:39" ht="21.95" customHeight="1" x14ac:dyDescent="0.2"/>
    <row r="21" spans="1:39" ht="21.95" customHeight="1" x14ac:dyDescent="0.2"/>
    <row r="22" spans="1:39" ht="21.95" customHeight="1" x14ac:dyDescent="0.2"/>
    <row r="23" spans="1:39" ht="21.95" customHeight="1" x14ac:dyDescent="0.2"/>
    <row r="24" spans="1:39" ht="21.95" customHeight="1" x14ac:dyDescent="0.2"/>
    <row r="25" spans="1:39" ht="21.95" customHeight="1" x14ac:dyDescent="0.2"/>
    <row r="26" spans="1:39" ht="21.95" customHeight="1" x14ac:dyDescent="0.2"/>
    <row r="27" spans="1:39" ht="21.95" customHeight="1" x14ac:dyDescent="0.2"/>
    <row r="28" spans="1:39" ht="21.95" customHeight="1" x14ac:dyDescent="0.2"/>
    <row r="29" spans="1:39" ht="21.95" customHeight="1" x14ac:dyDescent="0.2"/>
    <row r="30" spans="1:39" ht="21.95" customHeight="1" x14ac:dyDescent="0.2"/>
    <row r="31" spans="1:39" ht="21.95" customHeight="1" x14ac:dyDescent="0.2"/>
    <row r="32" spans="1:39" ht="21.95" customHeight="1" x14ac:dyDescent="0.2"/>
    <row r="33" ht="21.95" customHeight="1" x14ac:dyDescent="0.2"/>
    <row r="34" ht="21.95" customHeight="1" x14ac:dyDescent="0.2"/>
    <row r="35" ht="21.95" customHeight="1" x14ac:dyDescent="0.2"/>
    <row r="36" ht="21.95" customHeight="1" x14ac:dyDescent="0.2"/>
    <row r="37" ht="21.95" customHeight="1" x14ac:dyDescent="0.2"/>
    <row r="38" ht="21.95" customHeight="1" x14ac:dyDescent="0.2"/>
    <row r="39" ht="21.95" customHeight="1" x14ac:dyDescent="0.2"/>
    <row r="40" ht="21.95" customHeight="1" x14ac:dyDescent="0.2"/>
    <row r="41" ht="21.95" customHeight="1" x14ac:dyDescent="0.2"/>
    <row r="42" ht="21.95" customHeight="1" x14ac:dyDescent="0.2"/>
    <row r="43" ht="21.95" customHeight="1" x14ac:dyDescent="0.2"/>
    <row r="44" ht="21.95" customHeight="1" x14ac:dyDescent="0.2"/>
    <row r="45" ht="21.95" customHeight="1" x14ac:dyDescent="0.2"/>
    <row r="46" ht="21.95" customHeight="1" x14ac:dyDescent="0.2"/>
    <row r="47" ht="21.95" customHeight="1" x14ac:dyDescent="0.2"/>
    <row r="48" ht="21.95" customHeight="1" x14ac:dyDescent="0.2"/>
    <row r="49" ht="21.95" customHeight="1" x14ac:dyDescent="0.2"/>
    <row r="50" ht="21.95" customHeight="1" x14ac:dyDescent="0.2"/>
    <row r="51" ht="21.95" customHeight="1" x14ac:dyDescent="0.2"/>
    <row r="52" ht="21.95" customHeight="1" x14ac:dyDescent="0.2"/>
    <row r="53" ht="21.95" customHeight="1" x14ac:dyDescent="0.2"/>
    <row r="54" ht="21.95" customHeight="1" x14ac:dyDescent="0.2"/>
    <row r="55" ht="21.95" customHeight="1" x14ac:dyDescent="0.2"/>
    <row r="56" ht="21.95" customHeight="1" x14ac:dyDescent="0.2"/>
    <row r="57" ht="21.95" customHeight="1" x14ac:dyDescent="0.2"/>
    <row r="58" ht="21.95" customHeight="1" x14ac:dyDescent="0.2"/>
    <row r="59" ht="21.95" customHeight="1" x14ac:dyDescent="0.2"/>
    <row r="60" ht="21.95" customHeight="1" x14ac:dyDescent="0.2"/>
    <row r="61" ht="21.95" customHeight="1" x14ac:dyDescent="0.2"/>
    <row r="62" ht="21.95" customHeight="1" x14ac:dyDescent="0.2"/>
    <row r="63" ht="21.95" customHeight="1" x14ac:dyDescent="0.2"/>
    <row r="64" ht="21.95" customHeight="1" x14ac:dyDescent="0.2"/>
    <row r="65" ht="21.95" customHeight="1" x14ac:dyDescent="0.2"/>
    <row r="66" ht="21.95" customHeight="1" x14ac:dyDescent="0.2"/>
    <row r="67" ht="21.95" customHeight="1" x14ac:dyDescent="0.2"/>
    <row r="68" ht="21.95" customHeight="1" x14ac:dyDescent="0.2"/>
    <row r="69" ht="21.95" customHeight="1" x14ac:dyDescent="0.2"/>
    <row r="70" ht="21.95" customHeight="1" x14ac:dyDescent="0.2"/>
    <row r="71" ht="21.95" customHeight="1" x14ac:dyDescent="0.2"/>
    <row r="72" ht="21.95" customHeight="1" x14ac:dyDescent="0.2"/>
    <row r="73" ht="21.95" customHeight="1" x14ac:dyDescent="0.2"/>
    <row r="74" ht="21.95" customHeight="1" x14ac:dyDescent="0.2"/>
    <row r="75" ht="21.95" customHeight="1" x14ac:dyDescent="0.2"/>
    <row r="76" ht="21.95" customHeight="1" x14ac:dyDescent="0.2"/>
    <row r="77" ht="21.95" customHeight="1" x14ac:dyDescent="0.2"/>
    <row r="78" ht="21.95" customHeight="1" x14ac:dyDescent="0.2"/>
    <row r="79" ht="21.95" customHeight="1" x14ac:dyDescent="0.2"/>
    <row r="80" ht="21.95" customHeight="1" x14ac:dyDescent="0.2"/>
    <row r="81" spans="1:4" ht="21.95" customHeight="1" x14ac:dyDescent="0.2"/>
    <row r="82" spans="1:4" ht="21.95" customHeight="1" x14ac:dyDescent="0.2">
      <c r="A82" s="157"/>
      <c r="B82" s="157"/>
      <c r="C82" s="157"/>
      <c r="D82" s="157"/>
    </row>
    <row r="83" spans="1:4" ht="21.95" customHeight="1" x14ac:dyDescent="0.2">
      <c r="A83" s="157"/>
      <c r="B83" s="157"/>
      <c r="C83" s="157"/>
      <c r="D83" s="157"/>
    </row>
    <row r="84" spans="1:4" ht="21.95" customHeight="1" x14ac:dyDescent="0.2">
      <c r="A84" s="157"/>
      <c r="B84" s="157"/>
      <c r="C84" s="157"/>
      <c r="D84" s="157"/>
    </row>
    <row r="85" spans="1:4" ht="21.95" customHeight="1" x14ac:dyDescent="0.2">
      <c r="A85" s="157"/>
      <c r="B85" s="157"/>
      <c r="C85" s="157"/>
      <c r="D85" s="157"/>
    </row>
    <row r="86" spans="1:4" ht="21.95" customHeight="1" x14ac:dyDescent="0.2">
      <c r="A86" s="157"/>
      <c r="B86" s="157"/>
      <c r="C86" s="157"/>
      <c r="D86" s="157"/>
    </row>
    <row r="87" spans="1:4" ht="21.95" customHeight="1" x14ac:dyDescent="0.2">
      <c r="A87" s="157"/>
      <c r="B87" s="157"/>
      <c r="C87" s="157"/>
      <c r="D87" s="157"/>
    </row>
    <row r="88" spans="1:4" ht="21.95" customHeight="1" x14ac:dyDescent="0.2">
      <c r="A88" s="157"/>
      <c r="B88" s="157"/>
      <c r="C88" s="157"/>
      <c r="D88" s="157"/>
    </row>
    <row r="89" spans="1:4" ht="21.95" customHeight="1" x14ac:dyDescent="0.2">
      <c r="A89" s="157"/>
      <c r="B89" s="157"/>
      <c r="C89" s="157"/>
      <c r="D89" s="157"/>
    </row>
    <row r="90" spans="1:4" ht="21.95" customHeight="1" x14ac:dyDescent="0.2">
      <c r="A90" s="157"/>
      <c r="B90" s="157"/>
      <c r="C90" s="157"/>
      <c r="D90" s="157"/>
    </row>
    <row r="91" spans="1:4" ht="21.95" customHeight="1" x14ac:dyDescent="0.2">
      <c r="A91" s="157"/>
      <c r="B91" s="157"/>
      <c r="C91" s="157"/>
      <c r="D91" s="157"/>
    </row>
    <row r="92" spans="1:4" ht="21.95" customHeight="1" x14ac:dyDescent="0.2">
      <c r="A92" s="157"/>
      <c r="B92" s="157"/>
      <c r="C92" s="157"/>
      <c r="D92" s="157"/>
    </row>
    <row r="93" spans="1:4" ht="21.95" customHeight="1" x14ac:dyDescent="0.2">
      <c r="A93" s="157"/>
      <c r="B93" s="157"/>
      <c r="C93" s="157"/>
      <c r="D93" s="157"/>
    </row>
    <row r="94" spans="1:4" ht="21.95" customHeight="1" x14ac:dyDescent="0.2">
      <c r="A94" s="157"/>
      <c r="B94" s="157"/>
      <c r="C94" s="157"/>
      <c r="D94" s="157"/>
    </row>
    <row r="95" spans="1:4" ht="21.95" customHeight="1" x14ac:dyDescent="0.2">
      <c r="A95" s="157"/>
      <c r="B95" s="157"/>
      <c r="C95" s="157"/>
      <c r="D95" s="157"/>
    </row>
    <row r="96" spans="1:4" ht="21.95" customHeight="1" x14ac:dyDescent="0.2">
      <c r="A96" s="157"/>
      <c r="B96" s="157"/>
      <c r="C96" s="157"/>
      <c r="D96" s="157"/>
    </row>
    <row r="97" spans="1:4" ht="21.95" customHeight="1" x14ac:dyDescent="0.2">
      <c r="A97" s="157"/>
      <c r="B97" s="157"/>
      <c r="C97" s="157"/>
      <c r="D97" s="157"/>
    </row>
    <row r="98" spans="1:4" ht="21.95" customHeight="1" x14ac:dyDescent="0.2">
      <c r="A98" s="157"/>
      <c r="B98" s="157"/>
      <c r="C98" s="157"/>
      <c r="D98" s="157"/>
    </row>
    <row r="99" spans="1:4" ht="21.95" customHeight="1" x14ac:dyDescent="0.2">
      <c r="A99" s="157"/>
      <c r="B99" s="157"/>
      <c r="C99" s="157"/>
      <c r="D99" s="157"/>
    </row>
    <row r="100" spans="1:4" ht="21.95" customHeight="1" x14ac:dyDescent="0.2">
      <c r="A100" s="157"/>
      <c r="B100" s="157"/>
      <c r="C100" s="157"/>
      <c r="D100" s="157"/>
    </row>
    <row r="101" spans="1:4" ht="21.95" customHeight="1" x14ac:dyDescent="0.2">
      <c r="A101" s="157"/>
      <c r="B101" s="157"/>
      <c r="C101" s="157"/>
      <c r="D101" s="157"/>
    </row>
    <row r="102" spans="1:4" ht="21.95" customHeight="1" x14ac:dyDescent="0.2">
      <c r="A102" s="157"/>
      <c r="B102" s="157"/>
      <c r="C102" s="157"/>
      <c r="D102" s="157"/>
    </row>
    <row r="103" spans="1:4" ht="21.95" customHeight="1" x14ac:dyDescent="0.2">
      <c r="A103" s="157"/>
      <c r="B103" s="157"/>
      <c r="C103" s="157"/>
      <c r="D103" s="157"/>
    </row>
    <row r="104" spans="1:4" ht="21.95" customHeight="1" x14ac:dyDescent="0.2">
      <c r="A104" s="157"/>
      <c r="B104" s="157"/>
      <c r="C104" s="157"/>
      <c r="D104" s="157"/>
    </row>
    <row r="105" spans="1:4" ht="21.95" customHeight="1" x14ac:dyDescent="0.2">
      <c r="A105" s="157"/>
      <c r="B105" s="157"/>
      <c r="C105" s="157"/>
      <c r="D105" s="157"/>
    </row>
    <row r="106" spans="1:4" ht="21.95" customHeight="1" x14ac:dyDescent="0.2">
      <c r="A106" s="157"/>
      <c r="B106" s="157"/>
      <c r="C106" s="157"/>
      <c r="D106" s="157"/>
    </row>
    <row r="107" spans="1:4" ht="21.95" customHeight="1" x14ac:dyDescent="0.2">
      <c r="A107" s="157"/>
      <c r="B107" s="157"/>
      <c r="C107" s="157"/>
      <c r="D107" s="157"/>
    </row>
    <row r="108" spans="1:4" ht="21.95" customHeight="1" x14ac:dyDescent="0.2">
      <c r="A108" s="157"/>
      <c r="B108" s="157"/>
      <c r="C108" s="157"/>
      <c r="D108" s="157"/>
    </row>
    <row r="109" spans="1:4" ht="21.95" customHeight="1" x14ac:dyDescent="0.2">
      <c r="A109" s="157"/>
      <c r="B109" s="157"/>
      <c r="C109" s="157"/>
      <c r="D109" s="157"/>
    </row>
    <row r="110" spans="1:4" ht="21.95" customHeight="1" x14ac:dyDescent="0.2">
      <c r="A110" s="157"/>
      <c r="B110" s="157"/>
      <c r="C110" s="157"/>
      <c r="D110" s="157"/>
    </row>
    <row r="111" spans="1:4" ht="21.95" customHeight="1" x14ac:dyDescent="0.2">
      <c r="A111" s="157"/>
      <c r="B111" s="157"/>
      <c r="C111" s="157"/>
      <c r="D111" s="157"/>
    </row>
    <row r="112" spans="1:4" ht="21.95" customHeight="1" x14ac:dyDescent="0.2">
      <c r="A112" s="157"/>
      <c r="B112" s="157"/>
      <c r="C112" s="157"/>
      <c r="D112" s="157"/>
    </row>
    <row r="113" spans="1:4" ht="21.95" customHeight="1" x14ac:dyDescent="0.2">
      <c r="A113" s="157"/>
      <c r="B113" s="157"/>
      <c r="C113" s="157"/>
      <c r="D113" s="157"/>
    </row>
    <row r="114" spans="1:4" ht="21.95" customHeight="1" x14ac:dyDescent="0.2">
      <c r="A114" s="157"/>
      <c r="B114" s="157"/>
      <c r="C114" s="157"/>
      <c r="D114" s="157"/>
    </row>
    <row r="115" spans="1:4" ht="21.95" customHeight="1" x14ac:dyDescent="0.2">
      <c r="A115" s="157"/>
      <c r="B115" s="157"/>
      <c r="C115" s="157"/>
      <c r="D115" s="157"/>
    </row>
    <row r="116" spans="1:4" ht="21.95" customHeight="1" x14ac:dyDescent="0.2">
      <c r="A116" s="157"/>
      <c r="B116" s="157"/>
      <c r="C116" s="157"/>
      <c r="D116" s="157"/>
    </row>
    <row r="117" spans="1:4" ht="21.95" customHeight="1" x14ac:dyDescent="0.2">
      <c r="A117" s="157"/>
      <c r="B117" s="157"/>
      <c r="C117" s="157"/>
      <c r="D117" s="157"/>
    </row>
    <row r="118" spans="1:4" ht="21.95" customHeight="1" x14ac:dyDescent="0.2">
      <c r="A118" s="157"/>
      <c r="B118" s="157"/>
      <c r="C118" s="157"/>
      <c r="D118" s="157"/>
    </row>
    <row r="119" spans="1:4" ht="21.95" customHeight="1" x14ac:dyDescent="0.2">
      <c r="A119" s="157"/>
      <c r="B119" s="157"/>
      <c r="C119" s="157"/>
      <c r="D119" s="157"/>
    </row>
    <row r="120" spans="1:4" ht="21.95" customHeight="1" x14ac:dyDescent="0.2">
      <c r="A120" s="157"/>
      <c r="B120" s="157"/>
      <c r="C120" s="157"/>
      <c r="D120" s="157"/>
    </row>
    <row r="121" spans="1:4" ht="21.95" customHeight="1" x14ac:dyDescent="0.2">
      <c r="A121" s="157"/>
      <c r="B121" s="157"/>
      <c r="C121" s="157"/>
      <c r="D121" s="157"/>
    </row>
    <row r="122" spans="1:4" ht="21.95" customHeight="1" x14ac:dyDescent="0.2">
      <c r="A122" s="157"/>
      <c r="B122" s="157"/>
      <c r="C122" s="157"/>
      <c r="D122" s="157"/>
    </row>
    <row r="123" spans="1:4" ht="21.95" customHeight="1" x14ac:dyDescent="0.2">
      <c r="A123" s="157"/>
      <c r="B123" s="157"/>
      <c r="C123" s="157"/>
      <c r="D123" s="157"/>
    </row>
    <row r="124" spans="1:4" ht="21.95" customHeight="1" x14ac:dyDescent="0.2">
      <c r="A124" s="157"/>
      <c r="B124" s="157"/>
      <c r="C124" s="157"/>
      <c r="D124" s="157"/>
    </row>
    <row r="125" spans="1:4" ht="21.95" customHeight="1" x14ac:dyDescent="0.2">
      <c r="A125" s="157"/>
      <c r="B125" s="157"/>
      <c r="C125" s="157"/>
      <c r="D125" s="157"/>
    </row>
    <row r="126" spans="1:4" ht="21.95" customHeight="1" x14ac:dyDescent="0.2">
      <c r="A126" s="157"/>
      <c r="B126" s="157"/>
      <c r="C126" s="157"/>
      <c r="D126" s="157"/>
    </row>
    <row r="127" spans="1:4" ht="21.95" customHeight="1" x14ac:dyDescent="0.2">
      <c r="A127" s="157"/>
      <c r="B127" s="157"/>
      <c r="C127" s="157"/>
      <c r="D127" s="157"/>
    </row>
    <row r="128" spans="1:4" ht="21.95" customHeight="1" x14ac:dyDescent="0.2">
      <c r="A128" s="157"/>
      <c r="B128" s="157"/>
      <c r="C128" s="157"/>
      <c r="D128" s="157"/>
    </row>
    <row r="129" spans="1:4" ht="21.95" customHeight="1" x14ac:dyDescent="0.2">
      <c r="A129" s="157"/>
      <c r="B129" s="157"/>
      <c r="C129" s="157"/>
      <c r="D129" s="157"/>
    </row>
    <row r="130" spans="1:4" ht="21.95" customHeight="1" x14ac:dyDescent="0.2">
      <c r="A130" s="157"/>
      <c r="B130" s="157"/>
      <c r="C130" s="157"/>
      <c r="D130" s="157"/>
    </row>
    <row r="131" spans="1:4" ht="21.95" customHeight="1" x14ac:dyDescent="0.2">
      <c r="A131" s="157"/>
      <c r="B131" s="157"/>
      <c r="C131" s="157"/>
      <c r="D131" s="157"/>
    </row>
    <row r="132" spans="1:4" ht="21.95" customHeight="1" x14ac:dyDescent="0.2">
      <c r="A132" s="157"/>
      <c r="B132" s="157"/>
      <c r="C132" s="157"/>
      <c r="D132" s="157"/>
    </row>
    <row r="133" spans="1:4" ht="21.95" customHeight="1" x14ac:dyDescent="0.2">
      <c r="A133" s="157"/>
      <c r="B133" s="157"/>
      <c r="C133" s="157"/>
      <c r="D133" s="157"/>
    </row>
    <row r="134" spans="1:4" ht="21.95" customHeight="1" x14ac:dyDescent="0.2">
      <c r="A134" s="157"/>
      <c r="B134" s="157"/>
      <c r="C134" s="157"/>
      <c r="D134" s="157"/>
    </row>
    <row r="135" spans="1:4" ht="21.95" customHeight="1" x14ac:dyDescent="0.2">
      <c r="A135" s="157"/>
      <c r="B135" s="157"/>
      <c r="C135" s="157"/>
      <c r="D135" s="157"/>
    </row>
    <row r="136" spans="1:4" ht="21.95" customHeight="1" x14ac:dyDescent="0.2">
      <c r="A136" s="157"/>
      <c r="B136" s="157"/>
      <c r="C136" s="157"/>
      <c r="D136" s="157"/>
    </row>
    <row r="137" spans="1:4" ht="21.95" customHeight="1" x14ac:dyDescent="0.2">
      <c r="A137" s="157"/>
      <c r="B137" s="157"/>
      <c r="C137" s="157"/>
      <c r="D137" s="157"/>
    </row>
    <row r="138" spans="1:4" ht="21.95" customHeight="1" x14ac:dyDescent="0.2">
      <c r="A138" s="157"/>
      <c r="B138" s="157"/>
      <c r="C138" s="157"/>
      <c r="D138" s="157"/>
    </row>
    <row r="139" spans="1:4" ht="21.95" customHeight="1" x14ac:dyDescent="0.2">
      <c r="A139" s="157"/>
      <c r="B139" s="157"/>
      <c r="C139" s="157"/>
      <c r="D139" s="157"/>
    </row>
    <row r="140" spans="1:4" ht="21.95" customHeight="1" x14ac:dyDescent="0.2">
      <c r="A140" s="157"/>
      <c r="B140" s="157"/>
      <c r="C140" s="157"/>
      <c r="D140" s="157"/>
    </row>
    <row r="141" spans="1:4" ht="21.95" customHeight="1" x14ac:dyDescent="0.2">
      <c r="A141" s="157"/>
      <c r="B141" s="157"/>
      <c r="C141" s="157"/>
      <c r="D141" s="157"/>
    </row>
    <row r="142" spans="1:4" ht="21.95" customHeight="1" x14ac:dyDescent="0.2">
      <c r="A142" s="157"/>
      <c r="B142" s="157"/>
      <c r="C142" s="157"/>
      <c r="D142" s="157"/>
    </row>
    <row r="143" spans="1:4" ht="21.95" customHeight="1" x14ac:dyDescent="0.2">
      <c r="A143" s="157"/>
      <c r="B143" s="157"/>
      <c r="C143" s="157"/>
      <c r="D143" s="157"/>
    </row>
    <row r="144" spans="1:4" ht="21.95" customHeight="1" x14ac:dyDescent="0.2">
      <c r="A144" s="157"/>
      <c r="B144" s="157"/>
      <c r="C144" s="157"/>
      <c r="D144" s="157"/>
    </row>
    <row r="145" spans="1:4" ht="21.95" customHeight="1" x14ac:dyDescent="0.2">
      <c r="A145" s="157"/>
      <c r="B145" s="157"/>
      <c r="C145" s="157"/>
      <c r="D145" s="157"/>
    </row>
    <row r="146" spans="1:4" ht="21.95" customHeight="1" x14ac:dyDescent="0.2">
      <c r="A146" s="157"/>
      <c r="B146" s="157"/>
      <c r="C146" s="157"/>
      <c r="D146" s="157"/>
    </row>
    <row r="147" spans="1:4" ht="21.95" customHeight="1" x14ac:dyDescent="0.2">
      <c r="A147" s="157"/>
      <c r="B147" s="157"/>
      <c r="C147" s="157"/>
      <c r="D147" s="157"/>
    </row>
    <row r="148" spans="1:4" ht="21.95" customHeight="1" x14ac:dyDescent="0.2">
      <c r="A148" s="157"/>
      <c r="B148" s="157"/>
      <c r="C148" s="157"/>
      <c r="D148" s="157"/>
    </row>
    <row r="149" spans="1:4" ht="21.95" customHeight="1" x14ac:dyDescent="0.2">
      <c r="A149" s="157"/>
      <c r="B149" s="157"/>
      <c r="C149" s="157"/>
      <c r="D149" s="157"/>
    </row>
    <row r="150" spans="1:4" ht="21.95" customHeight="1" x14ac:dyDescent="0.2">
      <c r="A150" s="157"/>
      <c r="B150" s="157"/>
      <c r="C150" s="157"/>
      <c r="D150" s="157"/>
    </row>
    <row r="151" spans="1:4" ht="21.95" customHeight="1" x14ac:dyDescent="0.2">
      <c r="A151" s="157"/>
      <c r="B151" s="157"/>
      <c r="C151" s="157"/>
      <c r="D151" s="157"/>
    </row>
    <row r="152" spans="1:4" ht="21.95" customHeight="1" x14ac:dyDescent="0.2">
      <c r="A152" s="157"/>
      <c r="B152" s="157"/>
      <c r="C152" s="157"/>
      <c r="D152" s="157"/>
    </row>
    <row r="153" spans="1:4" ht="21.95" customHeight="1" x14ac:dyDescent="0.2">
      <c r="A153" s="157"/>
      <c r="B153" s="157"/>
      <c r="C153" s="157"/>
      <c r="D153" s="157"/>
    </row>
    <row r="154" spans="1:4" ht="21.95" customHeight="1" x14ac:dyDescent="0.2">
      <c r="A154" s="157"/>
      <c r="B154" s="157"/>
      <c r="C154" s="157"/>
      <c r="D154" s="157"/>
    </row>
    <row r="155" spans="1:4" ht="21.95" customHeight="1" x14ac:dyDescent="0.2">
      <c r="A155" s="157"/>
      <c r="B155" s="157"/>
      <c r="C155" s="157"/>
      <c r="D155" s="157"/>
    </row>
    <row r="156" spans="1:4" ht="21.95" customHeight="1" x14ac:dyDescent="0.2">
      <c r="A156" s="157"/>
      <c r="B156" s="157"/>
      <c r="C156" s="157"/>
      <c r="D156" s="157"/>
    </row>
    <row r="157" spans="1:4" ht="21.95" customHeight="1" x14ac:dyDescent="0.2">
      <c r="A157" s="157"/>
      <c r="B157" s="157"/>
      <c r="C157" s="157"/>
      <c r="D157" s="157"/>
    </row>
    <row r="158" spans="1:4" x14ac:dyDescent="0.2">
      <c r="A158" s="157"/>
      <c r="B158" s="157"/>
      <c r="C158" s="157"/>
      <c r="D158" s="157"/>
    </row>
    <row r="159" spans="1:4" x14ac:dyDescent="0.2">
      <c r="A159" s="157"/>
      <c r="B159" s="157"/>
      <c r="C159" s="157"/>
      <c r="D159" s="157"/>
    </row>
    <row r="160" spans="1:4" x14ac:dyDescent="0.2">
      <c r="A160" s="157"/>
      <c r="B160" s="157"/>
      <c r="C160" s="157"/>
      <c r="D160" s="157"/>
    </row>
    <row r="161" spans="1:4" x14ac:dyDescent="0.2">
      <c r="A161" s="157"/>
      <c r="B161" s="157"/>
      <c r="C161" s="157"/>
      <c r="D161" s="157"/>
    </row>
    <row r="162" spans="1:4" x14ac:dyDescent="0.2">
      <c r="A162" s="157"/>
      <c r="B162" s="157"/>
      <c r="C162" s="157"/>
      <c r="D162" s="157"/>
    </row>
    <row r="163" spans="1:4" x14ac:dyDescent="0.2">
      <c r="A163" s="157"/>
      <c r="B163" s="157"/>
      <c r="C163" s="157"/>
      <c r="D163" s="157"/>
    </row>
    <row r="164" spans="1:4" x14ac:dyDescent="0.2">
      <c r="A164" s="157"/>
      <c r="B164" s="157"/>
      <c r="C164" s="157"/>
      <c r="D164" s="157"/>
    </row>
  </sheetData>
  <mergeCells count="59">
    <mergeCell ref="A17:S17"/>
    <mergeCell ref="T17:U17"/>
    <mergeCell ref="V17:Z17"/>
    <mergeCell ref="AA17:AE17"/>
    <mergeCell ref="A13:S13"/>
    <mergeCell ref="T13:U13"/>
    <mergeCell ref="V13:Z13"/>
    <mergeCell ref="A16:S16"/>
    <mergeCell ref="T16:U16"/>
    <mergeCell ref="V16:Z16"/>
    <mergeCell ref="AA16:AE16"/>
    <mergeCell ref="A14:S14"/>
    <mergeCell ref="T14:U14"/>
    <mergeCell ref="V14:Z14"/>
    <mergeCell ref="AA14:AE14"/>
    <mergeCell ref="A15:S15"/>
    <mergeCell ref="A1:AH1"/>
    <mergeCell ref="A2:AH2"/>
    <mergeCell ref="A4:AH4"/>
    <mergeCell ref="V6:Y6"/>
    <mergeCell ref="A8:S8"/>
    <mergeCell ref="T8:U8"/>
    <mergeCell ref="V8:Z8"/>
    <mergeCell ref="F3:U3"/>
    <mergeCell ref="A7:S7"/>
    <mergeCell ref="T7:U7"/>
    <mergeCell ref="V7:Z7"/>
    <mergeCell ref="AA7:AE7"/>
    <mergeCell ref="A9:S9"/>
    <mergeCell ref="T9:U9"/>
    <mergeCell ref="V9:Z9"/>
    <mergeCell ref="AA9:AE9"/>
    <mergeCell ref="A10:S10"/>
    <mergeCell ref="T10:U10"/>
    <mergeCell ref="V10:Z10"/>
    <mergeCell ref="AA10:AE10"/>
    <mergeCell ref="T15:U15"/>
    <mergeCell ref="V15:Z15"/>
    <mergeCell ref="AA15:AE15"/>
    <mergeCell ref="A11:S11"/>
    <mergeCell ref="T11:U11"/>
    <mergeCell ref="V11:Z11"/>
    <mergeCell ref="AA11:AE11"/>
    <mergeCell ref="A12:S12"/>
    <mergeCell ref="T12:U12"/>
    <mergeCell ref="V12:Z12"/>
    <mergeCell ref="AA12:AE12"/>
    <mergeCell ref="AI6:AL6"/>
    <mergeCell ref="AI7:AM7"/>
    <mergeCell ref="AI8:AM8"/>
    <mergeCell ref="AI9:AM9"/>
    <mergeCell ref="AI10:AM10"/>
    <mergeCell ref="AI16:AM16"/>
    <mergeCell ref="AI17:AM17"/>
    <mergeCell ref="AI11:AM11"/>
    <mergeCell ref="AI12:AM12"/>
    <mergeCell ref="AI13:AM13"/>
    <mergeCell ref="AI14:AM14"/>
    <mergeCell ref="AI15:AM15"/>
  </mergeCells>
  <pageMargins left="0.25" right="0.25" top="0.75" bottom="0.75" header="0.3" footer="0.3"/>
  <pageSetup paperSize="9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AY187"/>
  <sheetViews>
    <sheetView topLeftCell="A25" workbookViewId="0">
      <selection activeCell="BA25" sqref="BA25"/>
    </sheetView>
  </sheetViews>
  <sheetFormatPr defaultRowHeight="12.75" x14ac:dyDescent="0.2"/>
  <cols>
    <col min="1" max="1" width="5.28515625" style="413" customWidth="1"/>
    <col min="2" max="7" width="3.28515625" style="413" customWidth="1"/>
    <col min="8" max="8" width="5.140625" style="413" customWidth="1"/>
    <col min="9" max="12" width="3.28515625" style="413" customWidth="1"/>
    <col min="13" max="13" width="4.28515625" style="413" customWidth="1"/>
    <col min="14" max="15" width="3.28515625" style="413" customWidth="1"/>
    <col min="16" max="16" width="4.42578125" style="413" customWidth="1"/>
    <col min="17" max="17" width="3.28515625" style="413" customWidth="1"/>
    <col min="18" max="18" width="0.7109375" style="413" customWidth="1"/>
    <col min="19" max="19" width="1.140625" style="413" hidden="1" customWidth="1"/>
    <col min="20" max="20" width="6.28515625" style="413" hidden="1" customWidth="1"/>
    <col min="21" max="21" width="2.42578125" style="413" hidden="1" customWidth="1"/>
    <col min="22" max="22" width="2.85546875" style="413" hidden="1" customWidth="1"/>
    <col min="23" max="23" width="4.140625" style="413" hidden="1" customWidth="1"/>
    <col min="24" max="24" width="9.140625" style="413"/>
    <col min="25" max="25" width="7.5703125" style="413" customWidth="1"/>
    <col min="26" max="26" width="1" style="413" customWidth="1"/>
    <col min="27" max="28" width="10.28515625" style="413" hidden="1" customWidth="1"/>
    <col min="29" max="29" width="9.140625" style="413"/>
    <col min="30" max="30" width="2.85546875" style="413" customWidth="1"/>
    <col min="31" max="33" width="10.28515625" style="413" hidden="1" customWidth="1"/>
    <col min="34" max="34" width="3" style="413" customWidth="1"/>
    <col min="35" max="37" width="10.28515625" style="413" hidden="1" customWidth="1"/>
    <col min="38" max="38" width="9.140625" style="413"/>
    <col min="39" max="39" width="7.28515625" style="413" customWidth="1"/>
    <col min="40" max="40" width="2.7109375" style="413" hidden="1" customWidth="1"/>
    <col min="41" max="41" width="2.42578125" style="413" hidden="1" customWidth="1"/>
    <col min="42" max="42" width="9.140625" style="413" hidden="1" customWidth="1"/>
    <col min="43" max="43" width="9.140625" style="413"/>
    <col min="44" max="44" width="3.28515625" style="413" customWidth="1"/>
    <col min="45" max="45" width="1.7109375" style="413" hidden="1" customWidth="1"/>
    <col min="46" max="51" width="9.140625" style="413" hidden="1" customWidth="1"/>
    <col min="52" max="256" width="9.140625" style="413"/>
    <col min="257" max="257" width="5.28515625" style="413" customWidth="1"/>
    <col min="258" max="263" width="3.28515625" style="413" customWidth="1"/>
    <col min="264" max="264" width="5.140625" style="413" customWidth="1"/>
    <col min="265" max="268" width="3.28515625" style="413" customWidth="1"/>
    <col min="269" max="269" width="4.28515625" style="413" customWidth="1"/>
    <col min="270" max="271" width="3.28515625" style="413" customWidth="1"/>
    <col min="272" max="272" width="4.42578125" style="413" customWidth="1"/>
    <col min="273" max="275" width="3.28515625" style="413" customWidth="1"/>
    <col min="276" max="276" width="6.28515625" style="413" customWidth="1"/>
    <col min="277" max="279" width="0" style="413" hidden="1" customWidth="1"/>
    <col min="280" max="281" width="9.140625" style="413"/>
    <col min="282" max="282" width="1" style="413" customWidth="1"/>
    <col min="283" max="284" width="0" style="413" hidden="1" customWidth="1"/>
    <col min="285" max="285" width="9.140625" style="413"/>
    <col min="286" max="286" width="2.85546875" style="413" customWidth="1"/>
    <col min="287" max="289" width="0" style="413" hidden="1" customWidth="1"/>
    <col min="290" max="290" width="3" style="413" customWidth="1"/>
    <col min="291" max="293" width="0" style="413" hidden="1" customWidth="1"/>
    <col min="294" max="295" width="9.140625" style="413"/>
    <col min="296" max="296" width="2.7109375" style="413" customWidth="1"/>
    <col min="297" max="298" width="0" style="413" hidden="1" customWidth="1"/>
    <col min="299" max="299" width="9.140625" style="413"/>
    <col min="300" max="300" width="7.140625" style="413" customWidth="1"/>
    <col min="301" max="307" width="0" style="413" hidden="1" customWidth="1"/>
    <col min="308" max="512" width="9.140625" style="413"/>
    <col min="513" max="513" width="5.28515625" style="413" customWidth="1"/>
    <col min="514" max="519" width="3.28515625" style="413" customWidth="1"/>
    <col min="520" max="520" width="5.140625" style="413" customWidth="1"/>
    <col min="521" max="524" width="3.28515625" style="413" customWidth="1"/>
    <col min="525" max="525" width="4.28515625" style="413" customWidth="1"/>
    <col min="526" max="527" width="3.28515625" style="413" customWidth="1"/>
    <col min="528" max="528" width="4.42578125" style="413" customWidth="1"/>
    <col min="529" max="531" width="3.28515625" style="413" customWidth="1"/>
    <col min="532" max="532" width="6.28515625" style="413" customWidth="1"/>
    <col min="533" max="535" width="0" style="413" hidden="1" customWidth="1"/>
    <col min="536" max="537" width="9.140625" style="413"/>
    <col min="538" max="538" width="1" style="413" customWidth="1"/>
    <col min="539" max="540" width="0" style="413" hidden="1" customWidth="1"/>
    <col min="541" max="541" width="9.140625" style="413"/>
    <col min="542" max="542" width="2.85546875" style="413" customWidth="1"/>
    <col min="543" max="545" width="0" style="413" hidden="1" customWidth="1"/>
    <col min="546" max="546" width="3" style="413" customWidth="1"/>
    <col min="547" max="549" width="0" style="413" hidden="1" customWidth="1"/>
    <col min="550" max="551" width="9.140625" style="413"/>
    <col min="552" max="552" width="2.7109375" style="413" customWidth="1"/>
    <col min="553" max="554" width="0" style="413" hidden="1" customWidth="1"/>
    <col min="555" max="555" width="9.140625" style="413"/>
    <col min="556" max="556" width="7.140625" style="413" customWidth="1"/>
    <col min="557" max="563" width="0" style="413" hidden="1" customWidth="1"/>
    <col min="564" max="768" width="9.140625" style="413"/>
    <col min="769" max="769" width="5.28515625" style="413" customWidth="1"/>
    <col min="770" max="775" width="3.28515625" style="413" customWidth="1"/>
    <col min="776" max="776" width="5.140625" style="413" customWidth="1"/>
    <col min="777" max="780" width="3.28515625" style="413" customWidth="1"/>
    <col min="781" max="781" width="4.28515625" style="413" customWidth="1"/>
    <col min="782" max="783" width="3.28515625" style="413" customWidth="1"/>
    <col min="784" max="784" width="4.42578125" style="413" customWidth="1"/>
    <col min="785" max="787" width="3.28515625" style="413" customWidth="1"/>
    <col min="788" max="788" width="6.28515625" style="413" customWidth="1"/>
    <col min="789" max="791" width="0" style="413" hidden="1" customWidth="1"/>
    <col min="792" max="793" width="9.140625" style="413"/>
    <col min="794" max="794" width="1" style="413" customWidth="1"/>
    <col min="795" max="796" width="0" style="413" hidden="1" customWidth="1"/>
    <col min="797" max="797" width="9.140625" style="413"/>
    <col min="798" max="798" width="2.85546875" style="413" customWidth="1"/>
    <col min="799" max="801" width="0" style="413" hidden="1" customWidth="1"/>
    <col min="802" max="802" width="3" style="413" customWidth="1"/>
    <col min="803" max="805" width="0" style="413" hidden="1" customWidth="1"/>
    <col min="806" max="807" width="9.140625" style="413"/>
    <col min="808" max="808" width="2.7109375" style="413" customWidth="1"/>
    <col min="809" max="810" width="0" style="413" hidden="1" customWidth="1"/>
    <col min="811" max="811" width="9.140625" style="413"/>
    <col min="812" max="812" width="7.140625" style="413" customWidth="1"/>
    <col min="813" max="819" width="0" style="413" hidden="1" customWidth="1"/>
    <col min="820" max="1024" width="9.140625" style="413"/>
    <col min="1025" max="1025" width="5.28515625" style="413" customWidth="1"/>
    <col min="1026" max="1031" width="3.28515625" style="413" customWidth="1"/>
    <col min="1032" max="1032" width="5.140625" style="413" customWidth="1"/>
    <col min="1033" max="1036" width="3.28515625" style="413" customWidth="1"/>
    <col min="1037" max="1037" width="4.28515625" style="413" customWidth="1"/>
    <col min="1038" max="1039" width="3.28515625" style="413" customWidth="1"/>
    <col min="1040" max="1040" width="4.42578125" style="413" customWidth="1"/>
    <col min="1041" max="1043" width="3.28515625" style="413" customWidth="1"/>
    <col min="1044" max="1044" width="6.28515625" style="413" customWidth="1"/>
    <col min="1045" max="1047" width="0" style="413" hidden="1" customWidth="1"/>
    <col min="1048" max="1049" width="9.140625" style="413"/>
    <col min="1050" max="1050" width="1" style="413" customWidth="1"/>
    <col min="1051" max="1052" width="0" style="413" hidden="1" customWidth="1"/>
    <col min="1053" max="1053" width="9.140625" style="413"/>
    <col min="1054" max="1054" width="2.85546875" style="413" customWidth="1"/>
    <col min="1055" max="1057" width="0" style="413" hidden="1" customWidth="1"/>
    <col min="1058" max="1058" width="3" style="413" customWidth="1"/>
    <col min="1059" max="1061" width="0" style="413" hidden="1" customWidth="1"/>
    <col min="1062" max="1063" width="9.140625" style="413"/>
    <col min="1064" max="1064" width="2.7109375" style="413" customWidth="1"/>
    <col min="1065" max="1066" width="0" style="413" hidden="1" customWidth="1"/>
    <col min="1067" max="1067" width="9.140625" style="413"/>
    <col min="1068" max="1068" width="7.140625" style="413" customWidth="1"/>
    <col min="1069" max="1075" width="0" style="413" hidden="1" customWidth="1"/>
    <col min="1076" max="1280" width="9.140625" style="413"/>
    <col min="1281" max="1281" width="5.28515625" style="413" customWidth="1"/>
    <col min="1282" max="1287" width="3.28515625" style="413" customWidth="1"/>
    <col min="1288" max="1288" width="5.140625" style="413" customWidth="1"/>
    <col min="1289" max="1292" width="3.28515625" style="413" customWidth="1"/>
    <col min="1293" max="1293" width="4.28515625" style="413" customWidth="1"/>
    <col min="1294" max="1295" width="3.28515625" style="413" customWidth="1"/>
    <col min="1296" max="1296" width="4.42578125" style="413" customWidth="1"/>
    <col min="1297" max="1299" width="3.28515625" style="413" customWidth="1"/>
    <col min="1300" max="1300" width="6.28515625" style="413" customWidth="1"/>
    <col min="1301" max="1303" width="0" style="413" hidden="1" customWidth="1"/>
    <col min="1304" max="1305" width="9.140625" style="413"/>
    <col min="1306" max="1306" width="1" style="413" customWidth="1"/>
    <col min="1307" max="1308" width="0" style="413" hidden="1" customWidth="1"/>
    <col min="1309" max="1309" width="9.140625" style="413"/>
    <col min="1310" max="1310" width="2.85546875" style="413" customWidth="1"/>
    <col min="1311" max="1313" width="0" style="413" hidden="1" customWidth="1"/>
    <col min="1314" max="1314" width="3" style="413" customWidth="1"/>
    <col min="1315" max="1317" width="0" style="413" hidden="1" customWidth="1"/>
    <col min="1318" max="1319" width="9.140625" style="413"/>
    <col min="1320" max="1320" width="2.7109375" style="413" customWidth="1"/>
    <col min="1321" max="1322" width="0" style="413" hidden="1" customWidth="1"/>
    <col min="1323" max="1323" width="9.140625" style="413"/>
    <col min="1324" max="1324" width="7.140625" style="413" customWidth="1"/>
    <col min="1325" max="1331" width="0" style="413" hidden="1" customWidth="1"/>
    <col min="1332" max="1536" width="9.140625" style="413"/>
    <col min="1537" max="1537" width="5.28515625" style="413" customWidth="1"/>
    <col min="1538" max="1543" width="3.28515625" style="413" customWidth="1"/>
    <col min="1544" max="1544" width="5.140625" style="413" customWidth="1"/>
    <col min="1545" max="1548" width="3.28515625" style="413" customWidth="1"/>
    <col min="1549" max="1549" width="4.28515625" style="413" customWidth="1"/>
    <col min="1550" max="1551" width="3.28515625" style="413" customWidth="1"/>
    <col min="1552" max="1552" width="4.42578125" style="413" customWidth="1"/>
    <col min="1553" max="1555" width="3.28515625" style="413" customWidth="1"/>
    <col min="1556" max="1556" width="6.28515625" style="413" customWidth="1"/>
    <col min="1557" max="1559" width="0" style="413" hidden="1" customWidth="1"/>
    <col min="1560" max="1561" width="9.140625" style="413"/>
    <col min="1562" max="1562" width="1" style="413" customWidth="1"/>
    <col min="1563" max="1564" width="0" style="413" hidden="1" customWidth="1"/>
    <col min="1565" max="1565" width="9.140625" style="413"/>
    <col min="1566" max="1566" width="2.85546875" style="413" customWidth="1"/>
    <col min="1567" max="1569" width="0" style="413" hidden="1" customWidth="1"/>
    <col min="1570" max="1570" width="3" style="413" customWidth="1"/>
    <col min="1571" max="1573" width="0" style="413" hidden="1" customWidth="1"/>
    <col min="1574" max="1575" width="9.140625" style="413"/>
    <col min="1576" max="1576" width="2.7109375" style="413" customWidth="1"/>
    <col min="1577" max="1578" width="0" style="413" hidden="1" customWidth="1"/>
    <col min="1579" max="1579" width="9.140625" style="413"/>
    <col min="1580" max="1580" width="7.140625" style="413" customWidth="1"/>
    <col min="1581" max="1587" width="0" style="413" hidden="1" customWidth="1"/>
    <col min="1588" max="1792" width="9.140625" style="413"/>
    <col min="1793" max="1793" width="5.28515625" style="413" customWidth="1"/>
    <col min="1794" max="1799" width="3.28515625" style="413" customWidth="1"/>
    <col min="1800" max="1800" width="5.140625" style="413" customWidth="1"/>
    <col min="1801" max="1804" width="3.28515625" style="413" customWidth="1"/>
    <col min="1805" max="1805" width="4.28515625" style="413" customWidth="1"/>
    <col min="1806" max="1807" width="3.28515625" style="413" customWidth="1"/>
    <col min="1808" max="1808" width="4.42578125" style="413" customWidth="1"/>
    <col min="1809" max="1811" width="3.28515625" style="413" customWidth="1"/>
    <col min="1812" max="1812" width="6.28515625" style="413" customWidth="1"/>
    <col min="1813" max="1815" width="0" style="413" hidden="1" customWidth="1"/>
    <col min="1816" max="1817" width="9.140625" style="413"/>
    <col min="1818" max="1818" width="1" style="413" customWidth="1"/>
    <col min="1819" max="1820" width="0" style="413" hidden="1" customWidth="1"/>
    <col min="1821" max="1821" width="9.140625" style="413"/>
    <col min="1822" max="1822" width="2.85546875" style="413" customWidth="1"/>
    <col min="1823" max="1825" width="0" style="413" hidden="1" customWidth="1"/>
    <col min="1826" max="1826" width="3" style="413" customWidth="1"/>
    <col min="1827" max="1829" width="0" style="413" hidden="1" customWidth="1"/>
    <col min="1830" max="1831" width="9.140625" style="413"/>
    <col min="1832" max="1832" width="2.7109375" style="413" customWidth="1"/>
    <col min="1833" max="1834" width="0" style="413" hidden="1" customWidth="1"/>
    <col min="1835" max="1835" width="9.140625" style="413"/>
    <col min="1836" max="1836" width="7.140625" style="413" customWidth="1"/>
    <col min="1837" max="1843" width="0" style="413" hidden="1" customWidth="1"/>
    <col min="1844" max="2048" width="9.140625" style="413"/>
    <col min="2049" max="2049" width="5.28515625" style="413" customWidth="1"/>
    <col min="2050" max="2055" width="3.28515625" style="413" customWidth="1"/>
    <col min="2056" max="2056" width="5.140625" style="413" customWidth="1"/>
    <col min="2057" max="2060" width="3.28515625" style="413" customWidth="1"/>
    <col min="2061" max="2061" width="4.28515625" style="413" customWidth="1"/>
    <col min="2062" max="2063" width="3.28515625" style="413" customWidth="1"/>
    <col min="2064" max="2064" width="4.42578125" style="413" customWidth="1"/>
    <col min="2065" max="2067" width="3.28515625" style="413" customWidth="1"/>
    <col min="2068" max="2068" width="6.28515625" style="413" customWidth="1"/>
    <col min="2069" max="2071" width="0" style="413" hidden="1" customWidth="1"/>
    <col min="2072" max="2073" width="9.140625" style="413"/>
    <col min="2074" max="2074" width="1" style="413" customWidth="1"/>
    <col min="2075" max="2076" width="0" style="413" hidden="1" customWidth="1"/>
    <col min="2077" max="2077" width="9.140625" style="413"/>
    <col min="2078" max="2078" width="2.85546875" style="413" customWidth="1"/>
    <col min="2079" max="2081" width="0" style="413" hidden="1" customWidth="1"/>
    <col min="2082" max="2082" width="3" style="413" customWidth="1"/>
    <col min="2083" max="2085" width="0" style="413" hidden="1" customWidth="1"/>
    <col min="2086" max="2087" width="9.140625" style="413"/>
    <col min="2088" max="2088" width="2.7109375" style="413" customWidth="1"/>
    <col min="2089" max="2090" width="0" style="413" hidden="1" customWidth="1"/>
    <col min="2091" max="2091" width="9.140625" style="413"/>
    <col min="2092" max="2092" width="7.140625" style="413" customWidth="1"/>
    <col min="2093" max="2099" width="0" style="413" hidden="1" customWidth="1"/>
    <col min="2100" max="2304" width="9.140625" style="413"/>
    <col min="2305" max="2305" width="5.28515625" style="413" customWidth="1"/>
    <col min="2306" max="2311" width="3.28515625" style="413" customWidth="1"/>
    <col min="2312" max="2312" width="5.140625" style="413" customWidth="1"/>
    <col min="2313" max="2316" width="3.28515625" style="413" customWidth="1"/>
    <col min="2317" max="2317" width="4.28515625" style="413" customWidth="1"/>
    <col min="2318" max="2319" width="3.28515625" style="413" customWidth="1"/>
    <col min="2320" max="2320" width="4.42578125" style="413" customWidth="1"/>
    <col min="2321" max="2323" width="3.28515625" style="413" customWidth="1"/>
    <col min="2324" max="2324" width="6.28515625" style="413" customWidth="1"/>
    <col min="2325" max="2327" width="0" style="413" hidden="1" customWidth="1"/>
    <col min="2328" max="2329" width="9.140625" style="413"/>
    <col min="2330" max="2330" width="1" style="413" customWidth="1"/>
    <col min="2331" max="2332" width="0" style="413" hidden="1" customWidth="1"/>
    <col min="2333" max="2333" width="9.140625" style="413"/>
    <col min="2334" max="2334" width="2.85546875" style="413" customWidth="1"/>
    <col min="2335" max="2337" width="0" style="413" hidden="1" customWidth="1"/>
    <col min="2338" max="2338" width="3" style="413" customWidth="1"/>
    <col min="2339" max="2341" width="0" style="413" hidden="1" customWidth="1"/>
    <col min="2342" max="2343" width="9.140625" style="413"/>
    <col min="2344" max="2344" width="2.7109375" style="413" customWidth="1"/>
    <col min="2345" max="2346" width="0" style="413" hidden="1" customWidth="1"/>
    <col min="2347" max="2347" width="9.140625" style="413"/>
    <col min="2348" max="2348" width="7.140625" style="413" customWidth="1"/>
    <col min="2349" max="2355" width="0" style="413" hidden="1" customWidth="1"/>
    <col min="2356" max="2560" width="9.140625" style="413"/>
    <col min="2561" max="2561" width="5.28515625" style="413" customWidth="1"/>
    <col min="2562" max="2567" width="3.28515625" style="413" customWidth="1"/>
    <col min="2568" max="2568" width="5.140625" style="413" customWidth="1"/>
    <col min="2569" max="2572" width="3.28515625" style="413" customWidth="1"/>
    <col min="2573" max="2573" width="4.28515625" style="413" customWidth="1"/>
    <col min="2574" max="2575" width="3.28515625" style="413" customWidth="1"/>
    <col min="2576" max="2576" width="4.42578125" style="413" customWidth="1"/>
    <col min="2577" max="2579" width="3.28515625" style="413" customWidth="1"/>
    <col min="2580" max="2580" width="6.28515625" style="413" customWidth="1"/>
    <col min="2581" max="2583" width="0" style="413" hidden="1" customWidth="1"/>
    <col min="2584" max="2585" width="9.140625" style="413"/>
    <col min="2586" max="2586" width="1" style="413" customWidth="1"/>
    <col min="2587" max="2588" width="0" style="413" hidden="1" customWidth="1"/>
    <col min="2589" max="2589" width="9.140625" style="413"/>
    <col min="2590" max="2590" width="2.85546875" style="413" customWidth="1"/>
    <col min="2591" max="2593" width="0" style="413" hidden="1" customWidth="1"/>
    <col min="2594" max="2594" width="3" style="413" customWidth="1"/>
    <col min="2595" max="2597" width="0" style="413" hidden="1" customWidth="1"/>
    <col min="2598" max="2599" width="9.140625" style="413"/>
    <col min="2600" max="2600" width="2.7109375" style="413" customWidth="1"/>
    <col min="2601" max="2602" width="0" style="413" hidden="1" customWidth="1"/>
    <col min="2603" max="2603" width="9.140625" style="413"/>
    <col min="2604" max="2604" width="7.140625" style="413" customWidth="1"/>
    <col min="2605" max="2611" width="0" style="413" hidden="1" customWidth="1"/>
    <col min="2612" max="2816" width="9.140625" style="413"/>
    <col min="2817" max="2817" width="5.28515625" style="413" customWidth="1"/>
    <col min="2818" max="2823" width="3.28515625" style="413" customWidth="1"/>
    <col min="2824" max="2824" width="5.140625" style="413" customWidth="1"/>
    <col min="2825" max="2828" width="3.28515625" style="413" customWidth="1"/>
    <col min="2829" max="2829" width="4.28515625" style="413" customWidth="1"/>
    <col min="2830" max="2831" width="3.28515625" style="413" customWidth="1"/>
    <col min="2832" max="2832" width="4.42578125" style="413" customWidth="1"/>
    <col min="2833" max="2835" width="3.28515625" style="413" customWidth="1"/>
    <col min="2836" max="2836" width="6.28515625" style="413" customWidth="1"/>
    <col min="2837" max="2839" width="0" style="413" hidden="1" customWidth="1"/>
    <col min="2840" max="2841" width="9.140625" style="413"/>
    <col min="2842" max="2842" width="1" style="413" customWidth="1"/>
    <col min="2843" max="2844" width="0" style="413" hidden="1" customWidth="1"/>
    <col min="2845" max="2845" width="9.140625" style="413"/>
    <col min="2846" max="2846" width="2.85546875" style="413" customWidth="1"/>
    <col min="2847" max="2849" width="0" style="413" hidden="1" customWidth="1"/>
    <col min="2850" max="2850" width="3" style="413" customWidth="1"/>
    <col min="2851" max="2853" width="0" style="413" hidden="1" customWidth="1"/>
    <col min="2854" max="2855" width="9.140625" style="413"/>
    <col min="2856" max="2856" width="2.7109375" style="413" customWidth="1"/>
    <col min="2857" max="2858" width="0" style="413" hidden="1" customWidth="1"/>
    <col min="2859" max="2859" width="9.140625" style="413"/>
    <col min="2860" max="2860" width="7.140625" style="413" customWidth="1"/>
    <col min="2861" max="2867" width="0" style="413" hidden="1" customWidth="1"/>
    <col min="2868" max="3072" width="9.140625" style="413"/>
    <col min="3073" max="3073" width="5.28515625" style="413" customWidth="1"/>
    <col min="3074" max="3079" width="3.28515625" style="413" customWidth="1"/>
    <col min="3080" max="3080" width="5.140625" style="413" customWidth="1"/>
    <col min="3081" max="3084" width="3.28515625" style="413" customWidth="1"/>
    <col min="3085" max="3085" width="4.28515625" style="413" customWidth="1"/>
    <col min="3086" max="3087" width="3.28515625" style="413" customWidth="1"/>
    <col min="3088" max="3088" width="4.42578125" style="413" customWidth="1"/>
    <col min="3089" max="3091" width="3.28515625" style="413" customWidth="1"/>
    <col min="3092" max="3092" width="6.28515625" style="413" customWidth="1"/>
    <col min="3093" max="3095" width="0" style="413" hidden="1" customWidth="1"/>
    <col min="3096" max="3097" width="9.140625" style="413"/>
    <col min="3098" max="3098" width="1" style="413" customWidth="1"/>
    <col min="3099" max="3100" width="0" style="413" hidden="1" customWidth="1"/>
    <col min="3101" max="3101" width="9.140625" style="413"/>
    <col min="3102" max="3102" width="2.85546875" style="413" customWidth="1"/>
    <col min="3103" max="3105" width="0" style="413" hidden="1" customWidth="1"/>
    <col min="3106" max="3106" width="3" style="413" customWidth="1"/>
    <col min="3107" max="3109" width="0" style="413" hidden="1" customWidth="1"/>
    <col min="3110" max="3111" width="9.140625" style="413"/>
    <col min="3112" max="3112" width="2.7109375" style="413" customWidth="1"/>
    <col min="3113" max="3114" width="0" style="413" hidden="1" customWidth="1"/>
    <col min="3115" max="3115" width="9.140625" style="413"/>
    <col min="3116" max="3116" width="7.140625" style="413" customWidth="1"/>
    <col min="3117" max="3123" width="0" style="413" hidden="1" customWidth="1"/>
    <col min="3124" max="3328" width="9.140625" style="413"/>
    <col min="3329" max="3329" width="5.28515625" style="413" customWidth="1"/>
    <col min="3330" max="3335" width="3.28515625" style="413" customWidth="1"/>
    <col min="3336" max="3336" width="5.140625" style="413" customWidth="1"/>
    <col min="3337" max="3340" width="3.28515625" style="413" customWidth="1"/>
    <col min="3341" max="3341" width="4.28515625" style="413" customWidth="1"/>
    <col min="3342" max="3343" width="3.28515625" style="413" customWidth="1"/>
    <col min="3344" max="3344" width="4.42578125" style="413" customWidth="1"/>
    <col min="3345" max="3347" width="3.28515625" style="413" customWidth="1"/>
    <col min="3348" max="3348" width="6.28515625" style="413" customWidth="1"/>
    <col min="3349" max="3351" width="0" style="413" hidden="1" customWidth="1"/>
    <col min="3352" max="3353" width="9.140625" style="413"/>
    <col min="3354" max="3354" width="1" style="413" customWidth="1"/>
    <col min="3355" max="3356" width="0" style="413" hidden="1" customWidth="1"/>
    <col min="3357" max="3357" width="9.140625" style="413"/>
    <col min="3358" max="3358" width="2.85546875" style="413" customWidth="1"/>
    <col min="3359" max="3361" width="0" style="413" hidden="1" customWidth="1"/>
    <col min="3362" max="3362" width="3" style="413" customWidth="1"/>
    <col min="3363" max="3365" width="0" style="413" hidden="1" customWidth="1"/>
    <col min="3366" max="3367" width="9.140625" style="413"/>
    <col min="3368" max="3368" width="2.7109375" style="413" customWidth="1"/>
    <col min="3369" max="3370" width="0" style="413" hidden="1" customWidth="1"/>
    <col min="3371" max="3371" width="9.140625" style="413"/>
    <col min="3372" max="3372" width="7.140625" style="413" customWidth="1"/>
    <col min="3373" max="3379" width="0" style="413" hidden="1" customWidth="1"/>
    <col min="3380" max="3584" width="9.140625" style="413"/>
    <col min="3585" max="3585" width="5.28515625" style="413" customWidth="1"/>
    <col min="3586" max="3591" width="3.28515625" style="413" customWidth="1"/>
    <col min="3592" max="3592" width="5.140625" style="413" customWidth="1"/>
    <col min="3593" max="3596" width="3.28515625" style="413" customWidth="1"/>
    <col min="3597" max="3597" width="4.28515625" style="413" customWidth="1"/>
    <col min="3598" max="3599" width="3.28515625" style="413" customWidth="1"/>
    <col min="3600" max="3600" width="4.42578125" style="413" customWidth="1"/>
    <col min="3601" max="3603" width="3.28515625" style="413" customWidth="1"/>
    <col min="3604" max="3604" width="6.28515625" style="413" customWidth="1"/>
    <col min="3605" max="3607" width="0" style="413" hidden="1" customWidth="1"/>
    <col min="3608" max="3609" width="9.140625" style="413"/>
    <col min="3610" max="3610" width="1" style="413" customWidth="1"/>
    <col min="3611" max="3612" width="0" style="413" hidden="1" customWidth="1"/>
    <col min="3613" max="3613" width="9.140625" style="413"/>
    <col min="3614" max="3614" width="2.85546875" style="413" customWidth="1"/>
    <col min="3615" max="3617" width="0" style="413" hidden="1" customWidth="1"/>
    <col min="3618" max="3618" width="3" style="413" customWidth="1"/>
    <col min="3619" max="3621" width="0" style="413" hidden="1" customWidth="1"/>
    <col min="3622" max="3623" width="9.140625" style="413"/>
    <col min="3624" max="3624" width="2.7109375" style="413" customWidth="1"/>
    <col min="3625" max="3626" width="0" style="413" hidden="1" customWidth="1"/>
    <col min="3627" max="3627" width="9.140625" style="413"/>
    <col min="3628" max="3628" width="7.140625" style="413" customWidth="1"/>
    <col min="3629" max="3635" width="0" style="413" hidden="1" customWidth="1"/>
    <col min="3636" max="3840" width="9.140625" style="413"/>
    <col min="3841" max="3841" width="5.28515625" style="413" customWidth="1"/>
    <col min="3842" max="3847" width="3.28515625" style="413" customWidth="1"/>
    <col min="3848" max="3848" width="5.140625" style="413" customWidth="1"/>
    <col min="3849" max="3852" width="3.28515625" style="413" customWidth="1"/>
    <col min="3853" max="3853" width="4.28515625" style="413" customWidth="1"/>
    <col min="3854" max="3855" width="3.28515625" style="413" customWidth="1"/>
    <col min="3856" max="3856" width="4.42578125" style="413" customWidth="1"/>
    <col min="3857" max="3859" width="3.28515625" style="413" customWidth="1"/>
    <col min="3860" max="3860" width="6.28515625" style="413" customWidth="1"/>
    <col min="3861" max="3863" width="0" style="413" hidden="1" customWidth="1"/>
    <col min="3864" max="3865" width="9.140625" style="413"/>
    <col min="3866" max="3866" width="1" style="413" customWidth="1"/>
    <col min="3867" max="3868" width="0" style="413" hidden="1" customWidth="1"/>
    <col min="3869" max="3869" width="9.140625" style="413"/>
    <col min="3870" max="3870" width="2.85546875" style="413" customWidth="1"/>
    <col min="3871" max="3873" width="0" style="413" hidden="1" customWidth="1"/>
    <col min="3874" max="3874" width="3" style="413" customWidth="1"/>
    <col min="3875" max="3877" width="0" style="413" hidden="1" customWidth="1"/>
    <col min="3878" max="3879" width="9.140625" style="413"/>
    <col min="3880" max="3880" width="2.7109375" style="413" customWidth="1"/>
    <col min="3881" max="3882" width="0" style="413" hidden="1" customWidth="1"/>
    <col min="3883" max="3883" width="9.140625" style="413"/>
    <col min="3884" max="3884" width="7.140625" style="413" customWidth="1"/>
    <col min="3885" max="3891" width="0" style="413" hidden="1" customWidth="1"/>
    <col min="3892" max="4096" width="9.140625" style="413"/>
    <col min="4097" max="4097" width="5.28515625" style="413" customWidth="1"/>
    <col min="4098" max="4103" width="3.28515625" style="413" customWidth="1"/>
    <col min="4104" max="4104" width="5.140625" style="413" customWidth="1"/>
    <col min="4105" max="4108" width="3.28515625" style="413" customWidth="1"/>
    <col min="4109" max="4109" width="4.28515625" style="413" customWidth="1"/>
    <col min="4110" max="4111" width="3.28515625" style="413" customWidth="1"/>
    <col min="4112" max="4112" width="4.42578125" style="413" customWidth="1"/>
    <col min="4113" max="4115" width="3.28515625" style="413" customWidth="1"/>
    <col min="4116" max="4116" width="6.28515625" style="413" customWidth="1"/>
    <col min="4117" max="4119" width="0" style="413" hidden="1" customWidth="1"/>
    <col min="4120" max="4121" width="9.140625" style="413"/>
    <col min="4122" max="4122" width="1" style="413" customWidth="1"/>
    <col min="4123" max="4124" width="0" style="413" hidden="1" customWidth="1"/>
    <col min="4125" max="4125" width="9.140625" style="413"/>
    <col min="4126" max="4126" width="2.85546875" style="413" customWidth="1"/>
    <col min="4127" max="4129" width="0" style="413" hidden="1" customWidth="1"/>
    <col min="4130" max="4130" width="3" style="413" customWidth="1"/>
    <col min="4131" max="4133" width="0" style="413" hidden="1" customWidth="1"/>
    <col min="4134" max="4135" width="9.140625" style="413"/>
    <col min="4136" max="4136" width="2.7109375" style="413" customWidth="1"/>
    <col min="4137" max="4138" width="0" style="413" hidden="1" customWidth="1"/>
    <col min="4139" max="4139" width="9.140625" style="413"/>
    <col min="4140" max="4140" width="7.140625" style="413" customWidth="1"/>
    <col min="4141" max="4147" width="0" style="413" hidden="1" customWidth="1"/>
    <col min="4148" max="4352" width="9.140625" style="413"/>
    <col min="4353" max="4353" width="5.28515625" style="413" customWidth="1"/>
    <col min="4354" max="4359" width="3.28515625" style="413" customWidth="1"/>
    <col min="4360" max="4360" width="5.140625" style="413" customWidth="1"/>
    <col min="4361" max="4364" width="3.28515625" style="413" customWidth="1"/>
    <col min="4365" max="4365" width="4.28515625" style="413" customWidth="1"/>
    <col min="4366" max="4367" width="3.28515625" style="413" customWidth="1"/>
    <col min="4368" max="4368" width="4.42578125" style="413" customWidth="1"/>
    <col min="4369" max="4371" width="3.28515625" style="413" customWidth="1"/>
    <col min="4372" max="4372" width="6.28515625" style="413" customWidth="1"/>
    <col min="4373" max="4375" width="0" style="413" hidden="1" customWidth="1"/>
    <col min="4376" max="4377" width="9.140625" style="413"/>
    <col min="4378" max="4378" width="1" style="413" customWidth="1"/>
    <col min="4379" max="4380" width="0" style="413" hidden="1" customWidth="1"/>
    <col min="4381" max="4381" width="9.140625" style="413"/>
    <col min="4382" max="4382" width="2.85546875" style="413" customWidth="1"/>
    <col min="4383" max="4385" width="0" style="413" hidden="1" customWidth="1"/>
    <col min="4386" max="4386" width="3" style="413" customWidth="1"/>
    <col min="4387" max="4389" width="0" style="413" hidden="1" customWidth="1"/>
    <col min="4390" max="4391" width="9.140625" style="413"/>
    <col min="4392" max="4392" width="2.7109375" style="413" customWidth="1"/>
    <col min="4393" max="4394" width="0" style="413" hidden="1" customWidth="1"/>
    <col min="4395" max="4395" width="9.140625" style="413"/>
    <col min="4396" max="4396" width="7.140625" style="413" customWidth="1"/>
    <col min="4397" max="4403" width="0" style="413" hidden="1" customWidth="1"/>
    <col min="4404" max="4608" width="9.140625" style="413"/>
    <col min="4609" max="4609" width="5.28515625" style="413" customWidth="1"/>
    <col min="4610" max="4615" width="3.28515625" style="413" customWidth="1"/>
    <col min="4616" max="4616" width="5.140625" style="413" customWidth="1"/>
    <col min="4617" max="4620" width="3.28515625" style="413" customWidth="1"/>
    <col min="4621" max="4621" width="4.28515625" style="413" customWidth="1"/>
    <col min="4622" max="4623" width="3.28515625" style="413" customWidth="1"/>
    <col min="4624" max="4624" width="4.42578125" style="413" customWidth="1"/>
    <col min="4625" max="4627" width="3.28515625" style="413" customWidth="1"/>
    <col min="4628" max="4628" width="6.28515625" style="413" customWidth="1"/>
    <col min="4629" max="4631" width="0" style="413" hidden="1" customWidth="1"/>
    <col min="4632" max="4633" width="9.140625" style="413"/>
    <col min="4634" max="4634" width="1" style="413" customWidth="1"/>
    <col min="4635" max="4636" width="0" style="413" hidden="1" customWidth="1"/>
    <col min="4637" max="4637" width="9.140625" style="413"/>
    <col min="4638" max="4638" width="2.85546875" style="413" customWidth="1"/>
    <col min="4639" max="4641" width="0" style="413" hidden="1" customWidth="1"/>
    <col min="4642" max="4642" width="3" style="413" customWidth="1"/>
    <col min="4643" max="4645" width="0" style="413" hidden="1" customWidth="1"/>
    <col min="4646" max="4647" width="9.140625" style="413"/>
    <col min="4648" max="4648" width="2.7109375" style="413" customWidth="1"/>
    <col min="4649" max="4650" width="0" style="413" hidden="1" customWidth="1"/>
    <col min="4651" max="4651" width="9.140625" style="413"/>
    <col min="4652" max="4652" width="7.140625" style="413" customWidth="1"/>
    <col min="4653" max="4659" width="0" style="413" hidden="1" customWidth="1"/>
    <col min="4660" max="4864" width="9.140625" style="413"/>
    <col min="4865" max="4865" width="5.28515625" style="413" customWidth="1"/>
    <col min="4866" max="4871" width="3.28515625" style="413" customWidth="1"/>
    <col min="4872" max="4872" width="5.140625" style="413" customWidth="1"/>
    <col min="4873" max="4876" width="3.28515625" style="413" customWidth="1"/>
    <col min="4877" max="4877" width="4.28515625" style="413" customWidth="1"/>
    <col min="4878" max="4879" width="3.28515625" style="413" customWidth="1"/>
    <col min="4880" max="4880" width="4.42578125" style="413" customWidth="1"/>
    <col min="4881" max="4883" width="3.28515625" style="413" customWidth="1"/>
    <col min="4884" max="4884" width="6.28515625" style="413" customWidth="1"/>
    <col min="4885" max="4887" width="0" style="413" hidden="1" customWidth="1"/>
    <col min="4888" max="4889" width="9.140625" style="413"/>
    <col min="4890" max="4890" width="1" style="413" customWidth="1"/>
    <col min="4891" max="4892" width="0" style="413" hidden="1" customWidth="1"/>
    <col min="4893" max="4893" width="9.140625" style="413"/>
    <col min="4894" max="4894" width="2.85546875" style="413" customWidth="1"/>
    <col min="4895" max="4897" width="0" style="413" hidden="1" customWidth="1"/>
    <col min="4898" max="4898" width="3" style="413" customWidth="1"/>
    <col min="4899" max="4901" width="0" style="413" hidden="1" customWidth="1"/>
    <col min="4902" max="4903" width="9.140625" style="413"/>
    <col min="4904" max="4904" width="2.7109375" style="413" customWidth="1"/>
    <col min="4905" max="4906" width="0" style="413" hidden="1" customWidth="1"/>
    <col min="4907" max="4907" width="9.140625" style="413"/>
    <col min="4908" max="4908" width="7.140625" style="413" customWidth="1"/>
    <col min="4909" max="4915" width="0" style="413" hidden="1" customWidth="1"/>
    <col min="4916" max="5120" width="9.140625" style="413"/>
    <col min="5121" max="5121" width="5.28515625" style="413" customWidth="1"/>
    <col min="5122" max="5127" width="3.28515625" style="413" customWidth="1"/>
    <col min="5128" max="5128" width="5.140625" style="413" customWidth="1"/>
    <col min="5129" max="5132" width="3.28515625" style="413" customWidth="1"/>
    <col min="5133" max="5133" width="4.28515625" style="413" customWidth="1"/>
    <col min="5134" max="5135" width="3.28515625" style="413" customWidth="1"/>
    <col min="5136" max="5136" width="4.42578125" style="413" customWidth="1"/>
    <col min="5137" max="5139" width="3.28515625" style="413" customWidth="1"/>
    <col min="5140" max="5140" width="6.28515625" style="413" customWidth="1"/>
    <col min="5141" max="5143" width="0" style="413" hidden="1" customWidth="1"/>
    <col min="5144" max="5145" width="9.140625" style="413"/>
    <col min="5146" max="5146" width="1" style="413" customWidth="1"/>
    <col min="5147" max="5148" width="0" style="413" hidden="1" customWidth="1"/>
    <col min="5149" max="5149" width="9.140625" style="413"/>
    <col min="5150" max="5150" width="2.85546875" style="413" customWidth="1"/>
    <col min="5151" max="5153" width="0" style="413" hidden="1" customWidth="1"/>
    <col min="5154" max="5154" width="3" style="413" customWidth="1"/>
    <col min="5155" max="5157" width="0" style="413" hidden="1" customWidth="1"/>
    <col min="5158" max="5159" width="9.140625" style="413"/>
    <col min="5160" max="5160" width="2.7109375" style="413" customWidth="1"/>
    <col min="5161" max="5162" width="0" style="413" hidden="1" customWidth="1"/>
    <col min="5163" max="5163" width="9.140625" style="413"/>
    <col min="5164" max="5164" width="7.140625" style="413" customWidth="1"/>
    <col min="5165" max="5171" width="0" style="413" hidden="1" customWidth="1"/>
    <col min="5172" max="5376" width="9.140625" style="413"/>
    <col min="5377" max="5377" width="5.28515625" style="413" customWidth="1"/>
    <col min="5378" max="5383" width="3.28515625" style="413" customWidth="1"/>
    <col min="5384" max="5384" width="5.140625" style="413" customWidth="1"/>
    <col min="5385" max="5388" width="3.28515625" style="413" customWidth="1"/>
    <col min="5389" max="5389" width="4.28515625" style="413" customWidth="1"/>
    <col min="5390" max="5391" width="3.28515625" style="413" customWidth="1"/>
    <col min="5392" max="5392" width="4.42578125" style="413" customWidth="1"/>
    <col min="5393" max="5395" width="3.28515625" style="413" customWidth="1"/>
    <col min="5396" max="5396" width="6.28515625" style="413" customWidth="1"/>
    <col min="5397" max="5399" width="0" style="413" hidden="1" customWidth="1"/>
    <col min="5400" max="5401" width="9.140625" style="413"/>
    <col min="5402" max="5402" width="1" style="413" customWidth="1"/>
    <col min="5403" max="5404" width="0" style="413" hidden="1" customWidth="1"/>
    <col min="5405" max="5405" width="9.140625" style="413"/>
    <col min="5406" max="5406" width="2.85546875" style="413" customWidth="1"/>
    <col min="5407" max="5409" width="0" style="413" hidden="1" customWidth="1"/>
    <col min="5410" max="5410" width="3" style="413" customWidth="1"/>
    <col min="5411" max="5413" width="0" style="413" hidden="1" customWidth="1"/>
    <col min="5414" max="5415" width="9.140625" style="413"/>
    <col min="5416" max="5416" width="2.7109375" style="413" customWidth="1"/>
    <col min="5417" max="5418" width="0" style="413" hidden="1" customWidth="1"/>
    <col min="5419" max="5419" width="9.140625" style="413"/>
    <col min="5420" max="5420" width="7.140625" style="413" customWidth="1"/>
    <col min="5421" max="5427" width="0" style="413" hidden="1" customWidth="1"/>
    <col min="5428" max="5632" width="9.140625" style="413"/>
    <col min="5633" max="5633" width="5.28515625" style="413" customWidth="1"/>
    <col min="5634" max="5639" width="3.28515625" style="413" customWidth="1"/>
    <col min="5640" max="5640" width="5.140625" style="413" customWidth="1"/>
    <col min="5641" max="5644" width="3.28515625" style="413" customWidth="1"/>
    <col min="5645" max="5645" width="4.28515625" style="413" customWidth="1"/>
    <col min="5646" max="5647" width="3.28515625" style="413" customWidth="1"/>
    <col min="5648" max="5648" width="4.42578125" style="413" customWidth="1"/>
    <col min="5649" max="5651" width="3.28515625" style="413" customWidth="1"/>
    <col min="5652" max="5652" width="6.28515625" style="413" customWidth="1"/>
    <col min="5653" max="5655" width="0" style="413" hidden="1" customWidth="1"/>
    <col min="5656" max="5657" width="9.140625" style="413"/>
    <col min="5658" max="5658" width="1" style="413" customWidth="1"/>
    <col min="5659" max="5660" width="0" style="413" hidden="1" customWidth="1"/>
    <col min="5661" max="5661" width="9.140625" style="413"/>
    <col min="5662" max="5662" width="2.85546875" style="413" customWidth="1"/>
    <col min="5663" max="5665" width="0" style="413" hidden="1" customWidth="1"/>
    <col min="5666" max="5666" width="3" style="413" customWidth="1"/>
    <col min="5667" max="5669" width="0" style="413" hidden="1" customWidth="1"/>
    <col min="5670" max="5671" width="9.140625" style="413"/>
    <col min="5672" max="5672" width="2.7109375" style="413" customWidth="1"/>
    <col min="5673" max="5674" width="0" style="413" hidden="1" customWidth="1"/>
    <col min="5675" max="5675" width="9.140625" style="413"/>
    <col min="5676" max="5676" width="7.140625" style="413" customWidth="1"/>
    <col min="5677" max="5683" width="0" style="413" hidden="1" customWidth="1"/>
    <col min="5684" max="5888" width="9.140625" style="413"/>
    <col min="5889" max="5889" width="5.28515625" style="413" customWidth="1"/>
    <col min="5890" max="5895" width="3.28515625" style="413" customWidth="1"/>
    <col min="5896" max="5896" width="5.140625" style="413" customWidth="1"/>
    <col min="5897" max="5900" width="3.28515625" style="413" customWidth="1"/>
    <col min="5901" max="5901" width="4.28515625" style="413" customWidth="1"/>
    <col min="5902" max="5903" width="3.28515625" style="413" customWidth="1"/>
    <col min="5904" max="5904" width="4.42578125" style="413" customWidth="1"/>
    <col min="5905" max="5907" width="3.28515625" style="413" customWidth="1"/>
    <col min="5908" max="5908" width="6.28515625" style="413" customWidth="1"/>
    <col min="5909" max="5911" width="0" style="413" hidden="1" customWidth="1"/>
    <col min="5912" max="5913" width="9.140625" style="413"/>
    <col min="5914" max="5914" width="1" style="413" customWidth="1"/>
    <col min="5915" max="5916" width="0" style="413" hidden="1" customWidth="1"/>
    <col min="5917" max="5917" width="9.140625" style="413"/>
    <col min="5918" max="5918" width="2.85546875" style="413" customWidth="1"/>
    <col min="5919" max="5921" width="0" style="413" hidden="1" customWidth="1"/>
    <col min="5922" max="5922" width="3" style="413" customWidth="1"/>
    <col min="5923" max="5925" width="0" style="413" hidden="1" customWidth="1"/>
    <col min="5926" max="5927" width="9.140625" style="413"/>
    <col min="5928" max="5928" width="2.7109375" style="413" customWidth="1"/>
    <col min="5929" max="5930" width="0" style="413" hidden="1" customWidth="1"/>
    <col min="5931" max="5931" width="9.140625" style="413"/>
    <col min="5932" max="5932" width="7.140625" style="413" customWidth="1"/>
    <col min="5933" max="5939" width="0" style="413" hidden="1" customWidth="1"/>
    <col min="5940" max="6144" width="9.140625" style="413"/>
    <col min="6145" max="6145" width="5.28515625" style="413" customWidth="1"/>
    <col min="6146" max="6151" width="3.28515625" style="413" customWidth="1"/>
    <col min="6152" max="6152" width="5.140625" style="413" customWidth="1"/>
    <col min="6153" max="6156" width="3.28515625" style="413" customWidth="1"/>
    <col min="6157" max="6157" width="4.28515625" style="413" customWidth="1"/>
    <col min="6158" max="6159" width="3.28515625" style="413" customWidth="1"/>
    <col min="6160" max="6160" width="4.42578125" style="413" customWidth="1"/>
    <col min="6161" max="6163" width="3.28515625" style="413" customWidth="1"/>
    <col min="6164" max="6164" width="6.28515625" style="413" customWidth="1"/>
    <col min="6165" max="6167" width="0" style="413" hidden="1" customWidth="1"/>
    <col min="6168" max="6169" width="9.140625" style="413"/>
    <col min="6170" max="6170" width="1" style="413" customWidth="1"/>
    <col min="6171" max="6172" width="0" style="413" hidden="1" customWidth="1"/>
    <col min="6173" max="6173" width="9.140625" style="413"/>
    <col min="6174" max="6174" width="2.85546875" style="413" customWidth="1"/>
    <col min="6175" max="6177" width="0" style="413" hidden="1" customWidth="1"/>
    <col min="6178" max="6178" width="3" style="413" customWidth="1"/>
    <col min="6179" max="6181" width="0" style="413" hidden="1" customWidth="1"/>
    <col min="6182" max="6183" width="9.140625" style="413"/>
    <col min="6184" max="6184" width="2.7109375" style="413" customWidth="1"/>
    <col min="6185" max="6186" width="0" style="413" hidden="1" customWidth="1"/>
    <col min="6187" max="6187" width="9.140625" style="413"/>
    <col min="6188" max="6188" width="7.140625" style="413" customWidth="1"/>
    <col min="6189" max="6195" width="0" style="413" hidden="1" customWidth="1"/>
    <col min="6196" max="6400" width="9.140625" style="413"/>
    <col min="6401" max="6401" width="5.28515625" style="413" customWidth="1"/>
    <col min="6402" max="6407" width="3.28515625" style="413" customWidth="1"/>
    <col min="6408" max="6408" width="5.140625" style="413" customWidth="1"/>
    <col min="6409" max="6412" width="3.28515625" style="413" customWidth="1"/>
    <col min="6413" max="6413" width="4.28515625" style="413" customWidth="1"/>
    <col min="6414" max="6415" width="3.28515625" style="413" customWidth="1"/>
    <col min="6416" max="6416" width="4.42578125" style="413" customWidth="1"/>
    <col min="6417" max="6419" width="3.28515625" style="413" customWidth="1"/>
    <col min="6420" max="6420" width="6.28515625" style="413" customWidth="1"/>
    <col min="6421" max="6423" width="0" style="413" hidden="1" customWidth="1"/>
    <col min="6424" max="6425" width="9.140625" style="413"/>
    <col min="6426" max="6426" width="1" style="413" customWidth="1"/>
    <col min="6427" max="6428" width="0" style="413" hidden="1" customWidth="1"/>
    <col min="6429" max="6429" width="9.140625" style="413"/>
    <col min="6430" max="6430" width="2.85546875" style="413" customWidth="1"/>
    <col min="6431" max="6433" width="0" style="413" hidden="1" customWidth="1"/>
    <col min="6434" max="6434" width="3" style="413" customWidth="1"/>
    <col min="6435" max="6437" width="0" style="413" hidden="1" customWidth="1"/>
    <col min="6438" max="6439" width="9.140625" style="413"/>
    <col min="6440" max="6440" width="2.7109375" style="413" customWidth="1"/>
    <col min="6441" max="6442" width="0" style="413" hidden="1" customWidth="1"/>
    <col min="6443" max="6443" width="9.140625" style="413"/>
    <col min="6444" max="6444" width="7.140625" style="413" customWidth="1"/>
    <col min="6445" max="6451" width="0" style="413" hidden="1" customWidth="1"/>
    <col min="6452" max="6656" width="9.140625" style="413"/>
    <col min="6657" max="6657" width="5.28515625" style="413" customWidth="1"/>
    <col min="6658" max="6663" width="3.28515625" style="413" customWidth="1"/>
    <col min="6664" max="6664" width="5.140625" style="413" customWidth="1"/>
    <col min="6665" max="6668" width="3.28515625" style="413" customWidth="1"/>
    <col min="6669" max="6669" width="4.28515625" style="413" customWidth="1"/>
    <col min="6670" max="6671" width="3.28515625" style="413" customWidth="1"/>
    <col min="6672" max="6672" width="4.42578125" style="413" customWidth="1"/>
    <col min="6673" max="6675" width="3.28515625" style="413" customWidth="1"/>
    <col min="6676" max="6676" width="6.28515625" style="413" customWidth="1"/>
    <col min="6677" max="6679" width="0" style="413" hidden="1" customWidth="1"/>
    <col min="6680" max="6681" width="9.140625" style="413"/>
    <col min="6682" max="6682" width="1" style="413" customWidth="1"/>
    <col min="6683" max="6684" width="0" style="413" hidden="1" customWidth="1"/>
    <col min="6685" max="6685" width="9.140625" style="413"/>
    <col min="6686" max="6686" width="2.85546875" style="413" customWidth="1"/>
    <col min="6687" max="6689" width="0" style="413" hidden="1" customWidth="1"/>
    <col min="6690" max="6690" width="3" style="413" customWidth="1"/>
    <col min="6691" max="6693" width="0" style="413" hidden="1" customWidth="1"/>
    <col min="6694" max="6695" width="9.140625" style="413"/>
    <col min="6696" max="6696" width="2.7109375" style="413" customWidth="1"/>
    <col min="6697" max="6698" width="0" style="413" hidden="1" customWidth="1"/>
    <col min="6699" max="6699" width="9.140625" style="413"/>
    <col min="6700" max="6700" width="7.140625" style="413" customWidth="1"/>
    <col min="6701" max="6707" width="0" style="413" hidden="1" customWidth="1"/>
    <col min="6708" max="6912" width="9.140625" style="413"/>
    <col min="6913" max="6913" width="5.28515625" style="413" customWidth="1"/>
    <col min="6914" max="6919" width="3.28515625" style="413" customWidth="1"/>
    <col min="6920" max="6920" width="5.140625" style="413" customWidth="1"/>
    <col min="6921" max="6924" width="3.28515625" style="413" customWidth="1"/>
    <col min="6925" max="6925" width="4.28515625" style="413" customWidth="1"/>
    <col min="6926" max="6927" width="3.28515625" style="413" customWidth="1"/>
    <col min="6928" max="6928" width="4.42578125" style="413" customWidth="1"/>
    <col min="6929" max="6931" width="3.28515625" style="413" customWidth="1"/>
    <col min="6932" max="6932" width="6.28515625" style="413" customWidth="1"/>
    <col min="6933" max="6935" width="0" style="413" hidden="1" customWidth="1"/>
    <col min="6936" max="6937" width="9.140625" style="413"/>
    <col min="6938" max="6938" width="1" style="413" customWidth="1"/>
    <col min="6939" max="6940" width="0" style="413" hidden="1" customWidth="1"/>
    <col min="6941" max="6941" width="9.140625" style="413"/>
    <col min="6942" max="6942" width="2.85546875" style="413" customWidth="1"/>
    <col min="6943" max="6945" width="0" style="413" hidden="1" customWidth="1"/>
    <col min="6946" max="6946" width="3" style="413" customWidth="1"/>
    <col min="6947" max="6949" width="0" style="413" hidden="1" customWidth="1"/>
    <col min="6950" max="6951" width="9.140625" style="413"/>
    <col min="6952" max="6952" width="2.7109375" style="413" customWidth="1"/>
    <col min="6953" max="6954" width="0" style="413" hidden="1" customWidth="1"/>
    <col min="6955" max="6955" width="9.140625" style="413"/>
    <col min="6956" max="6956" width="7.140625" style="413" customWidth="1"/>
    <col min="6957" max="6963" width="0" style="413" hidden="1" customWidth="1"/>
    <col min="6964" max="7168" width="9.140625" style="413"/>
    <col min="7169" max="7169" width="5.28515625" style="413" customWidth="1"/>
    <col min="7170" max="7175" width="3.28515625" style="413" customWidth="1"/>
    <col min="7176" max="7176" width="5.140625" style="413" customWidth="1"/>
    <col min="7177" max="7180" width="3.28515625" style="413" customWidth="1"/>
    <col min="7181" max="7181" width="4.28515625" style="413" customWidth="1"/>
    <col min="7182" max="7183" width="3.28515625" style="413" customWidth="1"/>
    <col min="7184" max="7184" width="4.42578125" style="413" customWidth="1"/>
    <col min="7185" max="7187" width="3.28515625" style="413" customWidth="1"/>
    <col min="7188" max="7188" width="6.28515625" style="413" customWidth="1"/>
    <col min="7189" max="7191" width="0" style="413" hidden="1" customWidth="1"/>
    <col min="7192" max="7193" width="9.140625" style="413"/>
    <col min="7194" max="7194" width="1" style="413" customWidth="1"/>
    <col min="7195" max="7196" width="0" style="413" hidden="1" customWidth="1"/>
    <col min="7197" max="7197" width="9.140625" style="413"/>
    <col min="7198" max="7198" width="2.85546875" style="413" customWidth="1"/>
    <col min="7199" max="7201" width="0" style="413" hidden="1" customWidth="1"/>
    <col min="7202" max="7202" width="3" style="413" customWidth="1"/>
    <col min="7203" max="7205" width="0" style="413" hidden="1" customWidth="1"/>
    <col min="7206" max="7207" width="9.140625" style="413"/>
    <col min="7208" max="7208" width="2.7109375" style="413" customWidth="1"/>
    <col min="7209" max="7210" width="0" style="413" hidden="1" customWidth="1"/>
    <col min="7211" max="7211" width="9.140625" style="413"/>
    <col min="7212" max="7212" width="7.140625" style="413" customWidth="1"/>
    <col min="7213" max="7219" width="0" style="413" hidden="1" customWidth="1"/>
    <col min="7220" max="7424" width="9.140625" style="413"/>
    <col min="7425" max="7425" width="5.28515625" style="413" customWidth="1"/>
    <col min="7426" max="7431" width="3.28515625" style="413" customWidth="1"/>
    <col min="7432" max="7432" width="5.140625" style="413" customWidth="1"/>
    <col min="7433" max="7436" width="3.28515625" style="413" customWidth="1"/>
    <col min="7437" max="7437" width="4.28515625" style="413" customWidth="1"/>
    <col min="7438" max="7439" width="3.28515625" style="413" customWidth="1"/>
    <col min="7440" max="7440" width="4.42578125" style="413" customWidth="1"/>
    <col min="7441" max="7443" width="3.28515625" style="413" customWidth="1"/>
    <col min="7444" max="7444" width="6.28515625" style="413" customWidth="1"/>
    <col min="7445" max="7447" width="0" style="413" hidden="1" customWidth="1"/>
    <col min="7448" max="7449" width="9.140625" style="413"/>
    <col min="7450" max="7450" width="1" style="413" customWidth="1"/>
    <col min="7451" max="7452" width="0" style="413" hidden="1" customWidth="1"/>
    <col min="7453" max="7453" width="9.140625" style="413"/>
    <col min="7454" max="7454" width="2.85546875" style="413" customWidth="1"/>
    <col min="7455" max="7457" width="0" style="413" hidden="1" customWidth="1"/>
    <col min="7458" max="7458" width="3" style="413" customWidth="1"/>
    <col min="7459" max="7461" width="0" style="413" hidden="1" customWidth="1"/>
    <col min="7462" max="7463" width="9.140625" style="413"/>
    <col min="7464" max="7464" width="2.7109375" style="413" customWidth="1"/>
    <col min="7465" max="7466" width="0" style="413" hidden="1" customWidth="1"/>
    <col min="7467" max="7467" width="9.140625" style="413"/>
    <col min="7468" max="7468" width="7.140625" style="413" customWidth="1"/>
    <col min="7469" max="7475" width="0" style="413" hidden="1" customWidth="1"/>
    <col min="7476" max="7680" width="9.140625" style="413"/>
    <col min="7681" max="7681" width="5.28515625" style="413" customWidth="1"/>
    <col min="7682" max="7687" width="3.28515625" style="413" customWidth="1"/>
    <col min="7688" max="7688" width="5.140625" style="413" customWidth="1"/>
    <col min="7689" max="7692" width="3.28515625" style="413" customWidth="1"/>
    <col min="7693" max="7693" width="4.28515625" style="413" customWidth="1"/>
    <col min="7694" max="7695" width="3.28515625" style="413" customWidth="1"/>
    <col min="7696" max="7696" width="4.42578125" style="413" customWidth="1"/>
    <col min="7697" max="7699" width="3.28515625" style="413" customWidth="1"/>
    <col min="7700" max="7700" width="6.28515625" style="413" customWidth="1"/>
    <col min="7701" max="7703" width="0" style="413" hidden="1" customWidth="1"/>
    <col min="7704" max="7705" width="9.140625" style="413"/>
    <col min="7706" max="7706" width="1" style="413" customWidth="1"/>
    <col min="7707" max="7708" width="0" style="413" hidden="1" customWidth="1"/>
    <col min="7709" max="7709" width="9.140625" style="413"/>
    <col min="7710" max="7710" width="2.85546875" style="413" customWidth="1"/>
    <col min="7711" max="7713" width="0" style="413" hidden="1" customWidth="1"/>
    <col min="7714" max="7714" width="3" style="413" customWidth="1"/>
    <col min="7715" max="7717" width="0" style="413" hidden="1" customWidth="1"/>
    <col min="7718" max="7719" width="9.140625" style="413"/>
    <col min="7720" max="7720" width="2.7109375" style="413" customWidth="1"/>
    <col min="7721" max="7722" width="0" style="413" hidden="1" customWidth="1"/>
    <col min="7723" max="7723" width="9.140625" style="413"/>
    <col min="7724" max="7724" width="7.140625" style="413" customWidth="1"/>
    <col min="7725" max="7731" width="0" style="413" hidden="1" customWidth="1"/>
    <col min="7732" max="7936" width="9.140625" style="413"/>
    <col min="7937" max="7937" width="5.28515625" style="413" customWidth="1"/>
    <col min="7938" max="7943" width="3.28515625" style="413" customWidth="1"/>
    <col min="7944" max="7944" width="5.140625" style="413" customWidth="1"/>
    <col min="7945" max="7948" width="3.28515625" style="413" customWidth="1"/>
    <col min="7949" max="7949" width="4.28515625" style="413" customWidth="1"/>
    <col min="7950" max="7951" width="3.28515625" style="413" customWidth="1"/>
    <col min="7952" max="7952" width="4.42578125" style="413" customWidth="1"/>
    <col min="7953" max="7955" width="3.28515625" style="413" customWidth="1"/>
    <col min="7956" max="7956" width="6.28515625" style="413" customWidth="1"/>
    <col min="7957" max="7959" width="0" style="413" hidden="1" customWidth="1"/>
    <col min="7960" max="7961" width="9.140625" style="413"/>
    <col min="7962" max="7962" width="1" style="413" customWidth="1"/>
    <col min="7963" max="7964" width="0" style="413" hidden="1" customWidth="1"/>
    <col min="7965" max="7965" width="9.140625" style="413"/>
    <col min="7966" max="7966" width="2.85546875" style="413" customWidth="1"/>
    <col min="7967" max="7969" width="0" style="413" hidden="1" customWidth="1"/>
    <col min="7970" max="7970" width="3" style="413" customWidth="1"/>
    <col min="7971" max="7973" width="0" style="413" hidden="1" customWidth="1"/>
    <col min="7974" max="7975" width="9.140625" style="413"/>
    <col min="7976" max="7976" width="2.7109375" style="413" customWidth="1"/>
    <col min="7977" max="7978" width="0" style="413" hidden="1" customWidth="1"/>
    <col min="7979" max="7979" width="9.140625" style="413"/>
    <col min="7980" max="7980" width="7.140625" style="413" customWidth="1"/>
    <col min="7981" max="7987" width="0" style="413" hidden="1" customWidth="1"/>
    <col min="7988" max="8192" width="9.140625" style="413"/>
    <col min="8193" max="8193" width="5.28515625" style="413" customWidth="1"/>
    <col min="8194" max="8199" width="3.28515625" style="413" customWidth="1"/>
    <col min="8200" max="8200" width="5.140625" style="413" customWidth="1"/>
    <col min="8201" max="8204" width="3.28515625" style="413" customWidth="1"/>
    <col min="8205" max="8205" width="4.28515625" style="413" customWidth="1"/>
    <col min="8206" max="8207" width="3.28515625" style="413" customWidth="1"/>
    <col min="8208" max="8208" width="4.42578125" style="413" customWidth="1"/>
    <col min="8209" max="8211" width="3.28515625" style="413" customWidth="1"/>
    <col min="8212" max="8212" width="6.28515625" style="413" customWidth="1"/>
    <col min="8213" max="8215" width="0" style="413" hidden="1" customWidth="1"/>
    <col min="8216" max="8217" width="9.140625" style="413"/>
    <col min="8218" max="8218" width="1" style="413" customWidth="1"/>
    <col min="8219" max="8220" width="0" style="413" hidden="1" customWidth="1"/>
    <col min="8221" max="8221" width="9.140625" style="413"/>
    <col min="8222" max="8222" width="2.85546875" style="413" customWidth="1"/>
    <col min="8223" max="8225" width="0" style="413" hidden="1" customWidth="1"/>
    <col min="8226" max="8226" width="3" style="413" customWidth="1"/>
    <col min="8227" max="8229" width="0" style="413" hidden="1" customWidth="1"/>
    <col min="8230" max="8231" width="9.140625" style="413"/>
    <col min="8232" max="8232" width="2.7109375" style="413" customWidth="1"/>
    <col min="8233" max="8234" width="0" style="413" hidden="1" customWidth="1"/>
    <col min="8235" max="8235" width="9.140625" style="413"/>
    <col min="8236" max="8236" width="7.140625" style="413" customWidth="1"/>
    <col min="8237" max="8243" width="0" style="413" hidden="1" customWidth="1"/>
    <col min="8244" max="8448" width="9.140625" style="413"/>
    <col min="8449" max="8449" width="5.28515625" style="413" customWidth="1"/>
    <col min="8450" max="8455" width="3.28515625" style="413" customWidth="1"/>
    <col min="8456" max="8456" width="5.140625" style="413" customWidth="1"/>
    <col min="8457" max="8460" width="3.28515625" style="413" customWidth="1"/>
    <col min="8461" max="8461" width="4.28515625" style="413" customWidth="1"/>
    <col min="8462" max="8463" width="3.28515625" style="413" customWidth="1"/>
    <col min="8464" max="8464" width="4.42578125" style="413" customWidth="1"/>
    <col min="8465" max="8467" width="3.28515625" style="413" customWidth="1"/>
    <col min="8468" max="8468" width="6.28515625" style="413" customWidth="1"/>
    <col min="8469" max="8471" width="0" style="413" hidden="1" customWidth="1"/>
    <col min="8472" max="8473" width="9.140625" style="413"/>
    <col min="8474" max="8474" width="1" style="413" customWidth="1"/>
    <col min="8475" max="8476" width="0" style="413" hidden="1" customWidth="1"/>
    <col min="8477" max="8477" width="9.140625" style="413"/>
    <col min="8478" max="8478" width="2.85546875" style="413" customWidth="1"/>
    <col min="8479" max="8481" width="0" style="413" hidden="1" customWidth="1"/>
    <col min="8482" max="8482" width="3" style="413" customWidth="1"/>
    <col min="8483" max="8485" width="0" style="413" hidden="1" customWidth="1"/>
    <col min="8486" max="8487" width="9.140625" style="413"/>
    <col min="8488" max="8488" width="2.7109375" style="413" customWidth="1"/>
    <col min="8489" max="8490" width="0" style="413" hidden="1" customWidth="1"/>
    <col min="8491" max="8491" width="9.140625" style="413"/>
    <col min="8492" max="8492" width="7.140625" style="413" customWidth="1"/>
    <col min="8493" max="8499" width="0" style="413" hidden="1" customWidth="1"/>
    <col min="8500" max="8704" width="9.140625" style="413"/>
    <col min="8705" max="8705" width="5.28515625" style="413" customWidth="1"/>
    <col min="8706" max="8711" width="3.28515625" style="413" customWidth="1"/>
    <col min="8712" max="8712" width="5.140625" style="413" customWidth="1"/>
    <col min="8713" max="8716" width="3.28515625" style="413" customWidth="1"/>
    <col min="8717" max="8717" width="4.28515625" style="413" customWidth="1"/>
    <col min="8718" max="8719" width="3.28515625" style="413" customWidth="1"/>
    <col min="8720" max="8720" width="4.42578125" style="413" customWidth="1"/>
    <col min="8721" max="8723" width="3.28515625" style="413" customWidth="1"/>
    <col min="8724" max="8724" width="6.28515625" style="413" customWidth="1"/>
    <col min="8725" max="8727" width="0" style="413" hidden="1" customWidth="1"/>
    <col min="8728" max="8729" width="9.140625" style="413"/>
    <col min="8730" max="8730" width="1" style="413" customWidth="1"/>
    <col min="8731" max="8732" width="0" style="413" hidden="1" customWidth="1"/>
    <col min="8733" max="8733" width="9.140625" style="413"/>
    <col min="8734" max="8734" width="2.85546875" style="413" customWidth="1"/>
    <col min="8735" max="8737" width="0" style="413" hidden="1" customWidth="1"/>
    <col min="8738" max="8738" width="3" style="413" customWidth="1"/>
    <col min="8739" max="8741" width="0" style="413" hidden="1" customWidth="1"/>
    <col min="8742" max="8743" width="9.140625" style="413"/>
    <col min="8744" max="8744" width="2.7109375" style="413" customWidth="1"/>
    <col min="8745" max="8746" width="0" style="413" hidden="1" customWidth="1"/>
    <col min="8747" max="8747" width="9.140625" style="413"/>
    <col min="8748" max="8748" width="7.140625" style="413" customWidth="1"/>
    <col min="8749" max="8755" width="0" style="413" hidden="1" customWidth="1"/>
    <col min="8756" max="8960" width="9.140625" style="413"/>
    <col min="8961" max="8961" width="5.28515625" style="413" customWidth="1"/>
    <col min="8962" max="8967" width="3.28515625" style="413" customWidth="1"/>
    <col min="8968" max="8968" width="5.140625" style="413" customWidth="1"/>
    <col min="8969" max="8972" width="3.28515625" style="413" customWidth="1"/>
    <col min="8973" max="8973" width="4.28515625" style="413" customWidth="1"/>
    <col min="8974" max="8975" width="3.28515625" style="413" customWidth="1"/>
    <col min="8976" max="8976" width="4.42578125" style="413" customWidth="1"/>
    <col min="8977" max="8979" width="3.28515625" style="413" customWidth="1"/>
    <col min="8980" max="8980" width="6.28515625" style="413" customWidth="1"/>
    <col min="8981" max="8983" width="0" style="413" hidden="1" customWidth="1"/>
    <col min="8984" max="8985" width="9.140625" style="413"/>
    <col min="8986" max="8986" width="1" style="413" customWidth="1"/>
    <col min="8987" max="8988" width="0" style="413" hidden="1" customWidth="1"/>
    <col min="8989" max="8989" width="9.140625" style="413"/>
    <col min="8990" max="8990" width="2.85546875" style="413" customWidth="1"/>
    <col min="8991" max="8993" width="0" style="413" hidden="1" customWidth="1"/>
    <col min="8994" max="8994" width="3" style="413" customWidth="1"/>
    <col min="8995" max="8997" width="0" style="413" hidden="1" customWidth="1"/>
    <col min="8998" max="8999" width="9.140625" style="413"/>
    <col min="9000" max="9000" width="2.7109375" style="413" customWidth="1"/>
    <col min="9001" max="9002" width="0" style="413" hidden="1" customWidth="1"/>
    <col min="9003" max="9003" width="9.140625" style="413"/>
    <col min="9004" max="9004" width="7.140625" style="413" customWidth="1"/>
    <col min="9005" max="9011" width="0" style="413" hidden="1" customWidth="1"/>
    <col min="9012" max="9216" width="9.140625" style="413"/>
    <col min="9217" max="9217" width="5.28515625" style="413" customWidth="1"/>
    <col min="9218" max="9223" width="3.28515625" style="413" customWidth="1"/>
    <col min="9224" max="9224" width="5.140625" style="413" customWidth="1"/>
    <col min="9225" max="9228" width="3.28515625" style="413" customWidth="1"/>
    <col min="9229" max="9229" width="4.28515625" style="413" customWidth="1"/>
    <col min="9230" max="9231" width="3.28515625" style="413" customWidth="1"/>
    <col min="9232" max="9232" width="4.42578125" style="413" customWidth="1"/>
    <col min="9233" max="9235" width="3.28515625" style="413" customWidth="1"/>
    <col min="9236" max="9236" width="6.28515625" style="413" customWidth="1"/>
    <col min="9237" max="9239" width="0" style="413" hidden="1" customWidth="1"/>
    <col min="9240" max="9241" width="9.140625" style="413"/>
    <col min="9242" max="9242" width="1" style="413" customWidth="1"/>
    <col min="9243" max="9244" width="0" style="413" hidden="1" customWidth="1"/>
    <col min="9245" max="9245" width="9.140625" style="413"/>
    <col min="9246" max="9246" width="2.85546875" style="413" customWidth="1"/>
    <col min="9247" max="9249" width="0" style="413" hidden="1" customWidth="1"/>
    <col min="9250" max="9250" width="3" style="413" customWidth="1"/>
    <col min="9251" max="9253" width="0" style="413" hidden="1" customWidth="1"/>
    <col min="9254" max="9255" width="9.140625" style="413"/>
    <col min="9256" max="9256" width="2.7109375" style="413" customWidth="1"/>
    <col min="9257" max="9258" width="0" style="413" hidden="1" customWidth="1"/>
    <col min="9259" max="9259" width="9.140625" style="413"/>
    <col min="9260" max="9260" width="7.140625" style="413" customWidth="1"/>
    <col min="9261" max="9267" width="0" style="413" hidden="1" customWidth="1"/>
    <col min="9268" max="9472" width="9.140625" style="413"/>
    <col min="9473" max="9473" width="5.28515625" style="413" customWidth="1"/>
    <col min="9474" max="9479" width="3.28515625" style="413" customWidth="1"/>
    <col min="9480" max="9480" width="5.140625" style="413" customWidth="1"/>
    <col min="9481" max="9484" width="3.28515625" style="413" customWidth="1"/>
    <col min="9485" max="9485" width="4.28515625" style="413" customWidth="1"/>
    <col min="9486" max="9487" width="3.28515625" style="413" customWidth="1"/>
    <col min="9488" max="9488" width="4.42578125" style="413" customWidth="1"/>
    <col min="9489" max="9491" width="3.28515625" style="413" customWidth="1"/>
    <col min="9492" max="9492" width="6.28515625" style="413" customWidth="1"/>
    <col min="9493" max="9495" width="0" style="413" hidden="1" customWidth="1"/>
    <col min="9496" max="9497" width="9.140625" style="413"/>
    <col min="9498" max="9498" width="1" style="413" customWidth="1"/>
    <col min="9499" max="9500" width="0" style="413" hidden="1" customWidth="1"/>
    <col min="9501" max="9501" width="9.140625" style="413"/>
    <col min="9502" max="9502" width="2.85546875" style="413" customWidth="1"/>
    <col min="9503" max="9505" width="0" style="413" hidden="1" customWidth="1"/>
    <col min="9506" max="9506" width="3" style="413" customWidth="1"/>
    <col min="9507" max="9509" width="0" style="413" hidden="1" customWidth="1"/>
    <col min="9510" max="9511" width="9.140625" style="413"/>
    <col min="9512" max="9512" width="2.7109375" style="413" customWidth="1"/>
    <col min="9513" max="9514" width="0" style="413" hidden="1" customWidth="1"/>
    <col min="9515" max="9515" width="9.140625" style="413"/>
    <col min="9516" max="9516" width="7.140625" style="413" customWidth="1"/>
    <col min="9517" max="9523" width="0" style="413" hidden="1" customWidth="1"/>
    <col min="9524" max="9728" width="9.140625" style="413"/>
    <col min="9729" max="9729" width="5.28515625" style="413" customWidth="1"/>
    <col min="9730" max="9735" width="3.28515625" style="413" customWidth="1"/>
    <col min="9736" max="9736" width="5.140625" style="413" customWidth="1"/>
    <col min="9737" max="9740" width="3.28515625" style="413" customWidth="1"/>
    <col min="9741" max="9741" width="4.28515625" style="413" customWidth="1"/>
    <col min="9742" max="9743" width="3.28515625" style="413" customWidth="1"/>
    <col min="9744" max="9744" width="4.42578125" style="413" customWidth="1"/>
    <col min="9745" max="9747" width="3.28515625" style="413" customWidth="1"/>
    <col min="9748" max="9748" width="6.28515625" style="413" customWidth="1"/>
    <col min="9749" max="9751" width="0" style="413" hidden="1" customWidth="1"/>
    <col min="9752" max="9753" width="9.140625" style="413"/>
    <col min="9754" max="9754" width="1" style="413" customWidth="1"/>
    <col min="9755" max="9756" width="0" style="413" hidden="1" customWidth="1"/>
    <col min="9757" max="9757" width="9.140625" style="413"/>
    <col min="9758" max="9758" width="2.85546875" style="413" customWidth="1"/>
    <col min="9759" max="9761" width="0" style="413" hidden="1" customWidth="1"/>
    <col min="9762" max="9762" width="3" style="413" customWidth="1"/>
    <col min="9763" max="9765" width="0" style="413" hidden="1" customWidth="1"/>
    <col min="9766" max="9767" width="9.140625" style="413"/>
    <col min="9768" max="9768" width="2.7109375" style="413" customWidth="1"/>
    <col min="9769" max="9770" width="0" style="413" hidden="1" customWidth="1"/>
    <col min="9771" max="9771" width="9.140625" style="413"/>
    <col min="9772" max="9772" width="7.140625" style="413" customWidth="1"/>
    <col min="9773" max="9779" width="0" style="413" hidden="1" customWidth="1"/>
    <col min="9780" max="9984" width="9.140625" style="413"/>
    <col min="9985" max="9985" width="5.28515625" style="413" customWidth="1"/>
    <col min="9986" max="9991" width="3.28515625" style="413" customWidth="1"/>
    <col min="9992" max="9992" width="5.140625" style="413" customWidth="1"/>
    <col min="9993" max="9996" width="3.28515625" style="413" customWidth="1"/>
    <col min="9997" max="9997" width="4.28515625" style="413" customWidth="1"/>
    <col min="9998" max="9999" width="3.28515625" style="413" customWidth="1"/>
    <col min="10000" max="10000" width="4.42578125" style="413" customWidth="1"/>
    <col min="10001" max="10003" width="3.28515625" style="413" customWidth="1"/>
    <col min="10004" max="10004" width="6.28515625" style="413" customWidth="1"/>
    <col min="10005" max="10007" width="0" style="413" hidden="1" customWidth="1"/>
    <col min="10008" max="10009" width="9.140625" style="413"/>
    <col min="10010" max="10010" width="1" style="413" customWidth="1"/>
    <col min="10011" max="10012" width="0" style="413" hidden="1" customWidth="1"/>
    <col min="10013" max="10013" width="9.140625" style="413"/>
    <col min="10014" max="10014" width="2.85546875" style="413" customWidth="1"/>
    <col min="10015" max="10017" width="0" style="413" hidden="1" customWidth="1"/>
    <col min="10018" max="10018" width="3" style="413" customWidth="1"/>
    <col min="10019" max="10021" width="0" style="413" hidden="1" customWidth="1"/>
    <col min="10022" max="10023" width="9.140625" style="413"/>
    <col min="10024" max="10024" width="2.7109375" style="413" customWidth="1"/>
    <col min="10025" max="10026" width="0" style="413" hidden="1" customWidth="1"/>
    <col min="10027" max="10027" width="9.140625" style="413"/>
    <col min="10028" max="10028" width="7.140625" style="413" customWidth="1"/>
    <col min="10029" max="10035" width="0" style="413" hidden="1" customWidth="1"/>
    <col min="10036" max="10240" width="9.140625" style="413"/>
    <col min="10241" max="10241" width="5.28515625" style="413" customWidth="1"/>
    <col min="10242" max="10247" width="3.28515625" style="413" customWidth="1"/>
    <col min="10248" max="10248" width="5.140625" style="413" customWidth="1"/>
    <col min="10249" max="10252" width="3.28515625" style="413" customWidth="1"/>
    <col min="10253" max="10253" width="4.28515625" style="413" customWidth="1"/>
    <col min="10254" max="10255" width="3.28515625" style="413" customWidth="1"/>
    <col min="10256" max="10256" width="4.42578125" style="413" customWidth="1"/>
    <col min="10257" max="10259" width="3.28515625" style="413" customWidth="1"/>
    <col min="10260" max="10260" width="6.28515625" style="413" customWidth="1"/>
    <col min="10261" max="10263" width="0" style="413" hidden="1" customWidth="1"/>
    <col min="10264" max="10265" width="9.140625" style="413"/>
    <col min="10266" max="10266" width="1" style="413" customWidth="1"/>
    <col min="10267" max="10268" width="0" style="413" hidden="1" customWidth="1"/>
    <col min="10269" max="10269" width="9.140625" style="413"/>
    <col min="10270" max="10270" width="2.85546875" style="413" customWidth="1"/>
    <col min="10271" max="10273" width="0" style="413" hidden="1" customWidth="1"/>
    <col min="10274" max="10274" width="3" style="413" customWidth="1"/>
    <col min="10275" max="10277" width="0" style="413" hidden="1" customWidth="1"/>
    <col min="10278" max="10279" width="9.140625" style="413"/>
    <col min="10280" max="10280" width="2.7109375" style="413" customWidth="1"/>
    <col min="10281" max="10282" width="0" style="413" hidden="1" customWidth="1"/>
    <col min="10283" max="10283" width="9.140625" style="413"/>
    <col min="10284" max="10284" width="7.140625" style="413" customWidth="1"/>
    <col min="10285" max="10291" width="0" style="413" hidden="1" customWidth="1"/>
    <col min="10292" max="10496" width="9.140625" style="413"/>
    <col min="10497" max="10497" width="5.28515625" style="413" customWidth="1"/>
    <col min="10498" max="10503" width="3.28515625" style="413" customWidth="1"/>
    <col min="10504" max="10504" width="5.140625" style="413" customWidth="1"/>
    <col min="10505" max="10508" width="3.28515625" style="413" customWidth="1"/>
    <col min="10509" max="10509" width="4.28515625" style="413" customWidth="1"/>
    <col min="10510" max="10511" width="3.28515625" style="413" customWidth="1"/>
    <col min="10512" max="10512" width="4.42578125" style="413" customWidth="1"/>
    <col min="10513" max="10515" width="3.28515625" style="413" customWidth="1"/>
    <col min="10516" max="10516" width="6.28515625" style="413" customWidth="1"/>
    <col min="10517" max="10519" width="0" style="413" hidden="1" customWidth="1"/>
    <col min="10520" max="10521" width="9.140625" style="413"/>
    <col min="10522" max="10522" width="1" style="413" customWidth="1"/>
    <col min="10523" max="10524" width="0" style="413" hidden="1" customWidth="1"/>
    <col min="10525" max="10525" width="9.140625" style="413"/>
    <col min="10526" max="10526" width="2.85546875" style="413" customWidth="1"/>
    <col min="10527" max="10529" width="0" style="413" hidden="1" customWidth="1"/>
    <col min="10530" max="10530" width="3" style="413" customWidth="1"/>
    <col min="10531" max="10533" width="0" style="413" hidden="1" customWidth="1"/>
    <col min="10534" max="10535" width="9.140625" style="413"/>
    <col min="10536" max="10536" width="2.7109375" style="413" customWidth="1"/>
    <col min="10537" max="10538" width="0" style="413" hidden="1" customWidth="1"/>
    <col min="10539" max="10539" width="9.140625" style="413"/>
    <col min="10540" max="10540" width="7.140625" style="413" customWidth="1"/>
    <col min="10541" max="10547" width="0" style="413" hidden="1" customWidth="1"/>
    <col min="10548" max="10752" width="9.140625" style="413"/>
    <col min="10753" max="10753" width="5.28515625" style="413" customWidth="1"/>
    <col min="10754" max="10759" width="3.28515625" style="413" customWidth="1"/>
    <col min="10760" max="10760" width="5.140625" style="413" customWidth="1"/>
    <col min="10761" max="10764" width="3.28515625" style="413" customWidth="1"/>
    <col min="10765" max="10765" width="4.28515625" style="413" customWidth="1"/>
    <col min="10766" max="10767" width="3.28515625" style="413" customWidth="1"/>
    <col min="10768" max="10768" width="4.42578125" style="413" customWidth="1"/>
    <col min="10769" max="10771" width="3.28515625" style="413" customWidth="1"/>
    <col min="10772" max="10772" width="6.28515625" style="413" customWidth="1"/>
    <col min="10773" max="10775" width="0" style="413" hidden="1" customWidth="1"/>
    <col min="10776" max="10777" width="9.140625" style="413"/>
    <col min="10778" max="10778" width="1" style="413" customWidth="1"/>
    <col min="10779" max="10780" width="0" style="413" hidden="1" customWidth="1"/>
    <col min="10781" max="10781" width="9.140625" style="413"/>
    <col min="10782" max="10782" width="2.85546875" style="413" customWidth="1"/>
    <col min="10783" max="10785" width="0" style="413" hidden="1" customWidth="1"/>
    <col min="10786" max="10786" width="3" style="413" customWidth="1"/>
    <col min="10787" max="10789" width="0" style="413" hidden="1" customWidth="1"/>
    <col min="10790" max="10791" width="9.140625" style="413"/>
    <col min="10792" max="10792" width="2.7109375" style="413" customWidth="1"/>
    <col min="10793" max="10794" width="0" style="413" hidden="1" customWidth="1"/>
    <col min="10795" max="10795" width="9.140625" style="413"/>
    <col min="10796" max="10796" width="7.140625" style="413" customWidth="1"/>
    <col min="10797" max="10803" width="0" style="413" hidden="1" customWidth="1"/>
    <col min="10804" max="11008" width="9.140625" style="413"/>
    <col min="11009" max="11009" width="5.28515625" style="413" customWidth="1"/>
    <col min="11010" max="11015" width="3.28515625" style="413" customWidth="1"/>
    <col min="11016" max="11016" width="5.140625" style="413" customWidth="1"/>
    <col min="11017" max="11020" width="3.28515625" style="413" customWidth="1"/>
    <col min="11021" max="11021" width="4.28515625" style="413" customWidth="1"/>
    <col min="11022" max="11023" width="3.28515625" style="413" customWidth="1"/>
    <col min="11024" max="11024" width="4.42578125" style="413" customWidth="1"/>
    <col min="11025" max="11027" width="3.28515625" style="413" customWidth="1"/>
    <col min="11028" max="11028" width="6.28515625" style="413" customWidth="1"/>
    <col min="11029" max="11031" width="0" style="413" hidden="1" customWidth="1"/>
    <col min="11032" max="11033" width="9.140625" style="413"/>
    <col min="11034" max="11034" width="1" style="413" customWidth="1"/>
    <col min="11035" max="11036" width="0" style="413" hidden="1" customWidth="1"/>
    <col min="11037" max="11037" width="9.140625" style="413"/>
    <col min="11038" max="11038" width="2.85546875" style="413" customWidth="1"/>
    <col min="11039" max="11041" width="0" style="413" hidden="1" customWidth="1"/>
    <col min="11042" max="11042" width="3" style="413" customWidth="1"/>
    <col min="11043" max="11045" width="0" style="413" hidden="1" customWidth="1"/>
    <col min="11046" max="11047" width="9.140625" style="413"/>
    <col min="11048" max="11048" width="2.7109375" style="413" customWidth="1"/>
    <col min="11049" max="11050" width="0" style="413" hidden="1" customWidth="1"/>
    <col min="11051" max="11051" width="9.140625" style="413"/>
    <col min="11052" max="11052" width="7.140625" style="413" customWidth="1"/>
    <col min="11053" max="11059" width="0" style="413" hidden="1" customWidth="1"/>
    <col min="11060" max="11264" width="9.140625" style="413"/>
    <col min="11265" max="11265" width="5.28515625" style="413" customWidth="1"/>
    <col min="11266" max="11271" width="3.28515625" style="413" customWidth="1"/>
    <col min="11272" max="11272" width="5.140625" style="413" customWidth="1"/>
    <col min="11273" max="11276" width="3.28515625" style="413" customWidth="1"/>
    <col min="11277" max="11277" width="4.28515625" style="413" customWidth="1"/>
    <col min="11278" max="11279" width="3.28515625" style="413" customWidth="1"/>
    <col min="11280" max="11280" width="4.42578125" style="413" customWidth="1"/>
    <col min="11281" max="11283" width="3.28515625" style="413" customWidth="1"/>
    <col min="11284" max="11284" width="6.28515625" style="413" customWidth="1"/>
    <col min="11285" max="11287" width="0" style="413" hidden="1" customWidth="1"/>
    <col min="11288" max="11289" width="9.140625" style="413"/>
    <col min="11290" max="11290" width="1" style="413" customWidth="1"/>
    <col min="11291" max="11292" width="0" style="413" hidden="1" customWidth="1"/>
    <col min="11293" max="11293" width="9.140625" style="413"/>
    <col min="11294" max="11294" width="2.85546875" style="413" customWidth="1"/>
    <col min="11295" max="11297" width="0" style="413" hidden="1" customWidth="1"/>
    <col min="11298" max="11298" width="3" style="413" customWidth="1"/>
    <col min="11299" max="11301" width="0" style="413" hidden="1" customWidth="1"/>
    <col min="11302" max="11303" width="9.140625" style="413"/>
    <col min="11304" max="11304" width="2.7109375" style="413" customWidth="1"/>
    <col min="11305" max="11306" width="0" style="413" hidden="1" customWidth="1"/>
    <col min="11307" max="11307" width="9.140625" style="413"/>
    <col min="11308" max="11308" width="7.140625" style="413" customWidth="1"/>
    <col min="11309" max="11315" width="0" style="413" hidden="1" customWidth="1"/>
    <col min="11316" max="11520" width="9.140625" style="413"/>
    <col min="11521" max="11521" width="5.28515625" style="413" customWidth="1"/>
    <col min="11522" max="11527" width="3.28515625" style="413" customWidth="1"/>
    <col min="11528" max="11528" width="5.140625" style="413" customWidth="1"/>
    <col min="11529" max="11532" width="3.28515625" style="413" customWidth="1"/>
    <col min="11533" max="11533" width="4.28515625" style="413" customWidth="1"/>
    <col min="11534" max="11535" width="3.28515625" style="413" customWidth="1"/>
    <col min="11536" max="11536" width="4.42578125" style="413" customWidth="1"/>
    <col min="11537" max="11539" width="3.28515625" style="413" customWidth="1"/>
    <col min="11540" max="11540" width="6.28515625" style="413" customWidth="1"/>
    <col min="11541" max="11543" width="0" style="413" hidden="1" customWidth="1"/>
    <col min="11544" max="11545" width="9.140625" style="413"/>
    <col min="11546" max="11546" width="1" style="413" customWidth="1"/>
    <col min="11547" max="11548" width="0" style="413" hidden="1" customWidth="1"/>
    <col min="11549" max="11549" width="9.140625" style="413"/>
    <col min="11550" max="11550" width="2.85546875" style="413" customWidth="1"/>
    <col min="11551" max="11553" width="0" style="413" hidden="1" customWidth="1"/>
    <col min="11554" max="11554" width="3" style="413" customWidth="1"/>
    <col min="11555" max="11557" width="0" style="413" hidden="1" customWidth="1"/>
    <col min="11558" max="11559" width="9.140625" style="413"/>
    <col min="11560" max="11560" width="2.7109375" style="413" customWidth="1"/>
    <col min="11561" max="11562" width="0" style="413" hidden="1" customWidth="1"/>
    <col min="11563" max="11563" width="9.140625" style="413"/>
    <col min="11564" max="11564" width="7.140625" style="413" customWidth="1"/>
    <col min="11565" max="11571" width="0" style="413" hidden="1" customWidth="1"/>
    <col min="11572" max="11776" width="9.140625" style="413"/>
    <col min="11777" max="11777" width="5.28515625" style="413" customWidth="1"/>
    <col min="11778" max="11783" width="3.28515625" style="413" customWidth="1"/>
    <col min="11784" max="11784" width="5.140625" style="413" customWidth="1"/>
    <col min="11785" max="11788" width="3.28515625" style="413" customWidth="1"/>
    <col min="11789" max="11789" width="4.28515625" style="413" customWidth="1"/>
    <col min="11790" max="11791" width="3.28515625" style="413" customWidth="1"/>
    <col min="11792" max="11792" width="4.42578125" style="413" customWidth="1"/>
    <col min="11793" max="11795" width="3.28515625" style="413" customWidth="1"/>
    <col min="11796" max="11796" width="6.28515625" style="413" customWidth="1"/>
    <col min="11797" max="11799" width="0" style="413" hidden="1" customWidth="1"/>
    <col min="11800" max="11801" width="9.140625" style="413"/>
    <col min="11802" max="11802" width="1" style="413" customWidth="1"/>
    <col min="11803" max="11804" width="0" style="413" hidden="1" customWidth="1"/>
    <col min="11805" max="11805" width="9.140625" style="413"/>
    <col min="11806" max="11806" width="2.85546875" style="413" customWidth="1"/>
    <col min="11807" max="11809" width="0" style="413" hidden="1" customWidth="1"/>
    <col min="11810" max="11810" width="3" style="413" customWidth="1"/>
    <col min="11811" max="11813" width="0" style="413" hidden="1" customWidth="1"/>
    <col min="11814" max="11815" width="9.140625" style="413"/>
    <col min="11816" max="11816" width="2.7109375" style="413" customWidth="1"/>
    <col min="11817" max="11818" width="0" style="413" hidden="1" customWidth="1"/>
    <col min="11819" max="11819" width="9.140625" style="413"/>
    <col min="11820" max="11820" width="7.140625" style="413" customWidth="1"/>
    <col min="11821" max="11827" width="0" style="413" hidden="1" customWidth="1"/>
    <col min="11828" max="12032" width="9.140625" style="413"/>
    <col min="12033" max="12033" width="5.28515625" style="413" customWidth="1"/>
    <col min="12034" max="12039" width="3.28515625" style="413" customWidth="1"/>
    <col min="12040" max="12040" width="5.140625" style="413" customWidth="1"/>
    <col min="12041" max="12044" width="3.28515625" style="413" customWidth="1"/>
    <col min="12045" max="12045" width="4.28515625" style="413" customWidth="1"/>
    <col min="12046" max="12047" width="3.28515625" style="413" customWidth="1"/>
    <col min="12048" max="12048" width="4.42578125" style="413" customWidth="1"/>
    <col min="12049" max="12051" width="3.28515625" style="413" customWidth="1"/>
    <col min="12052" max="12052" width="6.28515625" style="413" customWidth="1"/>
    <col min="12053" max="12055" width="0" style="413" hidden="1" customWidth="1"/>
    <col min="12056" max="12057" width="9.140625" style="413"/>
    <col min="12058" max="12058" width="1" style="413" customWidth="1"/>
    <col min="12059" max="12060" width="0" style="413" hidden="1" customWidth="1"/>
    <col min="12061" max="12061" width="9.140625" style="413"/>
    <col min="12062" max="12062" width="2.85546875" style="413" customWidth="1"/>
    <col min="12063" max="12065" width="0" style="413" hidden="1" customWidth="1"/>
    <col min="12066" max="12066" width="3" style="413" customWidth="1"/>
    <col min="12067" max="12069" width="0" style="413" hidden="1" customWidth="1"/>
    <col min="12070" max="12071" width="9.140625" style="413"/>
    <col min="12072" max="12072" width="2.7109375" style="413" customWidth="1"/>
    <col min="12073" max="12074" width="0" style="413" hidden="1" customWidth="1"/>
    <col min="12075" max="12075" width="9.140625" style="413"/>
    <col min="12076" max="12076" width="7.140625" style="413" customWidth="1"/>
    <col min="12077" max="12083" width="0" style="413" hidden="1" customWidth="1"/>
    <col min="12084" max="12288" width="9.140625" style="413"/>
    <col min="12289" max="12289" width="5.28515625" style="413" customWidth="1"/>
    <col min="12290" max="12295" width="3.28515625" style="413" customWidth="1"/>
    <col min="12296" max="12296" width="5.140625" style="413" customWidth="1"/>
    <col min="12297" max="12300" width="3.28515625" style="413" customWidth="1"/>
    <col min="12301" max="12301" width="4.28515625" style="413" customWidth="1"/>
    <col min="12302" max="12303" width="3.28515625" style="413" customWidth="1"/>
    <col min="12304" max="12304" width="4.42578125" style="413" customWidth="1"/>
    <col min="12305" max="12307" width="3.28515625" style="413" customWidth="1"/>
    <col min="12308" max="12308" width="6.28515625" style="413" customWidth="1"/>
    <col min="12309" max="12311" width="0" style="413" hidden="1" customWidth="1"/>
    <col min="12312" max="12313" width="9.140625" style="413"/>
    <col min="12314" max="12314" width="1" style="413" customWidth="1"/>
    <col min="12315" max="12316" width="0" style="413" hidden="1" customWidth="1"/>
    <col min="12317" max="12317" width="9.140625" style="413"/>
    <col min="12318" max="12318" width="2.85546875" style="413" customWidth="1"/>
    <col min="12319" max="12321" width="0" style="413" hidden="1" customWidth="1"/>
    <col min="12322" max="12322" width="3" style="413" customWidth="1"/>
    <col min="12323" max="12325" width="0" style="413" hidden="1" customWidth="1"/>
    <col min="12326" max="12327" width="9.140625" style="413"/>
    <col min="12328" max="12328" width="2.7109375" style="413" customWidth="1"/>
    <col min="12329" max="12330" width="0" style="413" hidden="1" customWidth="1"/>
    <col min="12331" max="12331" width="9.140625" style="413"/>
    <col min="12332" max="12332" width="7.140625" style="413" customWidth="1"/>
    <col min="12333" max="12339" width="0" style="413" hidden="1" customWidth="1"/>
    <col min="12340" max="12544" width="9.140625" style="413"/>
    <col min="12545" max="12545" width="5.28515625" style="413" customWidth="1"/>
    <col min="12546" max="12551" width="3.28515625" style="413" customWidth="1"/>
    <col min="12552" max="12552" width="5.140625" style="413" customWidth="1"/>
    <col min="12553" max="12556" width="3.28515625" style="413" customWidth="1"/>
    <col min="12557" max="12557" width="4.28515625" style="413" customWidth="1"/>
    <col min="12558" max="12559" width="3.28515625" style="413" customWidth="1"/>
    <col min="12560" max="12560" width="4.42578125" style="413" customWidth="1"/>
    <col min="12561" max="12563" width="3.28515625" style="413" customWidth="1"/>
    <col min="12564" max="12564" width="6.28515625" style="413" customWidth="1"/>
    <col min="12565" max="12567" width="0" style="413" hidden="1" customWidth="1"/>
    <col min="12568" max="12569" width="9.140625" style="413"/>
    <col min="12570" max="12570" width="1" style="413" customWidth="1"/>
    <col min="12571" max="12572" width="0" style="413" hidden="1" customWidth="1"/>
    <col min="12573" max="12573" width="9.140625" style="413"/>
    <col min="12574" max="12574" width="2.85546875" style="413" customWidth="1"/>
    <col min="12575" max="12577" width="0" style="413" hidden="1" customWidth="1"/>
    <col min="12578" max="12578" width="3" style="413" customWidth="1"/>
    <col min="12579" max="12581" width="0" style="413" hidden="1" customWidth="1"/>
    <col min="12582" max="12583" width="9.140625" style="413"/>
    <col min="12584" max="12584" width="2.7109375" style="413" customWidth="1"/>
    <col min="12585" max="12586" width="0" style="413" hidden="1" customWidth="1"/>
    <col min="12587" max="12587" width="9.140625" style="413"/>
    <col min="12588" max="12588" width="7.140625" style="413" customWidth="1"/>
    <col min="12589" max="12595" width="0" style="413" hidden="1" customWidth="1"/>
    <col min="12596" max="12800" width="9.140625" style="413"/>
    <col min="12801" max="12801" width="5.28515625" style="413" customWidth="1"/>
    <col min="12802" max="12807" width="3.28515625" style="413" customWidth="1"/>
    <col min="12808" max="12808" width="5.140625" style="413" customWidth="1"/>
    <col min="12809" max="12812" width="3.28515625" style="413" customWidth="1"/>
    <col min="12813" max="12813" width="4.28515625" style="413" customWidth="1"/>
    <col min="12814" max="12815" width="3.28515625" style="413" customWidth="1"/>
    <col min="12816" max="12816" width="4.42578125" style="413" customWidth="1"/>
    <col min="12817" max="12819" width="3.28515625" style="413" customWidth="1"/>
    <col min="12820" max="12820" width="6.28515625" style="413" customWidth="1"/>
    <col min="12821" max="12823" width="0" style="413" hidden="1" customWidth="1"/>
    <col min="12824" max="12825" width="9.140625" style="413"/>
    <col min="12826" max="12826" width="1" style="413" customWidth="1"/>
    <col min="12827" max="12828" width="0" style="413" hidden="1" customWidth="1"/>
    <col min="12829" max="12829" width="9.140625" style="413"/>
    <col min="12830" max="12830" width="2.85546875" style="413" customWidth="1"/>
    <col min="12831" max="12833" width="0" style="413" hidden="1" customWidth="1"/>
    <col min="12834" max="12834" width="3" style="413" customWidth="1"/>
    <col min="12835" max="12837" width="0" style="413" hidden="1" customWidth="1"/>
    <col min="12838" max="12839" width="9.140625" style="413"/>
    <col min="12840" max="12840" width="2.7109375" style="413" customWidth="1"/>
    <col min="12841" max="12842" width="0" style="413" hidden="1" customWidth="1"/>
    <col min="12843" max="12843" width="9.140625" style="413"/>
    <col min="12844" max="12844" width="7.140625" style="413" customWidth="1"/>
    <col min="12845" max="12851" width="0" style="413" hidden="1" customWidth="1"/>
    <col min="12852" max="13056" width="9.140625" style="413"/>
    <col min="13057" max="13057" width="5.28515625" style="413" customWidth="1"/>
    <col min="13058" max="13063" width="3.28515625" style="413" customWidth="1"/>
    <col min="13064" max="13064" width="5.140625" style="413" customWidth="1"/>
    <col min="13065" max="13068" width="3.28515625" style="413" customWidth="1"/>
    <col min="13069" max="13069" width="4.28515625" style="413" customWidth="1"/>
    <col min="13070" max="13071" width="3.28515625" style="413" customWidth="1"/>
    <col min="13072" max="13072" width="4.42578125" style="413" customWidth="1"/>
    <col min="13073" max="13075" width="3.28515625" style="413" customWidth="1"/>
    <col min="13076" max="13076" width="6.28515625" style="413" customWidth="1"/>
    <col min="13077" max="13079" width="0" style="413" hidden="1" customWidth="1"/>
    <col min="13080" max="13081" width="9.140625" style="413"/>
    <col min="13082" max="13082" width="1" style="413" customWidth="1"/>
    <col min="13083" max="13084" width="0" style="413" hidden="1" customWidth="1"/>
    <col min="13085" max="13085" width="9.140625" style="413"/>
    <col min="13086" max="13086" width="2.85546875" style="413" customWidth="1"/>
    <col min="13087" max="13089" width="0" style="413" hidden="1" customWidth="1"/>
    <col min="13090" max="13090" width="3" style="413" customWidth="1"/>
    <col min="13091" max="13093" width="0" style="413" hidden="1" customWidth="1"/>
    <col min="13094" max="13095" width="9.140625" style="413"/>
    <col min="13096" max="13096" width="2.7109375" style="413" customWidth="1"/>
    <col min="13097" max="13098" width="0" style="413" hidden="1" customWidth="1"/>
    <col min="13099" max="13099" width="9.140625" style="413"/>
    <col min="13100" max="13100" width="7.140625" style="413" customWidth="1"/>
    <col min="13101" max="13107" width="0" style="413" hidden="1" customWidth="1"/>
    <col min="13108" max="13312" width="9.140625" style="413"/>
    <col min="13313" max="13313" width="5.28515625" style="413" customWidth="1"/>
    <col min="13314" max="13319" width="3.28515625" style="413" customWidth="1"/>
    <col min="13320" max="13320" width="5.140625" style="413" customWidth="1"/>
    <col min="13321" max="13324" width="3.28515625" style="413" customWidth="1"/>
    <col min="13325" max="13325" width="4.28515625" style="413" customWidth="1"/>
    <col min="13326" max="13327" width="3.28515625" style="413" customWidth="1"/>
    <col min="13328" max="13328" width="4.42578125" style="413" customWidth="1"/>
    <col min="13329" max="13331" width="3.28515625" style="413" customWidth="1"/>
    <col min="13332" max="13332" width="6.28515625" style="413" customWidth="1"/>
    <col min="13333" max="13335" width="0" style="413" hidden="1" customWidth="1"/>
    <col min="13336" max="13337" width="9.140625" style="413"/>
    <col min="13338" max="13338" width="1" style="413" customWidth="1"/>
    <col min="13339" max="13340" width="0" style="413" hidden="1" customWidth="1"/>
    <col min="13341" max="13341" width="9.140625" style="413"/>
    <col min="13342" max="13342" width="2.85546875" style="413" customWidth="1"/>
    <col min="13343" max="13345" width="0" style="413" hidden="1" customWidth="1"/>
    <col min="13346" max="13346" width="3" style="413" customWidth="1"/>
    <col min="13347" max="13349" width="0" style="413" hidden="1" customWidth="1"/>
    <col min="13350" max="13351" width="9.140625" style="413"/>
    <col min="13352" max="13352" width="2.7109375" style="413" customWidth="1"/>
    <col min="13353" max="13354" width="0" style="413" hidden="1" customWidth="1"/>
    <col min="13355" max="13355" width="9.140625" style="413"/>
    <col min="13356" max="13356" width="7.140625" style="413" customWidth="1"/>
    <col min="13357" max="13363" width="0" style="413" hidden="1" customWidth="1"/>
    <col min="13364" max="13568" width="9.140625" style="413"/>
    <col min="13569" max="13569" width="5.28515625" style="413" customWidth="1"/>
    <col min="13570" max="13575" width="3.28515625" style="413" customWidth="1"/>
    <col min="13576" max="13576" width="5.140625" style="413" customWidth="1"/>
    <col min="13577" max="13580" width="3.28515625" style="413" customWidth="1"/>
    <col min="13581" max="13581" width="4.28515625" style="413" customWidth="1"/>
    <col min="13582" max="13583" width="3.28515625" style="413" customWidth="1"/>
    <col min="13584" max="13584" width="4.42578125" style="413" customWidth="1"/>
    <col min="13585" max="13587" width="3.28515625" style="413" customWidth="1"/>
    <col min="13588" max="13588" width="6.28515625" style="413" customWidth="1"/>
    <col min="13589" max="13591" width="0" style="413" hidden="1" customWidth="1"/>
    <col min="13592" max="13593" width="9.140625" style="413"/>
    <col min="13594" max="13594" width="1" style="413" customWidth="1"/>
    <col min="13595" max="13596" width="0" style="413" hidden="1" customWidth="1"/>
    <col min="13597" max="13597" width="9.140625" style="413"/>
    <col min="13598" max="13598" width="2.85546875" style="413" customWidth="1"/>
    <col min="13599" max="13601" width="0" style="413" hidden="1" customWidth="1"/>
    <col min="13602" max="13602" width="3" style="413" customWidth="1"/>
    <col min="13603" max="13605" width="0" style="413" hidden="1" customWidth="1"/>
    <col min="13606" max="13607" width="9.140625" style="413"/>
    <col min="13608" max="13608" width="2.7109375" style="413" customWidth="1"/>
    <col min="13609" max="13610" width="0" style="413" hidden="1" customWidth="1"/>
    <col min="13611" max="13611" width="9.140625" style="413"/>
    <col min="13612" max="13612" width="7.140625" style="413" customWidth="1"/>
    <col min="13613" max="13619" width="0" style="413" hidden="1" customWidth="1"/>
    <col min="13620" max="13824" width="9.140625" style="413"/>
    <col min="13825" max="13825" width="5.28515625" style="413" customWidth="1"/>
    <col min="13826" max="13831" width="3.28515625" style="413" customWidth="1"/>
    <col min="13832" max="13832" width="5.140625" style="413" customWidth="1"/>
    <col min="13833" max="13836" width="3.28515625" style="413" customWidth="1"/>
    <col min="13837" max="13837" width="4.28515625" style="413" customWidth="1"/>
    <col min="13838" max="13839" width="3.28515625" style="413" customWidth="1"/>
    <col min="13840" max="13840" width="4.42578125" style="413" customWidth="1"/>
    <col min="13841" max="13843" width="3.28515625" style="413" customWidth="1"/>
    <col min="13844" max="13844" width="6.28515625" style="413" customWidth="1"/>
    <col min="13845" max="13847" width="0" style="413" hidden="1" customWidth="1"/>
    <col min="13848" max="13849" width="9.140625" style="413"/>
    <col min="13850" max="13850" width="1" style="413" customWidth="1"/>
    <col min="13851" max="13852" width="0" style="413" hidden="1" customWidth="1"/>
    <col min="13853" max="13853" width="9.140625" style="413"/>
    <col min="13854" max="13854" width="2.85546875" style="413" customWidth="1"/>
    <col min="13855" max="13857" width="0" style="413" hidden="1" customWidth="1"/>
    <col min="13858" max="13858" width="3" style="413" customWidth="1"/>
    <col min="13859" max="13861" width="0" style="413" hidden="1" customWidth="1"/>
    <col min="13862" max="13863" width="9.140625" style="413"/>
    <col min="13864" max="13864" width="2.7109375" style="413" customWidth="1"/>
    <col min="13865" max="13866" width="0" style="413" hidden="1" customWidth="1"/>
    <col min="13867" max="13867" width="9.140625" style="413"/>
    <col min="13868" max="13868" width="7.140625" style="413" customWidth="1"/>
    <col min="13869" max="13875" width="0" style="413" hidden="1" customWidth="1"/>
    <col min="13876" max="14080" width="9.140625" style="413"/>
    <col min="14081" max="14081" width="5.28515625" style="413" customWidth="1"/>
    <col min="14082" max="14087" width="3.28515625" style="413" customWidth="1"/>
    <col min="14088" max="14088" width="5.140625" style="413" customWidth="1"/>
    <col min="14089" max="14092" width="3.28515625" style="413" customWidth="1"/>
    <col min="14093" max="14093" width="4.28515625" style="413" customWidth="1"/>
    <col min="14094" max="14095" width="3.28515625" style="413" customWidth="1"/>
    <col min="14096" max="14096" width="4.42578125" style="413" customWidth="1"/>
    <col min="14097" max="14099" width="3.28515625" style="413" customWidth="1"/>
    <col min="14100" max="14100" width="6.28515625" style="413" customWidth="1"/>
    <col min="14101" max="14103" width="0" style="413" hidden="1" customWidth="1"/>
    <col min="14104" max="14105" width="9.140625" style="413"/>
    <col min="14106" max="14106" width="1" style="413" customWidth="1"/>
    <col min="14107" max="14108" width="0" style="413" hidden="1" customWidth="1"/>
    <col min="14109" max="14109" width="9.140625" style="413"/>
    <col min="14110" max="14110" width="2.85546875" style="413" customWidth="1"/>
    <col min="14111" max="14113" width="0" style="413" hidden="1" customWidth="1"/>
    <col min="14114" max="14114" width="3" style="413" customWidth="1"/>
    <col min="14115" max="14117" width="0" style="413" hidden="1" customWidth="1"/>
    <col min="14118" max="14119" width="9.140625" style="413"/>
    <col min="14120" max="14120" width="2.7109375" style="413" customWidth="1"/>
    <col min="14121" max="14122" width="0" style="413" hidden="1" customWidth="1"/>
    <col min="14123" max="14123" width="9.140625" style="413"/>
    <col min="14124" max="14124" width="7.140625" style="413" customWidth="1"/>
    <col min="14125" max="14131" width="0" style="413" hidden="1" customWidth="1"/>
    <col min="14132" max="14336" width="9.140625" style="413"/>
    <col min="14337" max="14337" width="5.28515625" style="413" customWidth="1"/>
    <col min="14338" max="14343" width="3.28515625" style="413" customWidth="1"/>
    <col min="14344" max="14344" width="5.140625" style="413" customWidth="1"/>
    <col min="14345" max="14348" width="3.28515625" style="413" customWidth="1"/>
    <col min="14349" max="14349" width="4.28515625" style="413" customWidth="1"/>
    <col min="14350" max="14351" width="3.28515625" style="413" customWidth="1"/>
    <col min="14352" max="14352" width="4.42578125" style="413" customWidth="1"/>
    <col min="14353" max="14355" width="3.28515625" style="413" customWidth="1"/>
    <col min="14356" max="14356" width="6.28515625" style="413" customWidth="1"/>
    <col min="14357" max="14359" width="0" style="413" hidden="1" customWidth="1"/>
    <col min="14360" max="14361" width="9.140625" style="413"/>
    <col min="14362" max="14362" width="1" style="413" customWidth="1"/>
    <col min="14363" max="14364" width="0" style="413" hidden="1" customWidth="1"/>
    <col min="14365" max="14365" width="9.140625" style="413"/>
    <col min="14366" max="14366" width="2.85546875" style="413" customWidth="1"/>
    <col min="14367" max="14369" width="0" style="413" hidden="1" customWidth="1"/>
    <col min="14370" max="14370" width="3" style="413" customWidth="1"/>
    <col min="14371" max="14373" width="0" style="413" hidden="1" customWidth="1"/>
    <col min="14374" max="14375" width="9.140625" style="413"/>
    <col min="14376" max="14376" width="2.7109375" style="413" customWidth="1"/>
    <col min="14377" max="14378" width="0" style="413" hidden="1" customWidth="1"/>
    <col min="14379" max="14379" width="9.140625" style="413"/>
    <col min="14380" max="14380" width="7.140625" style="413" customWidth="1"/>
    <col min="14381" max="14387" width="0" style="413" hidden="1" customWidth="1"/>
    <col min="14388" max="14592" width="9.140625" style="413"/>
    <col min="14593" max="14593" width="5.28515625" style="413" customWidth="1"/>
    <col min="14594" max="14599" width="3.28515625" style="413" customWidth="1"/>
    <col min="14600" max="14600" width="5.140625" style="413" customWidth="1"/>
    <col min="14601" max="14604" width="3.28515625" style="413" customWidth="1"/>
    <col min="14605" max="14605" width="4.28515625" style="413" customWidth="1"/>
    <col min="14606" max="14607" width="3.28515625" style="413" customWidth="1"/>
    <col min="14608" max="14608" width="4.42578125" style="413" customWidth="1"/>
    <col min="14609" max="14611" width="3.28515625" style="413" customWidth="1"/>
    <col min="14612" max="14612" width="6.28515625" style="413" customWidth="1"/>
    <col min="14613" max="14615" width="0" style="413" hidden="1" customWidth="1"/>
    <col min="14616" max="14617" width="9.140625" style="413"/>
    <col min="14618" max="14618" width="1" style="413" customWidth="1"/>
    <col min="14619" max="14620" width="0" style="413" hidden="1" customWidth="1"/>
    <col min="14621" max="14621" width="9.140625" style="413"/>
    <col min="14622" max="14622" width="2.85546875" style="413" customWidth="1"/>
    <col min="14623" max="14625" width="0" style="413" hidden="1" customWidth="1"/>
    <col min="14626" max="14626" width="3" style="413" customWidth="1"/>
    <col min="14627" max="14629" width="0" style="413" hidden="1" customWidth="1"/>
    <col min="14630" max="14631" width="9.140625" style="413"/>
    <col min="14632" max="14632" width="2.7109375" style="413" customWidth="1"/>
    <col min="14633" max="14634" width="0" style="413" hidden="1" customWidth="1"/>
    <col min="14635" max="14635" width="9.140625" style="413"/>
    <col min="14636" max="14636" width="7.140625" style="413" customWidth="1"/>
    <col min="14637" max="14643" width="0" style="413" hidden="1" customWidth="1"/>
    <col min="14644" max="14848" width="9.140625" style="413"/>
    <col min="14849" max="14849" width="5.28515625" style="413" customWidth="1"/>
    <col min="14850" max="14855" width="3.28515625" style="413" customWidth="1"/>
    <col min="14856" max="14856" width="5.140625" style="413" customWidth="1"/>
    <col min="14857" max="14860" width="3.28515625" style="413" customWidth="1"/>
    <col min="14861" max="14861" width="4.28515625" style="413" customWidth="1"/>
    <col min="14862" max="14863" width="3.28515625" style="413" customWidth="1"/>
    <col min="14864" max="14864" width="4.42578125" style="413" customWidth="1"/>
    <col min="14865" max="14867" width="3.28515625" style="413" customWidth="1"/>
    <col min="14868" max="14868" width="6.28515625" style="413" customWidth="1"/>
    <col min="14869" max="14871" width="0" style="413" hidden="1" customWidth="1"/>
    <col min="14872" max="14873" width="9.140625" style="413"/>
    <col min="14874" max="14874" width="1" style="413" customWidth="1"/>
    <col min="14875" max="14876" width="0" style="413" hidden="1" customWidth="1"/>
    <col min="14877" max="14877" width="9.140625" style="413"/>
    <col min="14878" max="14878" width="2.85546875" style="413" customWidth="1"/>
    <col min="14879" max="14881" width="0" style="413" hidden="1" customWidth="1"/>
    <col min="14882" max="14882" width="3" style="413" customWidth="1"/>
    <col min="14883" max="14885" width="0" style="413" hidden="1" customWidth="1"/>
    <col min="14886" max="14887" width="9.140625" style="413"/>
    <col min="14888" max="14888" width="2.7109375" style="413" customWidth="1"/>
    <col min="14889" max="14890" width="0" style="413" hidden="1" customWidth="1"/>
    <col min="14891" max="14891" width="9.140625" style="413"/>
    <col min="14892" max="14892" width="7.140625" style="413" customWidth="1"/>
    <col min="14893" max="14899" width="0" style="413" hidden="1" customWidth="1"/>
    <col min="14900" max="15104" width="9.140625" style="413"/>
    <col min="15105" max="15105" width="5.28515625" style="413" customWidth="1"/>
    <col min="15106" max="15111" width="3.28515625" style="413" customWidth="1"/>
    <col min="15112" max="15112" width="5.140625" style="413" customWidth="1"/>
    <col min="15113" max="15116" width="3.28515625" style="413" customWidth="1"/>
    <col min="15117" max="15117" width="4.28515625" style="413" customWidth="1"/>
    <col min="15118" max="15119" width="3.28515625" style="413" customWidth="1"/>
    <col min="15120" max="15120" width="4.42578125" style="413" customWidth="1"/>
    <col min="15121" max="15123" width="3.28515625" style="413" customWidth="1"/>
    <col min="15124" max="15124" width="6.28515625" style="413" customWidth="1"/>
    <col min="15125" max="15127" width="0" style="413" hidden="1" customWidth="1"/>
    <col min="15128" max="15129" width="9.140625" style="413"/>
    <col min="15130" max="15130" width="1" style="413" customWidth="1"/>
    <col min="15131" max="15132" width="0" style="413" hidden="1" customWidth="1"/>
    <col min="15133" max="15133" width="9.140625" style="413"/>
    <col min="15134" max="15134" width="2.85546875" style="413" customWidth="1"/>
    <col min="15135" max="15137" width="0" style="413" hidden="1" customWidth="1"/>
    <col min="15138" max="15138" width="3" style="413" customWidth="1"/>
    <col min="15139" max="15141" width="0" style="413" hidden="1" customWidth="1"/>
    <col min="15142" max="15143" width="9.140625" style="413"/>
    <col min="15144" max="15144" width="2.7109375" style="413" customWidth="1"/>
    <col min="15145" max="15146" width="0" style="413" hidden="1" customWidth="1"/>
    <col min="15147" max="15147" width="9.140625" style="413"/>
    <col min="15148" max="15148" width="7.140625" style="413" customWidth="1"/>
    <col min="15149" max="15155" width="0" style="413" hidden="1" customWidth="1"/>
    <col min="15156" max="15360" width="9.140625" style="413"/>
    <col min="15361" max="15361" width="5.28515625" style="413" customWidth="1"/>
    <col min="15362" max="15367" width="3.28515625" style="413" customWidth="1"/>
    <col min="15368" max="15368" width="5.140625" style="413" customWidth="1"/>
    <col min="15369" max="15372" width="3.28515625" style="413" customWidth="1"/>
    <col min="15373" max="15373" width="4.28515625" style="413" customWidth="1"/>
    <col min="15374" max="15375" width="3.28515625" style="413" customWidth="1"/>
    <col min="15376" max="15376" width="4.42578125" style="413" customWidth="1"/>
    <col min="15377" max="15379" width="3.28515625" style="413" customWidth="1"/>
    <col min="15380" max="15380" width="6.28515625" style="413" customWidth="1"/>
    <col min="15381" max="15383" width="0" style="413" hidden="1" customWidth="1"/>
    <col min="15384" max="15385" width="9.140625" style="413"/>
    <col min="15386" max="15386" width="1" style="413" customWidth="1"/>
    <col min="15387" max="15388" width="0" style="413" hidden="1" customWidth="1"/>
    <col min="15389" max="15389" width="9.140625" style="413"/>
    <col min="15390" max="15390" width="2.85546875" style="413" customWidth="1"/>
    <col min="15391" max="15393" width="0" style="413" hidden="1" customWidth="1"/>
    <col min="15394" max="15394" width="3" style="413" customWidth="1"/>
    <col min="15395" max="15397" width="0" style="413" hidden="1" customWidth="1"/>
    <col min="15398" max="15399" width="9.140625" style="413"/>
    <col min="15400" max="15400" width="2.7109375" style="413" customWidth="1"/>
    <col min="15401" max="15402" width="0" style="413" hidden="1" customWidth="1"/>
    <col min="15403" max="15403" width="9.140625" style="413"/>
    <col min="15404" max="15404" width="7.140625" style="413" customWidth="1"/>
    <col min="15405" max="15411" width="0" style="413" hidden="1" customWidth="1"/>
    <col min="15412" max="15616" width="9.140625" style="413"/>
    <col min="15617" max="15617" width="5.28515625" style="413" customWidth="1"/>
    <col min="15618" max="15623" width="3.28515625" style="413" customWidth="1"/>
    <col min="15624" max="15624" width="5.140625" style="413" customWidth="1"/>
    <col min="15625" max="15628" width="3.28515625" style="413" customWidth="1"/>
    <col min="15629" max="15629" width="4.28515625" style="413" customWidth="1"/>
    <col min="15630" max="15631" width="3.28515625" style="413" customWidth="1"/>
    <col min="15632" max="15632" width="4.42578125" style="413" customWidth="1"/>
    <col min="15633" max="15635" width="3.28515625" style="413" customWidth="1"/>
    <col min="15636" max="15636" width="6.28515625" style="413" customWidth="1"/>
    <col min="15637" max="15639" width="0" style="413" hidden="1" customWidth="1"/>
    <col min="15640" max="15641" width="9.140625" style="413"/>
    <col min="15642" max="15642" width="1" style="413" customWidth="1"/>
    <col min="15643" max="15644" width="0" style="413" hidden="1" customWidth="1"/>
    <col min="15645" max="15645" width="9.140625" style="413"/>
    <col min="15646" max="15646" width="2.85546875" style="413" customWidth="1"/>
    <col min="15647" max="15649" width="0" style="413" hidden="1" customWidth="1"/>
    <col min="15650" max="15650" width="3" style="413" customWidth="1"/>
    <col min="15651" max="15653" width="0" style="413" hidden="1" customWidth="1"/>
    <col min="15654" max="15655" width="9.140625" style="413"/>
    <col min="15656" max="15656" width="2.7109375" style="413" customWidth="1"/>
    <col min="15657" max="15658" width="0" style="413" hidden="1" customWidth="1"/>
    <col min="15659" max="15659" width="9.140625" style="413"/>
    <col min="15660" max="15660" width="7.140625" style="413" customWidth="1"/>
    <col min="15661" max="15667" width="0" style="413" hidden="1" customWidth="1"/>
    <col min="15668" max="15872" width="9.140625" style="413"/>
    <col min="15873" max="15873" width="5.28515625" style="413" customWidth="1"/>
    <col min="15874" max="15879" width="3.28515625" style="413" customWidth="1"/>
    <col min="15880" max="15880" width="5.140625" style="413" customWidth="1"/>
    <col min="15881" max="15884" width="3.28515625" style="413" customWidth="1"/>
    <col min="15885" max="15885" width="4.28515625" style="413" customWidth="1"/>
    <col min="15886" max="15887" width="3.28515625" style="413" customWidth="1"/>
    <col min="15888" max="15888" width="4.42578125" style="413" customWidth="1"/>
    <col min="15889" max="15891" width="3.28515625" style="413" customWidth="1"/>
    <col min="15892" max="15892" width="6.28515625" style="413" customWidth="1"/>
    <col min="15893" max="15895" width="0" style="413" hidden="1" customWidth="1"/>
    <col min="15896" max="15897" width="9.140625" style="413"/>
    <col min="15898" max="15898" width="1" style="413" customWidth="1"/>
    <col min="15899" max="15900" width="0" style="413" hidden="1" customWidth="1"/>
    <col min="15901" max="15901" width="9.140625" style="413"/>
    <col min="15902" max="15902" width="2.85546875" style="413" customWidth="1"/>
    <col min="15903" max="15905" width="0" style="413" hidden="1" customWidth="1"/>
    <col min="15906" max="15906" width="3" style="413" customWidth="1"/>
    <col min="15907" max="15909" width="0" style="413" hidden="1" customWidth="1"/>
    <col min="15910" max="15911" width="9.140625" style="413"/>
    <col min="15912" max="15912" width="2.7109375" style="413" customWidth="1"/>
    <col min="15913" max="15914" width="0" style="413" hidden="1" customWidth="1"/>
    <col min="15915" max="15915" width="9.140625" style="413"/>
    <col min="15916" max="15916" width="7.140625" style="413" customWidth="1"/>
    <col min="15917" max="15923" width="0" style="413" hidden="1" customWidth="1"/>
    <col min="15924" max="16128" width="9.140625" style="413"/>
    <col min="16129" max="16129" width="5.28515625" style="413" customWidth="1"/>
    <col min="16130" max="16135" width="3.28515625" style="413" customWidth="1"/>
    <col min="16136" max="16136" width="5.140625" style="413" customWidth="1"/>
    <col min="16137" max="16140" width="3.28515625" style="413" customWidth="1"/>
    <col min="16141" max="16141" width="4.28515625" style="413" customWidth="1"/>
    <col min="16142" max="16143" width="3.28515625" style="413" customWidth="1"/>
    <col min="16144" max="16144" width="4.42578125" style="413" customWidth="1"/>
    <col min="16145" max="16147" width="3.28515625" style="413" customWidth="1"/>
    <col min="16148" max="16148" width="6.28515625" style="413" customWidth="1"/>
    <col min="16149" max="16151" width="0" style="413" hidden="1" customWidth="1"/>
    <col min="16152" max="16153" width="9.140625" style="413"/>
    <col min="16154" max="16154" width="1" style="413" customWidth="1"/>
    <col min="16155" max="16156" width="0" style="413" hidden="1" customWidth="1"/>
    <col min="16157" max="16157" width="9.140625" style="413"/>
    <col min="16158" max="16158" width="2.85546875" style="413" customWidth="1"/>
    <col min="16159" max="16161" width="0" style="413" hidden="1" customWidth="1"/>
    <col min="16162" max="16162" width="3" style="413" customWidth="1"/>
    <col min="16163" max="16165" width="0" style="413" hidden="1" customWidth="1"/>
    <col min="16166" max="16167" width="9.140625" style="413"/>
    <col min="16168" max="16168" width="2.7109375" style="413" customWidth="1"/>
    <col min="16169" max="16170" width="0" style="413" hidden="1" customWidth="1"/>
    <col min="16171" max="16171" width="9.140625" style="413"/>
    <col min="16172" max="16172" width="7.140625" style="413" customWidth="1"/>
    <col min="16173" max="16179" width="0" style="413" hidden="1" customWidth="1"/>
    <col min="16180" max="16384" width="9.140625" style="413"/>
  </cols>
  <sheetData>
    <row r="1" spans="1:51" ht="12.75" customHeight="1" x14ac:dyDescent="0.2">
      <c r="B1" s="839" t="s">
        <v>701</v>
      </c>
      <c r="C1" s="839"/>
      <c r="D1" s="839"/>
      <c r="E1" s="839"/>
      <c r="F1" s="839"/>
      <c r="G1" s="839"/>
      <c r="H1" s="839"/>
      <c r="I1" s="839"/>
      <c r="J1" s="839"/>
      <c r="K1" s="839"/>
      <c r="L1" s="839"/>
      <c r="M1" s="839"/>
      <c r="N1" s="839"/>
      <c r="O1" s="839"/>
      <c r="P1" s="839"/>
      <c r="Q1" s="839"/>
      <c r="R1" s="839"/>
      <c r="S1" s="839"/>
      <c r="T1" s="839"/>
      <c r="U1" s="839"/>
      <c r="V1" s="839"/>
      <c r="W1" s="839"/>
    </row>
    <row r="2" spans="1:51" ht="12.75" customHeight="1" x14ac:dyDescent="0.2">
      <c r="B2" s="839"/>
      <c r="C2" s="839"/>
      <c r="D2" s="839"/>
      <c r="E2" s="839"/>
      <c r="F2" s="839"/>
      <c r="G2" s="839"/>
      <c r="H2" s="839"/>
      <c r="I2" s="839"/>
      <c r="J2" s="839"/>
      <c r="K2" s="839"/>
      <c r="L2" s="839"/>
      <c r="M2" s="839"/>
      <c r="N2" s="839"/>
      <c r="O2" s="839"/>
      <c r="P2" s="839"/>
      <c r="Q2" s="839"/>
      <c r="R2" s="839"/>
      <c r="S2" s="839"/>
      <c r="T2" s="839"/>
      <c r="U2" s="839"/>
      <c r="V2" s="839"/>
      <c r="W2" s="839"/>
    </row>
    <row r="3" spans="1:51" ht="15.75" x14ac:dyDescent="0.25">
      <c r="B3" s="839" t="s">
        <v>816</v>
      </c>
      <c r="C3" s="839"/>
      <c r="D3" s="839"/>
      <c r="E3" s="839"/>
      <c r="F3" s="839"/>
      <c r="G3" s="839"/>
      <c r="H3" s="839"/>
      <c r="I3" s="839"/>
      <c r="J3" s="839"/>
      <c r="K3" s="839"/>
      <c r="L3" s="839"/>
      <c r="M3" s="839"/>
      <c r="N3" s="839"/>
      <c r="O3" s="839"/>
      <c r="P3" s="839"/>
      <c r="Q3" s="839"/>
      <c r="R3" s="839"/>
      <c r="S3" s="839"/>
      <c r="T3" s="839"/>
      <c r="U3" s="839"/>
      <c r="V3" s="839"/>
      <c r="W3" s="839"/>
    </row>
    <row r="4" spans="1:51" ht="15.75" x14ac:dyDescent="0.25">
      <c r="B4" s="839"/>
      <c r="C4" s="839"/>
      <c r="D4" s="839"/>
      <c r="E4" s="839"/>
      <c r="F4" s="839"/>
      <c r="G4" s="839"/>
      <c r="H4" s="839"/>
      <c r="I4" s="839"/>
      <c r="J4" s="839"/>
      <c r="K4" s="839"/>
      <c r="L4" s="839"/>
      <c r="M4" s="839"/>
      <c r="N4" s="839"/>
      <c r="O4" s="839"/>
      <c r="P4" s="839"/>
      <c r="Q4" s="839"/>
      <c r="R4" s="839"/>
      <c r="S4" s="839"/>
      <c r="T4" s="839"/>
      <c r="U4" s="839"/>
      <c r="V4" s="839"/>
      <c r="W4" s="839"/>
    </row>
    <row r="5" spans="1:51" ht="15.75" x14ac:dyDescent="0.25">
      <c r="B5" s="537"/>
      <c r="C5" s="537"/>
      <c r="D5" s="537"/>
      <c r="E5" s="537"/>
      <c r="F5" s="537"/>
      <c r="G5" s="839" t="s">
        <v>3</v>
      </c>
      <c r="H5" s="840"/>
      <c r="I5" s="839"/>
      <c r="J5" s="839"/>
      <c r="K5" s="839"/>
      <c r="L5" s="839"/>
      <c r="M5" s="839"/>
      <c r="N5" s="839"/>
      <c r="O5" s="839"/>
      <c r="P5" s="839"/>
      <c r="Q5" s="839"/>
      <c r="R5" s="839"/>
      <c r="S5" s="839"/>
      <c r="T5" s="839"/>
      <c r="U5" s="537"/>
      <c r="V5" s="537"/>
      <c r="W5" s="537"/>
    </row>
    <row r="6" spans="1:51" ht="15.75" x14ac:dyDescent="0.2">
      <c r="B6" s="841" t="s">
        <v>183</v>
      </c>
      <c r="C6" s="841"/>
      <c r="D6" s="841"/>
      <c r="E6" s="841"/>
      <c r="F6" s="841"/>
      <c r="G6" s="841"/>
      <c r="H6" s="841"/>
      <c r="I6" s="841"/>
      <c r="J6" s="841"/>
      <c r="K6" s="841"/>
      <c r="L6" s="841"/>
      <c r="M6" s="841"/>
      <c r="N6" s="841"/>
      <c r="O6" s="841"/>
      <c r="P6" s="841"/>
      <c r="Q6" s="841"/>
      <c r="R6" s="841"/>
      <c r="S6" s="841"/>
      <c r="T6" s="841"/>
      <c r="U6" s="841"/>
      <c r="V6" s="841"/>
      <c r="W6" s="841"/>
      <c r="X6" s="413" t="s">
        <v>184</v>
      </c>
    </row>
    <row r="7" spans="1:51" ht="16.5" thickBot="1" x14ac:dyDescent="0.25">
      <c r="B7" s="538"/>
      <c r="C7" s="538"/>
      <c r="D7" s="538"/>
      <c r="E7" s="538"/>
      <c r="F7" s="538"/>
      <c r="G7" s="538"/>
      <c r="H7" s="538"/>
      <c r="I7" s="538"/>
      <c r="J7" s="538"/>
      <c r="K7" s="538"/>
      <c r="L7" s="538"/>
      <c r="M7" s="538"/>
      <c r="N7" s="538"/>
      <c r="O7" s="538"/>
      <c r="P7" s="538"/>
      <c r="Q7" s="538"/>
      <c r="R7" s="538"/>
      <c r="S7" s="538"/>
      <c r="T7" s="538"/>
      <c r="U7" s="538"/>
      <c r="V7" s="538"/>
      <c r="W7" s="538"/>
    </row>
    <row r="8" spans="1:51" ht="13.5" thickBot="1" x14ac:dyDescent="0.25">
      <c r="U8" s="414" t="s">
        <v>184</v>
      </c>
      <c r="X8" s="842" t="s">
        <v>895</v>
      </c>
      <c r="Y8" s="843"/>
      <c r="Z8" s="843"/>
      <c r="AA8" s="843"/>
      <c r="AB8" s="843"/>
      <c r="AC8" s="843"/>
      <c r="AD8" s="843"/>
      <c r="AE8" s="843"/>
      <c r="AF8" s="843"/>
      <c r="AG8" s="843"/>
      <c r="AH8" s="844"/>
      <c r="AL8" s="828" t="s">
        <v>896</v>
      </c>
      <c r="AM8" s="829"/>
      <c r="AN8" s="829"/>
      <c r="AO8" s="829"/>
      <c r="AP8" s="829"/>
      <c r="AQ8" s="829"/>
      <c r="AR8" s="829"/>
      <c r="AS8" s="829"/>
      <c r="AT8" s="829"/>
      <c r="AU8" s="829"/>
      <c r="AV8" s="830"/>
    </row>
    <row r="9" spans="1:51" ht="12.75" customHeight="1" x14ac:dyDescent="0.2">
      <c r="A9" s="820"/>
      <c r="B9" s="832" t="s">
        <v>7</v>
      </c>
      <c r="C9" s="832"/>
      <c r="D9" s="832"/>
      <c r="E9" s="832"/>
      <c r="F9" s="832"/>
      <c r="G9" s="832"/>
      <c r="H9" s="832"/>
      <c r="I9" s="832"/>
      <c r="J9" s="832"/>
      <c r="K9" s="832"/>
      <c r="L9" s="832"/>
      <c r="M9" s="832"/>
      <c r="N9" s="832"/>
      <c r="O9" s="832"/>
      <c r="P9" s="832"/>
      <c r="Q9" s="832"/>
      <c r="R9" s="832"/>
      <c r="S9" s="832"/>
      <c r="T9" s="832"/>
      <c r="U9" s="833"/>
      <c r="V9" s="833"/>
      <c r="W9" s="833"/>
      <c r="X9" s="831" t="s">
        <v>185</v>
      </c>
      <c r="Y9" s="831"/>
      <c r="Z9" s="831"/>
      <c r="AA9" s="831"/>
      <c r="AB9" s="831"/>
      <c r="AC9" s="831" t="s">
        <v>186</v>
      </c>
      <c r="AD9" s="831"/>
      <c r="AE9" s="831"/>
      <c r="AF9" s="831"/>
      <c r="AG9" s="831"/>
      <c r="AH9" s="831"/>
      <c r="AI9" s="833"/>
      <c r="AJ9" s="833"/>
      <c r="AK9" s="833"/>
      <c r="AL9" s="831" t="s">
        <v>897</v>
      </c>
      <c r="AM9" s="831"/>
      <c r="AN9" s="831"/>
      <c r="AO9" s="831"/>
      <c r="AP9" s="831"/>
      <c r="AQ9" s="831" t="s">
        <v>186</v>
      </c>
      <c r="AR9" s="831"/>
      <c r="AS9" s="831"/>
      <c r="AT9" s="831"/>
      <c r="AU9" s="831"/>
      <c r="AV9" s="831"/>
      <c r="AW9" s="833"/>
      <c r="AX9" s="833"/>
      <c r="AY9" s="834"/>
    </row>
    <row r="10" spans="1:51" ht="12.75" customHeight="1" x14ac:dyDescent="0.2">
      <c r="A10" s="820"/>
      <c r="B10" s="415"/>
      <c r="C10" s="415"/>
      <c r="D10" s="415"/>
      <c r="E10" s="415"/>
      <c r="F10" s="415"/>
      <c r="G10" s="415"/>
      <c r="H10" s="415"/>
      <c r="I10" s="415"/>
      <c r="J10" s="415"/>
      <c r="K10" s="415"/>
      <c r="L10" s="415"/>
      <c r="M10" s="415"/>
      <c r="N10" s="415"/>
      <c r="O10" s="415"/>
      <c r="P10" s="415"/>
      <c r="Q10" s="415"/>
      <c r="R10" s="415"/>
      <c r="S10" s="415"/>
      <c r="T10" s="415"/>
      <c r="U10" s="833"/>
      <c r="V10" s="833"/>
      <c r="W10" s="833"/>
      <c r="X10" s="832"/>
      <c r="Y10" s="832"/>
      <c r="Z10" s="832"/>
      <c r="AA10" s="832"/>
      <c r="AB10" s="832"/>
      <c r="AC10" s="832"/>
      <c r="AD10" s="832"/>
      <c r="AE10" s="832"/>
      <c r="AF10" s="832"/>
      <c r="AG10" s="832"/>
      <c r="AH10" s="833"/>
      <c r="AI10" s="833"/>
      <c r="AJ10" s="833"/>
      <c r="AK10" s="833"/>
      <c r="AL10" s="832"/>
      <c r="AM10" s="832"/>
      <c r="AN10" s="832"/>
      <c r="AO10" s="832"/>
      <c r="AP10" s="832"/>
      <c r="AQ10" s="832"/>
      <c r="AR10" s="832"/>
      <c r="AS10" s="832"/>
      <c r="AT10" s="832"/>
      <c r="AU10" s="832"/>
      <c r="AV10" s="833"/>
      <c r="AW10" s="833"/>
      <c r="AX10" s="833"/>
      <c r="AY10" s="834"/>
    </row>
    <row r="11" spans="1:51" ht="12.75" customHeight="1" x14ac:dyDescent="0.2">
      <c r="A11" s="416"/>
      <c r="B11" s="837" t="s">
        <v>187</v>
      </c>
      <c r="C11" s="837"/>
      <c r="D11" s="837"/>
      <c r="E11" s="837"/>
      <c r="F11" s="837"/>
      <c r="G11" s="837"/>
      <c r="H11" s="837"/>
      <c r="I11" s="837"/>
      <c r="J11" s="837"/>
      <c r="K11" s="837"/>
      <c r="L11" s="837"/>
      <c r="M11" s="837"/>
      <c r="N11" s="837"/>
      <c r="O11" s="837"/>
      <c r="P11" s="837"/>
      <c r="Q11" s="837"/>
      <c r="R11" s="837"/>
      <c r="S11" s="837"/>
      <c r="T11" s="837"/>
      <c r="U11" s="820"/>
      <c r="V11" s="820"/>
      <c r="W11" s="820"/>
      <c r="X11" s="789"/>
      <c r="Y11" s="789"/>
      <c r="Z11" s="789"/>
      <c r="AA11" s="789"/>
      <c r="AB11" s="789"/>
      <c r="AC11" s="820"/>
      <c r="AD11" s="820"/>
      <c r="AE11" s="820"/>
      <c r="AF11" s="820"/>
      <c r="AG11" s="820"/>
      <c r="AH11" s="820"/>
      <c r="AI11" s="820"/>
      <c r="AJ11" s="820"/>
      <c r="AK11" s="820"/>
      <c r="AL11" s="789"/>
      <c r="AM11" s="789"/>
      <c r="AN11" s="789"/>
      <c r="AO11" s="789"/>
      <c r="AP11" s="789"/>
      <c r="AQ11" s="820"/>
      <c r="AR11" s="820"/>
      <c r="AS11" s="820"/>
      <c r="AT11" s="820"/>
      <c r="AU11" s="820"/>
      <c r="AV11" s="820"/>
      <c r="AW11" s="820"/>
      <c r="AX11" s="820"/>
      <c r="AY11" s="821"/>
    </row>
    <row r="12" spans="1:51" ht="12.75" customHeight="1" x14ac:dyDescent="0.2">
      <c r="A12" s="416"/>
      <c r="B12" s="836" t="s">
        <v>188</v>
      </c>
      <c r="C12" s="836"/>
      <c r="D12" s="836"/>
      <c r="E12" s="836"/>
      <c r="F12" s="836"/>
      <c r="G12" s="836"/>
      <c r="H12" s="836"/>
      <c r="I12" s="836"/>
      <c r="J12" s="836"/>
      <c r="K12" s="836"/>
      <c r="L12" s="836"/>
      <c r="M12" s="836"/>
      <c r="N12" s="836"/>
      <c r="O12" s="836"/>
      <c r="P12" s="836"/>
      <c r="Q12" s="836"/>
      <c r="R12" s="836"/>
      <c r="S12" s="836"/>
      <c r="T12" s="836"/>
      <c r="U12" s="820"/>
      <c r="V12" s="820"/>
      <c r="W12" s="820"/>
      <c r="X12" s="822">
        <v>400000</v>
      </c>
      <c r="Y12" s="822"/>
      <c r="Z12" s="822"/>
      <c r="AA12" s="822"/>
      <c r="AB12" s="822"/>
      <c r="AC12" s="820" t="s">
        <v>189</v>
      </c>
      <c r="AD12" s="820"/>
      <c r="AE12" s="820"/>
      <c r="AF12" s="820"/>
      <c r="AG12" s="820"/>
      <c r="AH12" s="820"/>
      <c r="AI12" s="820"/>
      <c r="AJ12" s="820"/>
      <c r="AK12" s="820"/>
      <c r="AL12" s="822">
        <v>400000</v>
      </c>
      <c r="AM12" s="822"/>
      <c r="AN12" s="822"/>
      <c r="AO12" s="822"/>
      <c r="AP12" s="822"/>
      <c r="AQ12" s="820" t="s">
        <v>189</v>
      </c>
      <c r="AR12" s="820"/>
      <c r="AS12" s="820"/>
      <c r="AT12" s="820"/>
      <c r="AU12" s="820"/>
      <c r="AV12" s="820"/>
      <c r="AW12" s="820"/>
      <c r="AX12" s="820"/>
      <c r="AY12" s="821"/>
    </row>
    <row r="13" spans="1:51" ht="29.25" customHeight="1" x14ac:dyDescent="0.2">
      <c r="A13" s="416"/>
      <c r="B13" s="836" t="s">
        <v>710</v>
      </c>
      <c r="C13" s="836"/>
      <c r="D13" s="836"/>
      <c r="E13" s="836"/>
      <c r="F13" s="836"/>
      <c r="G13" s="836"/>
      <c r="H13" s="836"/>
      <c r="I13" s="836"/>
      <c r="J13" s="836"/>
      <c r="K13" s="836"/>
      <c r="L13" s="836"/>
      <c r="M13" s="836"/>
      <c r="N13" s="836"/>
      <c r="O13" s="836"/>
      <c r="P13" s="836"/>
      <c r="Q13" s="836"/>
      <c r="R13" s="836"/>
      <c r="S13" s="836"/>
      <c r="T13" s="836"/>
      <c r="U13" s="820"/>
      <c r="V13" s="820"/>
      <c r="W13" s="820"/>
      <c r="X13" s="789">
        <v>2642849</v>
      </c>
      <c r="Y13" s="789"/>
      <c r="Z13" s="789"/>
      <c r="AA13" s="789"/>
      <c r="AB13" s="789"/>
      <c r="AC13" s="820" t="s">
        <v>190</v>
      </c>
      <c r="AD13" s="820"/>
      <c r="AE13" s="820"/>
      <c r="AF13" s="820"/>
      <c r="AG13" s="820"/>
      <c r="AH13" s="820"/>
      <c r="AI13" s="820"/>
      <c r="AJ13" s="820"/>
      <c r="AK13" s="820"/>
      <c r="AL13" s="789">
        <v>2642849</v>
      </c>
      <c r="AM13" s="789"/>
      <c r="AN13" s="789"/>
      <c r="AO13" s="789"/>
      <c r="AP13" s="789"/>
      <c r="AQ13" s="820" t="s">
        <v>190</v>
      </c>
      <c r="AR13" s="820"/>
      <c r="AS13" s="820"/>
      <c r="AT13" s="820"/>
      <c r="AU13" s="820"/>
      <c r="AV13" s="820"/>
      <c r="AW13" s="820"/>
      <c r="AX13" s="820"/>
      <c r="AY13" s="821"/>
    </row>
    <row r="14" spans="1:51" x14ac:dyDescent="0.2">
      <c r="A14" s="416"/>
      <c r="B14" s="838" t="s">
        <v>711</v>
      </c>
      <c r="C14" s="838"/>
      <c r="D14" s="838"/>
      <c r="E14" s="838"/>
      <c r="F14" s="838"/>
      <c r="G14" s="838"/>
      <c r="H14" s="838"/>
      <c r="I14" s="838"/>
      <c r="J14" s="838"/>
      <c r="K14" s="838"/>
      <c r="L14" s="838"/>
      <c r="M14" s="838"/>
      <c r="N14" s="838"/>
      <c r="O14" s="838"/>
      <c r="P14" s="838"/>
      <c r="Q14" s="838"/>
      <c r="R14" s="838"/>
      <c r="S14" s="838"/>
      <c r="T14" s="838"/>
      <c r="U14" s="820"/>
      <c r="V14" s="820"/>
      <c r="W14" s="820"/>
      <c r="X14" s="822">
        <v>46075</v>
      </c>
      <c r="Y14" s="822"/>
      <c r="Z14" s="822"/>
      <c r="AA14" s="822"/>
      <c r="AB14" s="822"/>
      <c r="AC14" s="820" t="s">
        <v>191</v>
      </c>
      <c r="AD14" s="820"/>
      <c r="AE14" s="820"/>
      <c r="AF14" s="820"/>
      <c r="AG14" s="820"/>
      <c r="AH14" s="820"/>
      <c r="AI14" s="820"/>
      <c r="AJ14" s="820"/>
      <c r="AK14" s="820"/>
      <c r="AL14" s="822">
        <v>46075</v>
      </c>
      <c r="AM14" s="822"/>
      <c r="AN14" s="822"/>
      <c r="AO14" s="822"/>
      <c r="AP14" s="822"/>
      <c r="AQ14" s="820" t="s">
        <v>191</v>
      </c>
      <c r="AR14" s="820"/>
      <c r="AS14" s="820"/>
      <c r="AT14" s="820"/>
      <c r="AU14" s="820"/>
      <c r="AV14" s="820"/>
      <c r="AW14" s="820"/>
      <c r="AX14" s="820"/>
      <c r="AY14" s="821"/>
    </row>
    <row r="15" spans="1:51" ht="12.75" customHeight="1" x14ac:dyDescent="0.2">
      <c r="A15" s="416"/>
      <c r="B15" s="836" t="s">
        <v>607</v>
      </c>
      <c r="C15" s="836"/>
      <c r="D15" s="836"/>
      <c r="E15" s="836"/>
      <c r="F15" s="836"/>
      <c r="G15" s="836"/>
      <c r="H15" s="836"/>
      <c r="I15" s="836"/>
      <c r="J15" s="836"/>
      <c r="K15" s="836"/>
      <c r="L15" s="836"/>
      <c r="M15" s="836"/>
      <c r="N15" s="836"/>
      <c r="O15" s="836"/>
      <c r="P15" s="836"/>
      <c r="Q15" s="836"/>
      <c r="R15" s="836"/>
      <c r="S15" s="836"/>
      <c r="T15" s="836"/>
      <c r="U15" s="820"/>
      <c r="V15" s="820"/>
      <c r="W15" s="820"/>
      <c r="X15" s="822">
        <v>150000</v>
      </c>
      <c r="Y15" s="822"/>
      <c r="Z15" s="822"/>
      <c r="AA15" s="822"/>
      <c r="AB15" s="822"/>
      <c r="AC15" s="820" t="s">
        <v>190</v>
      </c>
      <c r="AD15" s="820"/>
      <c r="AE15" s="820"/>
      <c r="AF15" s="820"/>
      <c r="AG15" s="820"/>
      <c r="AH15" s="820"/>
      <c r="AI15" s="820"/>
      <c r="AJ15" s="820"/>
      <c r="AK15" s="820"/>
      <c r="AL15" s="822">
        <v>150000</v>
      </c>
      <c r="AM15" s="822"/>
      <c r="AN15" s="822"/>
      <c r="AO15" s="822"/>
      <c r="AP15" s="822"/>
      <c r="AQ15" s="820" t="s">
        <v>190</v>
      </c>
      <c r="AR15" s="820"/>
      <c r="AS15" s="820"/>
      <c r="AT15" s="820"/>
      <c r="AU15" s="820"/>
      <c r="AV15" s="820"/>
      <c r="AW15" s="820"/>
      <c r="AX15" s="820"/>
      <c r="AY15" s="821"/>
    </row>
    <row r="16" spans="1:51" ht="12.75" customHeight="1" x14ac:dyDescent="0.2">
      <c r="A16" s="416"/>
      <c r="B16" s="836" t="s">
        <v>712</v>
      </c>
      <c r="C16" s="836"/>
      <c r="D16" s="836"/>
      <c r="E16" s="836"/>
      <c r="F16" s="836"/>
      <c r="G16" s="836"/>
      <c r="H16" s="836"/>
      <c r="I16" s="836"/>
      <c r="J16" s="836"/>
      <c r="K16" s="836"/>
      <c r="L16" s="836"/>
      <c r="M16" s="836"/>
      <c r="N16" s="836"/>
      <c r="O16" s="836"/>
      <c r="P16" s="836"/>
      <c r="Q16" s="836"/>
      <c r="R16" s="836"/>
      <c r="S16" s="836"/>
      <c r="T16" s="836"/>
      <c r="U16" s="820"/>
      <c r="V16" s="820"/>
      <c r="W16" s="820"/>
      <c r="X16" s="789">
        <v>397150</v>
      </c>
      <c r="Y16" s="789"/>
      <c r="Z16" s="789"/>
      <c r="AA16" s="789"/>
      <c r="AB16" s="789"/>
      <c r="AC16" s="820" t="s">
        <v>190</v>
      </c>
      <c r="AD16" s="820"/>
      <c r="AE16" s="820"/>
      <c r="AF16" s="820"/>
      <c r="AG16" s="820"/>
      <c r="AH16" s="820"/>
      <c r="AI16" s="820"/>
      <c r="AJ16" s="820"/>
      <c r="AK16" s="820"/>
      <c r="AL16" s="789">
        <v>397150</v>
      </c>
      <c r="AM16" s="789"/>
      <c r="AN16" s="789"/>
      <c r="AO16" s="789"/>
      <c r="AP16" s="789"/>
      <c r="AQ16" s="820" t="s">
        <v>190</v>
      </c>
      <c r="AR16" s="820"/>
      <c r="AS16" s="820"/>
      <c r="AT16" s="820"/>
      <c r="AU16" s="820"/>
      <c r="AV16" s="820"/>
      <c r="AW16" s="820"/>
      <c r="AX16" s="820"/>
      <c r="AY16" s="821"/>
    </row>
    <row r="17" spans="1:51" ht="12.75" customHeight="1" x14ac:dyDescent="0.2">
      <c r="A17" s="416">
        <v>0</v>
      </c>
      <c r="B17" s="845" t="s">
        <v>608</v>
      </c>
      <c r="C17" s="846"/>
      <c r="D17" s="846"/>
      <c r="E17" s="846"/>
      <c r="F17" s="846"/>
      <c r="G17" s="846"/>
      <c r="H17" s="846"/>
      <c r="I17" s="846"/>
      <c r="J17" s="846"/>
      <c r="K17" s="846"/>
      <c r="L17" s="846"/>
      <c r="M17" s="846"/>
      <c r="N17" s="846"/>
      <c r="O17" s="846"/>
      <c r="P17" s="846"/>
      <c r="Q17" s="846"/>
      <c r="R17" s="846"/>
      <c r="S17" s="846"/>
      <c r="T17" s="847"/>
      <c r="U17" s="535"/>
      <c r="V17" s="535"/>
      <c r="W17" s="535"/>
      <c r="X17" s="823">
        <v>1832748</v>
      </c>
      <c r="Y17" s="824"/>
      <c r="Z17" s="824"/>
      <c r="AA17" s="824"/>
      <c r="AB17" s="825"/>
      <c r="AC17" s="535"/>
      <c r="AD17" s="535"/>
      <c r="AE17" s="535"/>
      <c r="AF17" s="535"/>
      <c r="AG17" s="535"/>
      <c r="AH17" s="535"/>
      <c r="AI17" s="535"/>
      <c r="AJ17" s="535"/>
      <c r="AK17" s="535"/>
      <c r="AL17" s="823">
        <v>1832748</v>
      </c>
      <c r="AM17" s="824"/>
      <c r="AN17" s="824"/>
      <c r="AO17" s="824"/>
      <c r="AP17" s="825"/>
      <c r="AQ17" s="535"/>
      <c r="AR17" s="535"/>
      <c r="AS17" s="535"/>
      <c r="AT17" s="535"/>
      <c r="AU17" s="535"/>
      <c r="AV17" s="535"/>
      <c r="AW17" s="535"/>
      <c r="AX17" s="535"/>
      <c r="AY17" s="536"/>
    </row>
    <row r="18" spans="1:51" ht="23.25" customHeight="1" x14ac:dyDescent="0.2">
      <c r="A18" s="416"/>
      <c r="B18" s="836" t="s">
        <v>713</v>
      </c>
      <c r="C18" s="836"/>
      <c r="D18" s="836"/>
      <c r="E18" s="836"/>
      <c r="F18" s="836"/>
      <c r="G18" s="836"/>
      <c r="H18" s="836"/>
      <c r="I18" s="836"/>
      <c r="J18" s="836"/>
      <c r="K18" s="836"/>
      <c r="L18" s="836"/>
      <c r="M18" s="836"/>
      <c r="N18" s="836"/>
      <c r="O18" s="836"/>
      <c r="P18" s="836"/>
      <c r="Q18" s="836"/>
      <c r="R18" s="836"/>
      <c r="S18" s="836"/>
      <c r="T18" s="836"/>
      <c r="U18" s="535"/>
      <c r="V18" s="535"/>
      <c r="W18" s="535"/>
      <c r="X18" s="789">
        <v>125324</v>
      </c>
      <c r="Y18" s="789"/>
      <c r="Z18" s="789"/>
      <c r="AA18" s="789"/>
      <c r="AB18" s="789"/>
      <c r="AC18" s="820" t="s">
        <v>190</v>
      </c>
      <c r="AD18" s="820"/>
      <c r="AE18" s="820"/>
      <c r="AF18" s="820"/>
      <c r="AG18" s="820"/>
      <c r="AH18" s="535"/>
      <c r="AI18" s="535"/>
      <c r="AJ18" s="535"/>
      <c r="AK18" s="535"/>
      <c r="AL18" s="789">
        <v>125324</v>
      </c>
      <c r="AM18" s="789"/>
      <c r="AN18" s="789"/>
      <c r="AO18" s="789"/>
      <c r="AP18" s="789"/>
      <c r="AQ18" s="820" t="s">
        <v>190</v>
      </c>
      <c r="AR18" s="820"/>
      <c r="AS18" s="820"/>
      <c r="AT18" s="820"/>
      <c r="AU18" s="820"/>
      <c r="AV18" s="535"/>
      <c r="AW18" s="535"/>
      <c r="AX18" s="535"/>
      <c r="AY18" s="536"/>
    </row>
    <row r="19" spans="1:51" ht="23.25" customHeight="1" x14ac:dyDescent="0.2">
      <c r="A19" s="416"/>
      <c r="B19" s="836" t="s">
        <v>714</v>
      </c>
      <c r="C19" s="836"/>
      <c r="D19" s="836"/>
      <c r="E19" s="836"/>
      <c r="F19" s="836"/>
      <c r="G19" s="836"/>
      <c r="H19" s="836"/>
      <c r="I19" s="836"/>
      <c r="J19" s="836"/>
      <c r="K19" s="836"/>
      <c r="L19" s="836"/>
      <c r="M19" s="836"/>
      <c r="N19" s="836"/>
      <c r="O19" s="836"/>
      <c r="P19" s="836"/>
      <c r="Q19" s="836"/>
      <c r="R19" s="836"/>
      <c r="S19" s="836"/>
      <c r="T19" s="836"/>
      <c r="U19" s="535"/>
      <c r="V19" s="535"/>
      <c r="W19" s="535"/>
      <c r="X19" s="823">
        <v>184200</v>
      </c>
      <c r="Y19" s="825"/>
      <c r="Z19" s="532"/>
      <c r="AA19" s="532"/>
      <c r="AB19" s="532"/>
      <c r="AC19" s="535"/>
      <c r="AD19" s="535"/>
      <c r="AE19" s="535"/>
      <c r="AF19" s="535"/>
      <c r="AG19" s="535"/>
      <c r="AH19" s="535"/>
      <c r="AI19" s="535"/>
      <c r="AJ19" s="535"/>
      <c r="AK19" s="535"/>
      <c r="AL19" s="823">
        <v>0</v>
      </c>
      <c r="AM19" s="825"/>
      <c r="AN19" s="532"/>
      <c r="AO19" s="532"/>
      <c r="AP19" s="532"/>
      <c r="AQ19" s="535"/>
      <c r="AR19" s="535"/>
      <c r="AS19" s="535"/>
      <c r="AT19" s="535"/>
      <c r="AU19" s="535"/>
      <c r="AV19" s="535"/>
      <c r="AW19" s="535"/>
      <c r="AX19" s="535"/>
      <c r="AY19" s="536"/>
    </row>
    <row r="20" spans="1:51" ht="23.25" customHeight="1" x14ac:dyDescent="0.2">
      <c r="A20" s="416"/>
      <c r="B20" s="836" t="s">
        <v>609</v>
      </c>
      <c r="C20" s="836"/>
      <c r="D20" s="836"/>
      <c r="E20" s="836"/>
      <c r="F20" s="836"/>
      <c r="G20" s="836"/>
      <c r="H20" s="836"/>
      <c r="I20" s="836"/>
      <c r="J20" s="836"/>
      <c r="K20" s="836"/>
      <c r="L20" s="836"/>
      <c r="M20" s="836"/>
      <c r="N20" s="836"/>
      <c r="O20" s="836"/>
      <c r="P20" s="836"/>
      <c r="Q20" s="836"/>
      <c r="R20" s="836"/>
      <c r="S20" s="836"/>
      <c r="T20" s="836"/>
      <c r="U20" s="820"/>
      <c r="V20" s="820"/>
      <c r="W20" s="820"/>
      <c r="X20" s="789">
        <v>397149</v>
      </c>
      <c r="Y20" s="789"/>
      <c r="Z20" s="789"/>
      <c r="AA20" s="789"/>
      <c r="AB20" s="789"/>
      <c r="AC20" s="820" t="s">
        <v>190</v>
      </c>
      <c r="AD20" s="820"/>
      <c r="AE20" s="820"/>
      <c r="AF20" s="820"/>
      <c r="AG20" s="820"/>
      <c r="AH20" s="820"/>
      <c r="AI20" s="820"/>
      <c r="AJ20" s="820"/>
      <c r="AK20" s="820"/>
      <c r="AL20" s="789">
        <v>397149</v>
      </c>
      <c r="AM20" s="789"/>
      <c r="AN20" s="789"/>
      <c r="AO20" s="789"/>
      <c r="AP20" s="789"/>
      <c r="AQ20" s="820" t="s">
        <v>190</v>
      </c>
      <c r="AR20" s="820"/>
      <c r="AS20" s="820"/>
      <c r="AT20" s="820"/>
      <c r="AU20" s="820"/>
      <c r="AV20" s="820"/>
      <c r="AW20" s="820"/>
      <c r="AX20" s="820"/>
      <c r="AY20" s="821"/>
    </row>
    <row r="21" spans="1:51" ht="23.25" customHeight="1" x14ac:dyDescent="0.2">
      <c r="A21" s="416"/>
      <c r="B21" s="836" t="s">
        <v>812</v>
      </c>
      <c r="C21" s="836"/>
      <c r="D21" s="836"/>
      <c r="E21" s="836"/>
      <c r="F21" s="836"/>
      <c r="G21" s="836"/>
      <c r="H21" s="836"/>
      <c r="I21" s="836"/>
      <c r="J21" s="836"/>
      <c r="K21" s="836"/>
      <c r="L21" s="836"/>
      <c r="M21" s="836"/>
      <c r="N21" s="836"/>
      <c r="O21" s="836"/>
      <c r="P21" s="836"/>
      <c r="Q21" s="836"/>
      <c r="R21" s="836"/>
      <c r="S21" s="836"/>
      <c r="T21" s="836"/>
      <c r="U21" s="535"/>
      <c r="V21" s="535"/>
      <c r="W21" s="535"/>
      <c r="X21" s="823">
        <v>2000000</v>
      </c>
      <c r="Y21" s="824"/>
      <c r="Z21" s="825"/>
      <c r="AA21" s="532"/>
      <c r="AB21" s="532"/>
      <c r="AC21" s="535"/>
      <c r="AD21" s="535"/>
      <c r="AE21" s="535"/>
      <c r="AF21" s="535"/>
      <c r="AG21" s="535"/>
      <c r="AH21" s="535"/>
      <c r="AI21" s="535"/>
      <c r="AJ21" s="535"/>
      <c r="AK21" s="535"/>
      <c r="AL21" s="823">
        <v>2000000</v>
      </c>
      <c r="AM21" s="824"/>
      <c r="AN21" s="825"/>
      <c r="AO21" s="532"/>
      <c r="AP21" s="532"/>
      <c r="AQ21" s="535"/>
      <c r="AR21" s="535"/>
      <c r="AS21" s="535"/>
      <c r="AT21" s="535"/>
      <c r="AU21" s="535"/>
      <c r="AV21" s="535"/>
      <c r="AW21" s="535"/>
      <c r="AX21" s="535"/>
      <c r="AY21" s="536"/>
    </row>
    <row r="22" spans="1:51" ht="19.5" customHeight="1" x14ac:dyDescent="0.2">
      <c r="A22" s="416"/>
      <c r="B22" s="835" t="s">
        <v>192</v>
      </c>
      <c r="C22" s="835"/>
      <c r="D22" s="835"/>
      <c r="E22" s="835"/>
      <c r="F22" s="835"/>
      <c r="G22" s="835"/>
      <c r="H22" s="835"/>
      <c r="I22" s="835"/>
      <c r="J22" s="835"/>
      <c r="K22" s="835"/>
      <c r="L22" s="835"/>
      <c r="M22" s="835"/>
      <c r="N22" s="835"/>
      <c r="O22" s="835"/>
      <c r="P22" s="835"/>
      <c r="Q22" s="835"/>
      <c r="R22" s="835"/>
      <c r="S22" s="835"/>
      <c r="T22" s="835"/>
      <c r="U22" s="820"/>
      <c r="V22" s="820"/>
      <c r="W22" s="820"/>
      <c r="X22" s="819">
        <f>SUM(X12:AB21)</f>
        <v>8175495</v>
      </c>
      <c r="Y22" s="819"/>
      <c r="Z22" s="819"/>
      <c r="AA22" s="819"/>
      <c r="AB22" s="819"/>
      <c r="AC22" s="820"/>
      <c r="AD22" s="820"/>
      <c r="AE22" s="820"/>
      <c r="AF22" s="820"/>
      <c r="AG22" s="820"/>
      <c r="AH22" s="820"/>
      <c r="AI22" s="820"/>
      <c r="AJ22" s="820"/>
      <c r="AK22" s="820"/>
      <c r="AL22" s="819">
        <f>SUM(AL12:AP21)</f>
        <v>7991295</v>
      </c>
      <c r="AM22" s="819"/>
      <c r="AN22" s="819"/>
      <c r="AO22" s="819"/>
      <c r="AP22" s="819"/>
      <c r="AQ22" s="820"/>
      <c r="AR22" s="820"/>
      <c r="AS22" s="820"/>
      <c r="AT22" s="820"/>
      <c r="AU22" s="820"/>
      <c r="AV22" s="820"/>
      <c r="AW22" s="820"/>
      <c r="AX22" s="820"/>
      <c r="AY22" s="821"/>
    </row>
    <row r="23" spans="1:51" ht="19.5" customHeight="1" x14ac:dyDescent="0.2">
      <c r="A23" s="416"/>
      <c r="B23" s="849"/>
      <c r="C23" s="849"/>
      <c r="D23" s="849"/>
      <c r="E23" s="849"/>
      <c r="F23" s="849"/>
      <c r="G23" s="849"/>
      <c r="H23" s="849"/>
      <c r="I23" s="849"/>
      <c r="J23" s="849"/>
      <c r="K23" s="849"/>
      <c r="L23" s="849"/>
      <c r="M23" s="849"/>
      <c r="N23" s="849"/>
      <c r="O23" s="849"/>
      <c r="P23" s="849"/>
      <c r="Q23" s="849"/>
      <c r="R23" s="849"/>
      <c r="S23" s="849"/>
      <c r="T23" s="849"/>
      <c r="U23" s="820"/>
      <c r="V23" s="820"/>
      <c r="W23" s="820"/>
      <c r="X23" s="827"/>
      <c r="Y23" s="827"/>
      <c r="Z23" s="827"/>
      <c r="AA23" s="827"/>
      <c r="AB23" s="827"/>
      <c r="AC23" s="827"/>
      <c r="AD23" s="827"/>
      <c r="AE23" s="827"/>
      <c r="AF23" s="827"/>
      <c r="AG23" s="827"/>
      <c r="AH23" s="820"/>
      <c r="AI23" s="820"/>
      <c r="AJ23" s="820"/>
      <c r="AK23" s="820"/>
      <c r="AL23" s="827"/>
      <c r="AM23" s="827"/>
      <c r="AN23" s="827"/>
      <c r="AO23" s="827"/>
      <c r="AP23" s="827"/>
      <c r="AQ23" s="827"/>
      <c r="AR23" s="827"/>
      <c r="AS23" s="827"/>
      <c r="AT23" s="827"/>
      <c r="AU23" s="827"/>
      <c r="AV23" s="820"/>
      <c r="AW23" s="820"/>
      <c r="AX23" s="820"/>
      <c r="AY23" s="821"/>
    </row>
    <row r="24" spans="1:51" ht="19.5" customHeight="1" x14ac:dyDescent="0.2">
      <c r="A24" s="416"/>
      <c r="B24" s="837" t="s">
        <v>193</v>
      </c>
      <c r="C24" s="837"/>
      <c r="D24" s="837"/>
      <c r="E24" s="837"/>
      <c r="F24" s="837"/>
      <c r="G24" s="837"/>
      <c r="H24" s="837"/>
      <c r="I24" s="837"/>
      <c r="J24" s="837"/>
      <c r="K24" s="837"/>
      <c r="L24" s="837"/>
      <c r="M24" s="837"/>
      <c r="N24" s="837"/>
      <c r="O24" s="837"/>
      <c r="P24" s="837"/>
      <c r="Q24" s="837"/>
      <c r="R24" s="837"/>
      <c r="S24" s="837"/>
      <c r="T24" s="837"/>
      <c r="U24" s="820"/>
      <c r="V24" s="820"/>
      <c r="W24" s="820"/>
      <c r="X24" s="789"/>
      <c r="Y24" s="789"/>
      <c r="Z24" s="789"/>
      <c r="AA24" s="789"/>
      <c r="AB24" s="789"/>
      <c r="AC24" s="820"/>
      <c r="AD24" s="820"/>
      <c r="AE24" s="820"/>
      <c r="AF24" s="820"/>
      <c r="AG24" s="820"/>
      <c r="AH24" s="820"/>
      <c r="AI24" s="820"/>
      <c r="AJ24" s="820"/>
      <c r="AK24" s="820"/>
      <c r="AL24" s="789"/>
      <c r="AM24" s="789"/>
      <c r="AN24" s="789"/>
      <c r="AO24" s="789"/>
      <c r="AP24" s="789"/>
      <c r="AQ24" s="820"/>
      <c r="AR24" s="820"/>
      <c r="AS24" s="820"/>
      <c r="AT24" s="820"/>
      <c r="AU24" s="820"/>
      <c r="AV24" s="820"/>
      <c r="AW24" s="820"/>
      <c r="AX24" s="820"/>
      <c r="AY24" s="821"/>
    </row>
    <row r="25" spans="1:51" ht="26.25" customHeight="1" x14ac:dyDescent="0.2">
      <c r="A25" s="416"/>
      <c r="B25" s="836" t="s">
        <v>813</v>
      </c>
      <c r="C25" s="836"/>
      <c r="D25" s="836"/>
      <c r="E25" s="836"/>
      <c r="F25" s="836"/>
      <c r="G25" s="836"/>
      <c r="H25" s="836"/>
      <c r="I25" s="836"/>
      <c r="J25" s="836"/>
      <c r="K25" s="836"/>
      <c r="L25" s="836"/>
      <c r="M25" s="836"/>
      <c r="N25" s="836"/>
      <c r="O25" s="836"/>
      <c r="P25" s="836"/>
      <c r="Q25" s="836"/>
      <c r="R25" s="836"/>
      <c r="S25" s="836"/>
      <c r="T25" s="836"/>
      <c r="U25" s="535"/>
      <c r="V25" s="535"/>
      <c r="W25" s="535"/>
      <c r="X25" s="823">
        <v>7849000</v>
      </c>
      <c r="Y25" s="824"/>
      <c r="Z25" s="825"/>
      <c r="AA25" s="532"/>
      <c r="AB25" s="532"/>
      <c r="AC25" s="821" t="s">
        <v>814</v>
      </c>
      <c r="AD25" s="826"/>
      <c r="AE25" s="535"/>
      <c r="AF25" s="535"/>
      <c r="AG25" s="535"/>
      <c r="AH25" s="535"/>
      <c r="AI25" s="535"/>
      <c r="AJ25" s="535"/>
      <c r="AK25" s="535"/>
      <c r="AL25" s="823">
        <v>7849000</v>
      </c>
      <c r="AM25" s="824"/>
      <c r="AN25" s="825"/>
      <c r="AO25" s="532"/>
      <c r="AP25" s="532"/>
      <c r="AQ25" s="821" t="s">
        <v>814</v>
      </c>
      <c r="AR25" s="826"/>
      <c r="AS25" s="535"/>
      <c r="AT25" s="535"/>
      <c r="AU25" s="535"/>
      <c r="AV25" s="535"/>
      <c r="AW25" s="535"/>
      <c r="AX25" s="535"/>
      <c r="AY25" s="536"/>
    </row>
    <row r="26" spans="1:51" ht="19.5" customHeight="1" x14ac:dyDescent="0.2">
      <c r="A26" s="416"/>
      <c r="B26" s="838" t="s">
        <v>194</v>
      </c>
      <c r="C26" s="848"/>
      <c r="D26" s="848"/>
      <c r="E26" s="848"/>
      <c r="F26" s="848"/>
      <c r="G26" s="848"/>
      <c r="H26" s="848"/>
      <c r="I26" s="848"/>
      <c r="J26" s="848"/>
      <c r="K26" s="848"/>
      <c r="L26" s="848"/>
      <c r="M26" s="848"/>
      <c r="N26" s="848"/>
      <c r="O26" s="848"/>
      <c r="P26" s="848"/>
      <c r="Q26" s="848"/>
      <c r="R26" s="848"/>
      <c r="S26" s="848"/>
      <c r="T26" s="848"/>
      <c r="U26" s="820"/>
      <c r="V26" s="820"/>
      <c r="W26" s="820"/>
      <c r="X26" s="789">
        <v>500000</v>
      </c>
      <c r="Y26" s="789"/>
      <c r="Z26" s="789"/>
      <c r="AA26" s="789"/>
      <c r="AB26" s="789"/>
      <c r="AC26" s="820"/>
      <c r="AD26" s="820"/>
      <c r="AE26" s="820"/>
      <c r="AF26" s="820"/>
      <c r="AG26" s="820"/>
      <c r="AH26" s="820"/>
      <c r="AI26" s="820"/>
      <c r="AJ26" s="820"/>
      <c r="AK26" s="820"/>
      <c r="AL26" s="789">
        <v>500000</v>
      </c>
      <c r="AM26" s="789"/>
      <c r="AN26" s="789"/>
      <c r="AO26" s="789"/>
      <c r="AP26" s="789"/>
      <c r="AQ26" s="820"/>
      <c r="AR26" s="820"/>
      <c r="AS26" s="820"/>
      <c r="AT26" s="820"/>
      <c r="AU26" s="820"/>
      <c r="AV26" s="820"/>
      <c r="AW26" s="820"/>
      <c r="AX26" s="820"/>
      <c r="AY26" s="821"/>
    </row>
    <row r="27" spans="1:51" ht="19.5" customHeight="1" x14ac:dyDescent="0.2">
      <c r="A27" s="416"/>
      <c r="B27" s="838" t="s">
        <v>195</v>
      </c>
      <c r="C27" s="838"/>
      <c r="D27" s="838"/>
      <c r="E27" s="838"/>
      <c r="F27" s="838"/>
      <c r="G27" s="838"/>
      <c r="H27" s="838"/>
      <c r="I27" s="838"/>
      <c r="J27" s="838"/>
      <c r="K27" s="838"/>
      <c r="L27" s="838"/>
      <c r="M27" s="838"/>
      <c r="N27" s="838"/>
      <c r="O27" s="838"/>
      <c r="P27" s="838"/>
      <c r="Q27" s="838"/>
      <c r="R27" s="838"/>
      <c r="S27" s="838"/>
      <c r="T27" s="838"/>
      <c r="U27" s="820"/>
      <c r="V27" s="820"/>
      <c r="W27" s="820"/>
      <c r="X27" s="789">
        <v>1500000</v>
      </c>
      <c r="Y27" s="789"/>
      <c r="Z27" s="789"/>
      <c r="AA27" s="789"/>
      <c r="AB27" s="789"/>
      <c r="AC27" s="820" t="s">
        <v>196</v>
      </c>
      <c r="AD27" s="820"/>
      <c r="AE27" s="820"/>
      <c r="AF27" s="820"/>
      <c r="AG27" s="820"/>
      <c r="AH27" s="820"/>
      <c r="AI27" s="820"/>
      <c r="AJ27" s="820"/>
      <c r="AK27" s="820"/>
      <c r="AL27" s="789">
        <v>750000</v>
      </c>
      <c r="AM27" s="789"/>
      <c r="AN27" s="789"/>
      <c r="AO27" s="789"/>
      <c r="AP27" s="789"/>
      <c r="AQ27" s="820" t="s">
        <v>196</v>
      </c>
      <c r="AR27" s="820"/>
      <c r="AS27" s="820"/>
      <c r="AT27" s="820"/>
      <c r="AU27" s="820"/>
      <c r="AV27" s="820"/>
      <c r="AW27" s="820"/>
      <c r="AX27" s="820"/>
      <c r="AY27" s="821"/>
    </row>
    <row r="28" spans="1:51" ht="19.5" customHeight="1" x14ac:dyDescent="0.2">
      <c r="A28" s="416"/>
      <c r="B28" s="838" t="s">
        <v>610</v>
      </c>
      <c r="C28" s="838"/>
      <c r="D28" s="838"/>
      <c r="E28" s="838"/>
      <c r="F28" s="838"/>
      <c r="G28" s="838"/>
      <c r="H28" s="838"/>
      <c r="I28" s="838"/>
      <c r="J28" s="838"/>
      <c r="K28" s="838"/>
      <c r="L28" s="838"/>
      <c r="M28" s="838"/>
      <c r="N28" s="838"/>
      <c r="O28" s="838"/>
      <c r="P28" s="838"/>
      <c r="Q28" s="838"/>
      <c r="R28" s="838"/>
      <c r="S28" s="838"/>
      <c r="T28" s="838"/>
      <c r="U28" s="820"/>
      <c r="V28" s="820"/>
      <c r="W28" s="820"/>
      <c r="X28" s="789">
        <v>50000</v>
      </c>
      <c r="Y28" s="789"/>
      <c r="Z28" s="789"/>
      <c r="AA28" s="789"/>
      <c r="AB28" s="789"/>
      <c r="AC28" s="820" t="s">
        <v>197</v>
      </c>
      <c r="AD28" s="820"/>
      <c r="AE28" s="820"/>
      <c r="AF28" s="820"/>
      <c r="AG28" s="820"/>
      <c r="AH28" s="820"/>
      <c r="AI28" s="820"/>
      <c r="AJ28" s="820"/>
      <c r="AK28" s="820"/>
      <c r="AL28" s="789">
        <v>50000</v>
      </c>
      <c r="AM28" s="789"/>
      <c r="AN28" s="789"/>
      <c r="AO28" s="789"/>
      <c r="AP28" s="789"/>
      <c r="AQ28" s="820" t="s">
        <v>197</v>
      </c>
      <c r="AR28" s="820"/>
      <c r="AS28" s="820"/>
      <c r="AT28" s="820"/>
      <c r="AU28" s="820"/>
      <c r="AV28" s="820"/>
      <c r="AW28" s="820"/>
      <c r="AX28" s="820"/>
      <c r="AY28" s="821"/>
    </row>
    <row r="29" spans="1:51" ht="19.5" customHeight="1" x14ac:dyDescent="0.2">
      <c r="A29" s="416"/>
      <c r="B29" s="838" t="s">
        <v>198</v>
      </c>
      <c r="C29" s="838"/>
      <c r="D29" s="838"/>
      <c r="E29" s="838"/>
      <c r="F29" s="838"/>
      <c r="G29" s="838"/>
      <c r="H29" s="838"/>
      <c r="I29" s="838"/>
      <c r="J29" s="838"/>
      <c r="K29" s="838"/>
      <c r="L29" s="838"/>
      <c r="M29" s="838"/>
      <c r="N29" s="838"/>
      <c r="O29" s="838"/>
      <c r="P29" s="838"/>
      <c r="Q29" s="838"/>
      <c r="R29" s="838"/>
      <c r="S29" s="838"/>
      <c r="T29" s="838"/>
      <c r="U29" s="820"/>
      <c r="V29" s="820"/>
      <c r="W29" s="820"/>
      <c r="X29" s="789">
        <v>30000</v>
      </c>
      <c r="Y29" s="789"/>
      <c r="Z29" s="789"/>
      <c r="AA29" s="789"/>
      <c r="AB29" s="789"/>
      <c r="AC29" s="820" t="s">
        <v>197</v>
      </c>
      <c r="AD29" s="820"/>
      <c r="AE29" s="820"/>
      <c r="AF29" s="820"/>
      <c r="AG29" s="820"/>
      <c r="AH29" s="820"/>
      <c r="AI29" s="820"/>
      <c r="AJ29" s="820"/>
      <c r="AK29" s="820"/>
      <c r="AL29" s="789">
        <v>30000</v>
      </c>
      <c r="AM29" s="789"/>
      <c r="AN29" s="789"/>
      <c r="AO29" s="789"/>
      <c r="AP29" s="789"/>
      <c r="AQ29" s="820" t="s">
        <v>197</v>
      </c>
      <c r="AR29" s="820"/>
      <c r="AS29" s="820"/>
      <c r="AT29" s="820"/>
      <c r="AU29" s="820"/>
      <c r="AV29" s="820"/>
      <c r="AW29" s="820"/>
      <c r="AX29" s="820"/>
      <c r="AY29" s="821"/>
    </row>
    <row r="30" spans="1:51" ht="19.5" customHeight="1" x14ac:dyDescent="0.2">
      <c r="A30" s="416"/>
      <c r="B30" s="838" t="s">
        <v>715</v>
      </c>
      <c r="C30" s="838"/>
      <c r="D30" s="838"/>
      <c r="E30" s="838"/>
      <c r="F30" s="838"/>
      <c r="G30" s="838"/>
      <c r="H30" s="838"/>
      <c r="I30" s="838"/>
      <c r="J30" s="838"/>
      <c r="K30" s="838"/>
      <c r="L30" s="838"/>
      <c r="M30" s="838"/>
      <c r="N30" s="838"/>
      <c r="O30" s="838"/>
      <c r="P30" s="838"/>
      <c r="Q30" s="838"/>
      <c r="R30" s="838"/>
      <c r="S30" s="838"/>
      <c r="T30" s="838"/>
      <c r="U30" s="820"/>
      <c r="V30" s="820"/>
      <c r="W30" s="820"/>
      <c r="X30" s="789">
        <v>10000</v>
      </c>
      <c r="Y30" s="789"/>
      <c r="Z30" s="789"/>
      <c r="AA30" s="789"/>
      <c r="AB30" s="789"/>
      <c r="AC30" s="820" t="s">
        <v>197</v>
      </c>
      <c r="AD30" s="820"/>
      <c r="AE30" s="820"/>
      <c r="AF30" s="820"/>
      <c r="AG30" s="820"/>
      <c r="AH30" s="820"/>
      <c r="AI30" s="820"/>
      <c r="AJ30" s="820"/>
      <c r="AK30" s="820"/>
      <c r="AL30" s="789">
        <v>10000</v>
      </c>
      <c r="AM30" s="789"/>
      <c r="AN30" s="789"/>
      <c r="AO30" s="789"/>
      <c r="AP30" s="789"/>
      <c r="AQ30" s="820" t="s">
        <v>197</v>
      </c>
      <c r="AR30" s="820"/>
      <c r="AS30" s="820"/>
      <c r="AT30" s="820"/>
      <c r="AU30" s="820"/>
      <c r="AV30" s="820"/>
      <c r="AW30" s="820"/>
      <c r="AX30" s="820"/>
      <c r="AY30" s="821"/>
    </row>
    <row r="31" spans="1:51" ht="19.5" customHeight="1" x14ac:dyDescent="0.2">
      <c r="A31" s="416"/>
      <c r="B31" s="838" t="s">
        <v>716</v>
      </c>
      <c r="C31" s="838"/>
      <c r="D31" s="838"/>
      <c r="E31" s="838"/>
      <c r="F31" s="838"/>
      <c r="G31" s="838"/>
      <c r="H31" s="838"/>
      <c r="I31" s="838"/>
      <c r="J31" s="838"/>
      <c r="K31" s="838"/>
      <c r="L31" s="838"/>
      <c r="M31" s="838"/>
      <c r="N31" s="838"/>
      <c r="O31" s="838"/>
      <c r="P31" s="838"/>
      <c r="Q31" s="838"/>
      <c r="R31" s="838"/>
      <c r="S31" s="838"/>
      <c r="T31" s="838"/>
      <c r="U31" s="535"/>
      <c r="V31" s="535"/>
      <c r="W31" s="535"/>
      <c r="X31" s="789">
        <v>30000</v>
      </c>
      <c r="Y31" s="789"/>
      <c r="Z31" s="789"/>
      <c r="AA31" s="789"/>
      <c r="AB31" s="789"/>
      <c r="AC31" s="820" t="s">
        <v>197</v>
      </c>
      <c r="AD31" s="820"/>
      <c r="AE31" s="820"/>
      <c r="AF31" s="820"/>
      <c r="AG31" s="820"/>
      <c r="AH31" s="535"/>
      <c r="AI31" s="535"/>
      <c r="AJ31" s="535"/>
      <c r="AK31" s="535"/>
      <c r="AL31" s="789">
        <v>30000</v>
      </c>
      <c r="AM31" s="789"/>
      <c r="AN31" s="789"/>
      <c r="AO31" s="789"/>
      <c r="AP31" s="789"/>
      <c r="AQ31" s="820" t="s">
        <v>197</v>
      </c>
      <c r="AR31" s="820"/>
      <c r="AS31" s="820"/>
      <c r="AT31" s="820"/>
      <c r="AU31" s="820"/>
      <c r="AV31" s="535"/>
      <c r="AW31" s="535"/>
      <c r="AX31" s="535"/>
      <c r="AY31" s="536"/>
    </row>
    <row r="32" spans="1:51" ht="19.5" customHeight="1" x14ac:dyDescent="0.2">
      <c r="A32" s="416"/>
      <c r="B32" s="838" t="s">
        <v>717</v>
      </c>
      <c r="C32" s="838"/>
      <c r="D32" s="838"/>
      <c r="E32" s="838"/>
      <c r="F32" s="838"/>
      <c r="G32" s="838"/>
      <c r="H32" s="838"/>
      <c r="I32" s="838"/>
      <c r="J32" s="838"/>
      <c r="K32" s="838"/>
      <c r="L32" s="838"/>
      <c r="M32" s="838"/>
      <c r="N32" s="838"/>
      <c r="O32" s="838"/>
      <c r="P32" s="838"/>
      <c r="Q32" s="838"/>
      <c r="R32" s="838"/>
      <c r="S32" s="838"/>
      <c r="T32" s="838"/>
      <c r="U32" s="535"/>
      <c r="V32" s="535"/>
      <c r="W32" s="535"/>
      <c r="X32" s="789">
        <v>10000</v>
      </c>
      <c r="Y32" s="789"/>
      <c r="Z32" s="789"/>
      <c r="AA32" s="789"/>
      <c r="AB32" s="789"/>
      <c r="AC32" s="820" t="s">
        <v>197</v>
      </c>
      <c r="AD32" s="820"/>
      <c r="AE32" s="820"/>
      <c r="AF32" s="820"/>
      <c r="AG32" s="820"/>
      <c r="AH32" s="535"/>
      <c r="AI32" s="535"/>
      <c r="AJ32" s="535"/>
      <c r="AK32" s="535"/>
      <c r="AL32" s="789">
        <v>10000</v>
      </c>
      <c r="AM32" s="789"/>
      <c r="AN32" s="789"/>
      <c r="AO32" s="789"/>
      <c r="AP32" s="789"/>
      <c r="AQ32" s="820" t="s">
        <v>197</v>
      </c>
      <c r="AR32" s="820"/>
      <c r="AS32" s="820"/>
      <c r="AT32" s="820"/>
      <c r="AU32" s="820"/>
      <c r="AV32" s="535"/>
      <c r="AW32" s="535"/>
      <c r="AX32" s="535"/>
      <c r="AY32" s="536"/>
    </row>
    <row r="33" spans="1:51" ht="19.5" customHeight="1" x14ac:dyDescent="0.2">
      <c r="A33" s="416"/>
      <c r="B33" s="838" t="s">
        <v>611</v>
      </c>
      <c r="C33" s="838"/>
      <c r="D33" s="838"/>
      <c r="E33" s="838"/>
      <c r="F33" s="838"/>
      <c r="G33" s="838"/>
      <c r="H33" s="838"/>
      <c r="I33" s="838"/>
      <c r="J33" s="838"/>
      <c r="K33" s="838"/>
      <c r="L33" s="838"/>
      <c r="M33" s="838"/>
      <c r="N33" s="838"/>
      <c r="O33" s="838"/>
      <c r="P33" s="838"/>
      <c r="Q33" s="838"/>
      <c r="R33" s="838"/>
      <c r="S33" s="838"/>
      <c r="T33" s="838"/>
      <c r="U33" s="820"/>
      <c r="V33" s="820"/>
      <c r="W33" s="820"/>
      <c r="X33" s="822">
        <f>8400*12</f>
        <v>100800</v>
      </c>
      <c r="Y33" s="822"/>
      <c r="Z33" s="822"/>
      <c r="AA33" s="822"/>
      <c r="AB33" s="822"/>
      <c r="AC33" s="820" t="s">
        <v>199</v>
      </c>
      <c r="AD33" s="820"/>
      <c r="AE33" s="820"/>
      <c r="AF33" s="820"/>
      <c r="AG33" s="820"/>
      <c r="AH33" s="820"/>
      <c r="AI33" s="820"/>
      <c r="AJ33" s="820"/>
      <c r="AK33" s="820"/>
      <c r="AL33" s="822">
        <f>8400*12</f>
        <v>100800</v>
      </c>
      <c r="AM33" s="822"/>
      <c r="AN33" s="822"/>
      <c r="AO33" s="822"/>
      <c r="AP33" s="822"/>
      <c r="AQ33" s="820" t="s">
        <v>199</v>
      </c>
      <c r="AR33" s="820"/>
      <c r="AS33" s="820"/>
      <c r="AT33" s="820"/>
      <c r="AU33" s="820"/>
      <c r="AV33" s="820"/>
      <c r="AW33" s="820"/>
      <c r="AX33" s="820"/>
      <c r="AY33" s="821"/>
    </row>
    <row r="34" spans="1:51" ht="19.5" customHeight="1" x14ac:dyDescent="0.2">
      <c r="A34" s="416"/>
      <c r="B34" s="836" t="s">
        <v>815</v>
      </c>
      <c r="C34" s="836"/>
      <c r="D34" s="836"/>
      <c r="E34" s="836"/>
      <c r="F34" s="836"/>
      <c r="G34" s="836"/>
      <c r="H34" s="836"/>
      <c r="I34" s="836"/>
      <c r="J34" s="836"/>
      <c r="K34" s="836"/>
      <c r="L34" s="836"/>
      <c r="M34" s="836"/>
      <c r="N34" s="836"/>
      <c r="O34" s="836"/>
      <c r="P34" s="836"/>
      <c r="Q34" s="836"/>
      <c r="R34" s="836"/>
      <c r="S34" s="836"/>
      <c r="T34" s="836"/>
      <c r="U34" s="820"/>
      <c r="V34" s="820"/>
      <c r="W34" s="820"/>
      <c r="X34" s="789">
        <v>391424</v>
      </c>
      <c r="Y34" s="789"/>
      <c r="Z34" s="789"/>
      <c r="AA34" s="789"/>
      <c r="AB34" s="789"/>
      <c r="AC34" s="820"/>
      <c r="AD34" s="820"/>
      <c r="AE34" s="820"/>
      <c r="AF34" s="820"/>
      <c r="AG34" s="820"/>
      <c r="AH34" s="820"/>
      <c r="AI34" s="820"/>
      <c r="AJ34" s="820"/>
      <c r="AK34" s="820"/>
      <c r="AL34" s="789">
        <v>391424</v>
      </c>
      <c r="AM34" s="789"/>
      <c r="AN34" s="789"/>
      <c r="AO34" s="789"/>
      <c r="AP34" s="789"/>
      <c r="AQ34" s="820"/>
      <c r="AR34" s="820"/>
      <c r="AS34" s="820"/>
      <c r="AT34" s="820"/>
      <c r="AU34" s="820"/>
      <c r="AV34" s="820"/>
      <c r="AW34" s="820"/>
      <c r="AX34" s="820"/>
      <c r="AY34" s="821"/>
    </row>
    <row r="35" spans="1:51" ht="19.5" customHeight="1" x14ac:dyDescent="0.2">
      <c r="A35" s="416"/>
      <c r="B35" s="835" t="s">
        <v>200</v>
      </c>
      <c r="C35" s="835"/>
      <c r="D35" s="835"/>
      <c r="E35" s="835"/>
      <c r="F35" s="835"/>
      <c r="G35" s="835"/>
      <c r="H35" s="835"/>
      <c r="I35" s="835"/>
      <c r="J35" s="835"/>
      <c r="K35" s="835"/>
      <c r="L35" s="835"/>
      <c r="M35" s="835"/>
      <c r="N35" s="835"/>
      <c r="O35" s="835"/>
      <c r="P35" s="835"/>
      <c r="Q35" s="835"/>
      <c r="R35" s="835"/>
      <c r="S35" s="835"/>
      <c r="T35" s="835"/>
      <c r="U35" s="820"/>
      <c r="V35" s="820"/>
      <c r="W35" s="820"/>
      <c r="X35" s="819">
        <f>SUM(X25:AB34)</f>
        <v>10471224</v>
      </c>
      <c r="Y35" s="819"/>
      <c r="Z35" s="819"/>
      <c r="AA35" s="819"/>
      <c r="AB35" s="819"/>
      <c r="AC35" s="820"/>
      <c r="AD35" s="820"/>
      <c r="AE35" s="820"/>
      <c r="AF35" s="820"/>
      <c r="AG35" s="820"/>
      <c r="AH35" s="820"/>
      <c r="AI35" s="820"/>
      <c r="AJ35" s="820"/>
      <c r="AK35" s="820"/>
      <c r="AL35" s="819">
        <f>SUM(AL25:AP34)</f>
        <v>9721224</v>
      </c>
      <c r="AM35" s="819"/>
      <c r="AN35" s="819"/>
      <c r="AO35" s="819"/>
      <c r="AP35" s="819"/>
      <c r="AQ35" s="820"/>
      <c r="AR35" s="820"/>
      <c r="AS35" s="820"/>
      <c r="AT35" s="820"/>
      <c r="AU35" s="820"/>
      <c r="AV35" s="820"/>
      <c r="AW35" s="820"/>
      <c r="AX35" s="820"/>
      <c r="AY35" s="821"/>
    </row>
    <row r="36" spans="1:51" ht="19.5" customHeight="1" x14ac:dyDescent="0.2">
      <c r="A36" s="416"/>
      <c r="B36" s="835" t="s">
        <v>201</v>
      </c>
      <c r="C36" s="835"/>
      <c r="D36" s="835"/>
      <c r="E36" s="835"/>
      <c r="F36" s="835"/>
      <c r="G36" s="835"/>
      <c r="H36" s="835"/>
      <c r="I36" s="835"/>
      <c r="J36" s="835"/>
      <c r="K36" s="835"/>
      <c r="L36" s="835"/>
      <c r="M36" s="835"/>
      <c r="N36" s="835"/>
      <c r="O36" s="835"/>
      <c r="P36" s="835"/>
      <c r="Q36" s="835"/>
      <c r="R36" s="835"/>
      <c r="S36" s="835"/>
      <c r="T36" s="835"/>
      <c r="U36" s="820"/>
      <c r="V36" s="820"/>
      <c r="W36" s="820"/>
      <c r="X36" s="819">
        <f>+X35+X22</f>
        <v>18646719</v>
      </c>
      <c r="Y36" s="819"/>
      <c r="Z36" s="819"/>
      <c r="AA36" s="819"/>
      <c r="AB36" s="819"/>
      <c r="AC36" s="820"/>
      <c r="AD36" s="820"/>
      <c r="AE36" s="820"/>
      <c r="AF36" s="820"/>
      <c r="AG36" s="820"/>
      <c r="AH36" s="820"/>
      <c r="AI36" s="820"/>
      <c r="AJ36" s="820"/>
      <c r="AK36" s="820"/>
      <c r="AL36" s="819">
        <f>+AL35+AL22</f>
        <v>17712519</v>
      </c>
      <c r="AM36" s="819"/>
      <c r="AN36" s="819"/>
      <c r="AO36" s="819"/>
      <c r="AP36" s="819"/>
      <c r="AQ36" s="820"/>
      <c r="AR36" s="820"/>
      <c r="AS36" s="820"/>
      <c r="AT36" s="820"/>
      <c r="AU36" s="820"/>
      <c r="AV36" s="820"/>
      <c r="AW36" s="820"/>
      <c r="AX36" s="820"/>
      <c r="AY36" s="821"/>
    </row>
    <row r="37" spans="1:51" ht="19.5" customHeight="1" x14ac:dyDescent="0.2">
      <c r="A37" s="416"/>
      <c r="B37" s="836"/>
      <c r="C37" s="836"/>
      <c r="D37" s="836"/>
      <c r="E37" s="836"/>
      <c r="F37" s="836"/>
      <c r="G37" s="836"/>
      <c r="H37" s="836"/>
      <c r="I37" s="836"/>
      <c r="J37" s="836"/>
      <c r="K37" s="836"/>
      <c r="L37" s="836"/>
      <c r="M37" s="836"/>
      <c r="N37" s="836"/>
      <c r="O37" s="836"/>
      <c r="P37" s="836"/>
      <c r="Q37" s="836"/>
      <c r="R37" s="836"/>
      <c r="S37" s="836"/>
      <c r="T37" s="836"/>
      <c r="U37" s="820"/>
      <c r="V37" s="820"/>
      <c r="W37" s="820"/>
      <c r="X37" s="789"/>
      <c r="Y37" s="789"/>
      <c r="Z37" s="789"/>
      <c r="AA37" s="789"/>
      <c r="AB37" s="789"/>
      <c r="AC37" s="820" t="s">
        <v>202</v>
      </c>
      <c r="AD37" s="820"/>
      <c r="AE37" s="820"/>
      <c r="AF37" s="820"/>
      <c r="AG37" s="820"/>
      <c r="AH37" s="820"/>
      <c r="AI37" s="820"/>
      <c r="AJ37" s="820"/>
      <c r="AK37" s="820"/>
      <c r="AL37" s="789"/>
      <c r="AM37" s="789"/>
      <c r="AN37" s="789"/>
      <c r="AO37" s="789"/>
      <c r="AP37" s="789"/>
      <c r="AQ37" s="820" t="s">
        <v>202</v>
      </c>
      <c r="AR37" s="820"/>
      <c r="AS37" s="820"/>
      <c r="AT37" s="820"/>
      <c r="AU37" s="820"/>
      <c r="AV37" s="820"/>
      <c r="AW37" s="820"/>
      <c r="AX37" s="820"/>
      <c r="AY37" s="821"/>
    </row>
    <row r="38" spans="1:51" ht="19.5" customHeight="1" x14ac:dyDescent="0.2">
      <c r="A38" s="416"/>
      <c r="B38" s="836"/>
      <c r="C38" s="836"/>
      <c r="D38" s="836"/>
      <c r="E38" s="836"/>
      <c r="F38" s="836"/>
      <c r="G38" s="836"/>
      <c r="H38" s="836"/>
      <c r="I38" s="836"/>
      <c r="J38" s="836"/>
      <c r="K38" s="836"/>
      <c r="L38" s="836"/>
      <c r="M38" s="836"/>
      <c r="N38" s="836"/>
      <c r="O38" s="836"/>
      <c r="P38" s="836"/>
      <c r="Q38" s="836"/>
      <c r="R38" s="836"/>
      <c r="S38" s="836"/>
      <c r="T38" s="836"/>
      <c r="U38" s="820"/>
      <c r="V38" s="820"/>
      <c r="W38" s="820"/>
      <c r="X38" s="789"/>
      <c r="Y38" s="789"/>
      <c r="Z38" s="789"/>
      <c r="AA38" s="789"/>
      <c r="AB38" s="789"/>
      <c r="AC38" s="820" t="s">
        <v>203</v>
      </c>
      <c r="AD38" s="820"/>
      <c r="AE38" s="820"/>
      <c r="AF38" s="820"/>
      <c r="AG38" s="820"/>
      <c r="AH38" s="820"/>
      <c r="AI38" s="820"/>
      <c r="AJ38" s="820"/>
      <c r="AK38" s="820"/>
      <c r="AL38" s="789"/>
      <c r="AM38" s="789"/>
      <c r="AN38" s="789"/>
      <c r="AO38" s="789"/>
      <c r="AP38" s="789"/>
      <c r="AQ38" s="820" t="s">
        <v>203</v>
      </c>
      <c r="AR38" s="820"/>
      <c r="AS38" s="820"/>
      <c r="AT38" s="820"/>
      <c r="AU38" s="820"/>
      <c r="AV38" s="820"/>
      <c r="AW38" s="820"/>
      <c r="AX38" s="820"/>
      <c r="AY38" s="821"/>
    </row>
    <row r="39" spans="1:51" ht="19.5" customHeight="1" x14ac:dyDescent="0.2">
      <c r="A39" s="416"/>
      <c r="B39" s="835" t="s">
        <v>204</v>
      </c>
      <c r="C39" s="835"/>
      <c r="D39" s="835"/>
      <c r="E39" s="835"/>
      <c r="F39" s="835"/>
      <c r="G39" s="835"/>
      <c r="H39" s="835"/>
      <c r="I39" s="835"/>
      <c r="J39" s="835"/>
      <c r="K39" s="835"/>
      <c r="L39" s="835"/>
      <c r="M39" s="835"/>
      <c r="N39" s="835"/>
      <c r="O39" s="835"/>
      <c r="P39" s="835"/>
      <c r="Q39" s="835"/>
      <c r="R39" s="835"/>
      <c r="S39" s="835"/>
      <c r="T39" s="835"/>
      <c r="U39" s="820"/>
      <c r="V39" s="820"/>
      <c r="W39" s="820"/>
      <c r="X39" s="819">
        <f>+X37+X38</f>
        <v>0</v>
      </c>
      <c r="Y39" s="819"/>
      <c r="Z39" s="819"/>
      <c r="AA39" s="819"/>
      <c r="AB39" s="819"/>
      <c r="AC39" s="820"/>
      <c r="AD39" s="820"/>
      <c r="AE39" s="820"/>
      <c r="AF39" s="820"/>
      <c r="AG39" s="820"/>
      <c r="AH39" s="820"/>
      <c r="AI39" s="820"/>
      <c r="AJ39" s="820"/>
      <c r="AK39" s="820"/>
      <c r="AL39" s="819">
        <f>+AL37+AL38</f>
        <v>0</v>
      </c>
      <c r="AM39" s="819"/>
      <c r="AN39" s="819"/>
      <c r="AO39" s="819"/>
      <c r="AP39" s="819"/>
      <c r="AQ39" s="820"/>
      <c r="AR39" s="820"/>
      <c r="AS39" s="820"/>
      <c r="AT39" s="820"/>
      <c r="AU39" s="820"/>
      <c r="AV39" s="820"/>
      <c r="AW39" s="820"/>
      <c r="AX39" s="820"/>
      <c r="AY39" s="821"/>
    </row>
    <row r="40" spans="1:51" ht="21.95" customHeight="1" x14ac:dyDescent="0.2">
      <c r="Z40" s="487"/>
    </row>
    <row r="41" spans="1:51" ht="21.95" customHeight="1" x14ac:dyDescent="0.2"/>
    <row r="42" spans="1:51" ht="21.95" customHeight="1" x14ac:dyDescent="0.2"/>
    <row r="43" spans="1:51" ht="21.95" customHeight="1" x14ac:dyDescent="0.2"/>
    <row r="44" spans="1:51" ht="21.95" customHeight="1" x14ac:dyDescent="0.2"/>
    <row r="45" spans="1:51" ht="21.95" customHeight="1" x14ac:dyDescent="0.2"/>
    <row r="46" spans="1:51" ht="21.95" customHeight="1" x14ac:dyDescent="0.2"/>
    <row r="47" spans="1:51" ht="21.95" customHeight="1" x14ac:dyDescent="0.2"/>
    <row r="48" spans="1:51" ht="21.95" customHeight="1" x14ac:dyDescent="0.2"/>
    <row r="49" ht="21.95" customHeight="1" x14ac:dyDescent="0.2"/>
    <row r="50" ht="21.95" customHeight="1" x14ac:dyDescent="0.2"/>
    <row r="51" ht="21.95" customHeight="1" x14ac:dyDescent="0.2"/>
    <row r="52" ht="21.95" customHeight="1" x14ac:dyDescent="0.2"/>
    <row r="53" ht="21.95" customHeight="1" x14ac:dyDescent="0.2"/>
    <row r="105" spans="2:5" x14ac:dyDescent="0.2">
      <c r="B105" s="417"/>
      <c r="C105" s="417"/>
      <c r="D105" s="417"/>
      <c r="E105" s="417"/>
    </row>
    <row r="106" spans="2:5" x14ac:dyDescent="0.2">
      <c r="B106" s="417"/>
      <c r="C106" s="417"/>
      <c r="D106" s="417"/>
      <c r="E106" s="417"/>
    </row>
    <row r="107" spans="2:5" x14ac:dyDescent="0.2">
      <c r="B107" s="417"/>
      <c r="C107" s="417"/>
      <c r="D107" s="417"/>
      <c r="E107" s="417"/>
    </row>
    <row r="108" spans="2:5" x14ac:dyDescent="0.2">
      <c r="B108" s="417"/>
      <c r="C108" s="417"/>
      <c r="D108" s="417"/>
      <c r="E108" s="417"/>
    </row>
    <row r="109" spans="2:5" x14ac:dyDescent="0.2">
      <c r="B109" s="417"/>
      <c r="C109" s="417"/>
      <c r="D109" s="417"/>
      <c r="E109" s="417"/>
    </row>
    <row r="110" spans="2:5" x14ac:dyDescent="0.2">
      <c r="B110" s="417"/>
      <c r="C110" s="417"/>
      <c r="D110" s="417"/>
      <c r="E110" s="417"/>
    </row>
    <row r="111" spans="2:5" x14ac:dyDescent="0.2">
      <c r="B111" s="417"/>
      <c r="C111" s="417"/>
      <c r="D111" s="417"/>
      <c r="E111" s="417"/>
    </row>
    <row r="112" spans="2:5" x14ac:dyDescent="0.2">
      <c r="B112" s="417"/>
      <c r="C112" s="417"/>
      <c r="D112" s="417"/>
      <c r="E112" s="417"/>
    </row>
    <row r="113" spans="2:5" x14ac:dyDescent="0.2">
      <c r="B113" s="417"/>
      <c r="C113" s="417"/>
      <c r="D113" s="417"/>
      <c r="E113" s="417"/>
    </row>
    <row r="114" spans="2:5" x14ac:dyDescent="0.2">
      <c r="B114" s="417"/>
      <c r="C114" s="417"/>
      <c r="D114" s="417"/>
      <c r="E114" s="417"/>
    </row>
    <row r="115" spans="2:5" x14ac:dyDescent="0.2">
      <c r="B115" s="417"/>
      <c r="C115" s="417"/>
      <c r="D115" s="417"/>
      <c r="E115" s="417"/>
    </row>
    <row r="116" spans="2:5" x14ac:dyDescent="0.2">
      <c r="B116" s="417"/>
      <c r="C116" s="417"/>
      <c r="D116" s="417"/>
      <c r="E116" s="417"/>
    </row>
    <row r="117" spans="2:5" x14ac:dyDescent="0.2">
      <c r="B117" s="417"/>
      <c r="C117" s="417"/>
      <c r="D117" s="417"/>
      <c r="E117" s="417"/>
    </row>
    <row r="118" spans="2:5" x14ac:dyDescent="0.2">
      <c r="B118" s="417"/>
      <c r="C118" s="417"/>
      <c r="D118" s="417"/>
      <c r="E118" s="417"/>
    </row>
    <row r="119" spans="2:5" x14ac:dyDescent="0.2">
      <c r="B119" s="417"/>
      <c r="C119" s="417"/>
      <c r="D119" s="417"/>
      <c r="E119" s="417"/>
    </row>
    <row r="120" spans="2:5" x14ac:dyDescent="0.2">
      <c r="B120" s="417"/>
      <c r="C120" s="417"/>
      <c r="D120" s="417"/>
      <c r="E120" s="417"/>
    </row>
    <row r="121" spans="2:5" x14ac:dyDescent="0.2">
      <c r="B121" s="417"/>
      <c r="C121" s="417"/>
      <c r="D121" s="417"/>
      <c r="E121" s="417"/>
    </row>
    <row r="122" spans="2:5" x14ac:dyDescent="0.2">
      <c r="B122" s="417"/>
      <c r="C122" s="417"/>
      <c r="D122" s="417"/>
      <c r="E122" s="417"/>
    </row>
    <row r="123" spans="2:5" x14ac:dyDescent="0.2">
      <c r="B123" s="417"/>
      <c r="C123" s="417"/>
      <c r="D123" s="417"/>
      <c r="E123" s="417"/>
    </row>
    <row r="124" spans="2:5" x14ac:dyDescent="0.2">
      <c r="B124" s="417"/>
      <c r="C124" s="417"/>
      <c r="D124" s="417"/>
      <c r="E124" s="417"/>
    </row>
    <row r="125" spans="2:5" x14ac:dyDescent="0.2">
      <c r="B125" s="417"/>
      <c r="C125" s="417"/>
      <c r="D125" s="417"/>
      <c r="E125" s="417"/>
    </row>
    <row r="126" spans="2:5" x14ac:dyDescent="0.2">
      <c r="B126" s="417"/>
      <c r="C126" s="417"/>
      <c r="D126" s="417"/>
      <c r="E126" s="417"/>
    </row>
    <row r="127" spans="2:5" x14ac:dyDescent="0.2">
      <c r="B127" s="417"/>
      <c r="C127" s="417"/>
      <c r="D127" s="417"/>
      <c r="E127" s="417"/>
    </row>
    <row r="128" spans="2:5" x14ac:dyDescent="0.2">
      <c r="B128" s="417"/>
      <c r="C128" s="417"/>
      <c r="D128" s="417"/>
      <c r="E128" s="417"/>
    </row>
    <row r="129" spans="2:5" x14ac:dyDescent="0.2">
      <c r="B129" s="417"/>
      <c r="C129" s="417"/>
      <c r="D129" s="417"/>
      <c r="E129" s="417"/>
    </row>
    <row r="130" spans="2:5" x14ac:dyDescent="0.2">
      <c r="B130" s="417"/>
      <c r="C130" s="417"/>
      <c r="D130" s="417"/>
      <c r="E130" s="417"/>
    </row>
    <row r="131" spans="2:5" x14ac:dyDescent="0.2">
      <c r="B131" s="417"/>
      <c r="C131" s="417"/>
      <c r="D131" s="417"/>
      <c r="E131" s="417"/>
    </row>
    <row r="132" spans="2:5" x14ac:dyDescent="0.2">
      <c r="B132" s="417"/>
      <c r="C132" s="417"/>
      <c r="D132" s="417"/>
      <c r="E132" s="417"/>
    </row>
    <row r="133" spans="2:5" x14ac:dyDescent="0.2">
      <c r="B133" s="417"/>
      <c r="C133" s="417"/>
      <c r="D133" s="417"/>
      <c r="E133" s="417"/>
    </row>
    <row r="134" spans="2:5" x14ac:dyDescent="0.2">
      <c r="B134" s="417"/>
      <c r="C134" s="417"/>
      <c r="D134" s="417"/>
      <c r="E134" s="417"/>
    </row>
    <row r="135" spans="2:5" x14ac:dyDescent="0.2">
      <c r="B135" s="417"/>
      <c r="C135" s="417"/>
      <c r="D135" s="417"/>
      <c r="E135" s="417"/>
    </row>
    <row r="136" spans="2:5" x14ac:dyDescent="0.2">
      <c r="B136" s="417"/>
      <c r="C136" s="417"/>
      <c r="D136" s="417"/>
      <c r="E136" s="417"/>
    </row>
    <row r="137" spans="2:5" x14ac:dyDescent="0.2">
      <c r="B137" s="417"/>
      <c r="C137" s="417"/>
      <c r="D137" s="417"/>
      <c r="E137" s="417"/>
    </row>
    <row r="138" spans="2:5" x14ac:dyDescent="0.2">
      <c r="B138" s="417"/>
      <c r="C138" s="417"/>
      <c r="D138" s="417"/>
      <c r="E138" s="417"/>
    </row>
    <row r="139" spans="2:5" x14ac:dyDescent="0.2">
      <c r="B139" s="417"/>
      <c r="C139" s="417"/>
      <c r="D139" s="417"/>
      <c r="E139" s="417"/>
    </row>
    <row r="140" spans="2:5" x14ac:dyDescent="0.2">
      <c r="B140" s="417"/>
      <c r="C140" s="417"/>
      <c r="D140" s="417"/>
      <c r="E140" s="417"/>
    </row>
    <row r="141" spans="2:5" x14ac:dyDescent="0.2">
      <c r="B141" s="417"/>
      <c r="C141" s="417"/>
      <c r="D141" s="417"/>
      <c r="E141" s="417"/>
    </row>
    <row r="142" spans="2:5" x14ac:dyDescent="0.2">
      <c r="B142" s="417"/>
      <c r="C142" s="417"/>
      <c r="D142" s="417"/>
      <c r="E142" s="417"/>
    </row>
    <row r="143" spans="2:5" x14ac:dyDescent="0.2">
      <c r="B143" s="417"/>
      <c r="C143" s="417"/>
      <c r="D143" s="417"/>
      <c r="E143" s="417"/>
    </row>
    <row r="144" spans="2:5" x14ac:dyDescent="0.2">
      <c r="B144" s="417"/>
      <c r="C144" s="417"/>
      <c r="D144" s="417"/>
      <c r="E144" s="417"/>
    </row>
    <row r="145" spans="2:5" x14ac:dyDescent="0.2">
      <c r="B145" s="417"/>
      <c r="C145" s="417"/>
      <c r="D145" s="417"/>
      <c r="E145" s="417"/>
    </row>
    <row r="146" spans="2:5" x14ac:dyDescent="0.2">
      <c r="B146" s="417"/>
      <c r="C146" s="417"/>
      <c r="D146" s="417"/>
      <c r="E146" s="417"/>
    </row>
    <row r="147" spans="2:5" x14ac:dyDescent="0.2">
      <c r="B147" s="417"/>
      <c r="C147" s="417"/>
      <c r="D147" s="417"/>
      <c r="E147" s="417"/>
    </row>
    <row r="148" spans="2:5" x14ac:dyDescent="0.2">
      <c r="B148" s="417"/>
      <c r="C148" s="417"/>
      <c r="D148" s="417"/>
      <c r="E148" s="417"/>
    </row>
    <row r="149" spans="2:5" x14ac:dyDescent="0.2">
      <c r="B149" s="417"/>
      <c r="C149" s="417"/>
      <c r="D149" s="417"/>
      <c r="E149" s="417"/>
    </row>
    <row r="150" spans="2:5" x14ac:dyDescent="0.2">
      <c r="B150" s="417"/>
      <c r="C150" s="417"/>
      <c r="D150" s="417"/>
      <c r="E150" s="417"/>
    </row>
    <row r="151" spans="2:5" x14ac:dyDescent="0.2">
      <c r="B151" s="417"/>
      <c r="C151" s="417"/>
      <c r="D151" s="417"/>
      <c r="E151" s="417"/>
    </row>
    <row r="152" spans="2:5" x14ac:dyDescent="0.2">
      <c r="B152" s="417"/>
      <c r="C152" s="417"/>
      <c r="D152" s="417"/>
      <c r="E152" s="417"/>
    </row>
    <row r="153" spans="2:5" x14ac:dyDescent="0.2">
      <c r="B153" s="417"/>
      <c r="C153" s="417"/>
      <c r="D153" s="417"/>
      <c r="E153" s="417"/>
    </row>
    <row r="154" spans="2:5" x14ac:dyDescent="0.2">
      <c r="B154" s="417"/>
      <c r="C154" s="417"/>
      <c r="D154" s="417"/>
      <c r="E154" s="417"/>
    </row>
    <row r="155" spans="2:5" x14ac:dyDescent="0.2">
      <c r="B155" s="417"/>
      <c r="C155" s="417"/>
      <c r="D155" s="417"/>
      <c r="E155" s="417"/>
    </row>
    <row r="156" spans="2:5" x14ac:dyDescent="0.2">
      <c r="B156" s="417"/>
      <c r="C156" s="417"/>
      <c r="D156" s="417"/>
      <c r="E156" s="417"/>
    </row>
    <row r="157" spans="2:5" x14ac:dyDescent="0.2">
      <c r="B157" s="417"/>
      <c r="C157" s="417"/>
      <c r="D157" s="417"/>
      <c r="E157" s="417"/>
    </row>
    <row r="158" spans="2:5" x14ac:dyDescent="0.2">
      <c r="B158" s="417"/>
      <c r="C158" s="417"/>
      <c r="D158" s="417"/>
      <c r="E158" s="417"/>
    </row>
    <row r="159" spans="2:5" x14ac:dyDescent="0.2">
      <c r="B159" s="417"/>
      <c r="C159" s="417"/>
      <c r="D159" s="417"/>
      <c r="E159" s="417"/>
    </row>
    <row r="160" spans="2:5" x14ac:dyDescent="0.2">
      <c r="B160" s="417"/>
      <c r="C160" s="417"/>
      <c r="D160" s="417"/>
      <c r="E160" s="417"/>
    </row>
    <row r="161" spans="2:5" x14ac:dyDescent="0.2">
      <c r="B161" s="417"/>
      <c r="C161" s="417"/>
      <c r="D161" s="417"/>
      <c r="E161" s="417"/>
    </row>
    <row r="162" spans="2:5" x14ac:dyDescent="0.2">
      <c r="B162" s="417"/>
      <c r="C162" s="417"/>
      <c r="D162" s="417"/>
      <c r="E162" s="417"/>
    </row>
    <row r="163" spans="2:5" x14ac:dyDescent="0.2">
      <c r="B163" s="417"/>
      <c r="C163" s="417"/>
      <c r="D163" s="417"/>
      <c r="E163" s="417"/>
    </row>
    <row r="164" spans="2:5" x14ac:dyDescent="0.2">
      <c r="B164" s="417"/>
      <c r="C164" s="417"/>
      <c r="D164" s="417"/>
      <c r="E164" s="417"/>
    </row>
    <row r="165" spans="2:5" x14ac:dyDescent="0.2">
      <c r="B165" s="417"/>
      <c r="C165" s="417"/>
      <c r="D165" s="417"/>
      <c r="E165" s="417"/>
    </row>
    <row r="166" spans="2:5" x14ac:dyDescent="0.2">
      <c r="B166" s="417"/>
      <c r="C166" s="417"/>
      <c r="D166" s="417"/>
      <c r="E166" s="417"/>
    </row>
    <row r="167" spans="2:5" x14ac:dyDescent="0.2">
      <c r="B167" s="417"/>
      <c r="C167" s="417"/>
      <c r="D167" s="417"/>
      <c r="E167" s="417"/>
    </row>
    <row r="168" spans="2:5" x14ac:dyDescent="0.2">
      <c r="B168" s="417"/>
      <c r="C168" s="417"/>
      <c r="D168" s="417"/>
      <c r="E168" s="417"/>
    </row>
    <row r="169" spans="2:5" x14ac:dyDescent="0.2">
      <c r="B169" s="417"/>
      <c r="C169" s="417"/>
      <c r="D169" s="417"/>
      <c r="E169" s="417"/>
    </row>
    <row r="170" spans="2:5" x14ac:dyDescent="0.2">
      <c r="B170" s="417"/>
      <c r="C170" s="417"/>
      <c r="D170" s="417"/>
      <c r="E170" s="417"/>
    </row>
    <row r="171" spans="2:5" x14ac:dyDescent="0.2">
      <c r="B171" s="417"/>
      <c r="C171" s="417"/>
      <c r="D171" s="417"/>
      <c r="E171" s="417"/>
    </row>
    <row r="172" spans="2:5" x14ac:dyDescent="0.2">
      <c r="B172" s="417"/>
      <c r="C172" s="417"/>
      <c r="D172" s="417"/>
      <c r="E172" s="417"/>
    </row>
    <row r="173" spans="2:5" x14ac:dyDescent="0.2">
      <c r="B173" s="417"/>
      <c r="C173" s="417"/>
      <c r="D173" s="417"/>
      <c r="E173" s="417"/>
    </row>
    <row r="174" spans="2:5" x14ac:dyDescent="0.2">
      <c r="B174" s="417"/>
      <c r="C174" s="417"/>
      <c r="D174" s="417"/>
      <c r="E174" s="417"/>
    </row>
    <row r="175" spans="2:5" x14ac:dyDescent="0.2">
      <c r="B175" s="417"/>
      <c r="C175" s="417"/>
      <c r="D175" s="417"/>
      <c r="E175" s="417"/>
    </row>
    <row r="176" spans="2:5" x14ac:dyDescent="0.2">
      <c r="B176" s="417"/>
      <c r="C176" s="417"/>
      <c r="D176" s="417"/>
      <c r="E176" s="417"/>
    </row>
    <row r="177" spans="2:5" x14ac:dyDescent="0.2">
      <c r="B177" s="417"/>
      <c r="C177" s="417"/>
      <c r="D177" s="417"/>
      <c r="E177" s="417"/>
    </row>
    <row r="178" spans="2:5" x14ac:dyDescent="0.2">
      <c r="B178" s="417"/>
      <c r="C178" s="417"/>
      <c r="D178" s="417"/>
      <c r="E178" s="417"/>
    </row>
    <row r="179" spans="2:5" x14ac:dyDescent="0.2">
      <c r="B179" s="417"/>
      <c r="C179" s="417"/>
      <c r="D179" s="417"/>
      <c r="E179" s="417"/>
    </row>
    <row r="180" spans="2:5" x14ac:dyDescent="0.2">
      <c r="B180" s="417"/>
      <c r="C180" s="417"/>
      <c r="D180" s="417"/>
      <c r="E180" s="417"/>
    </row>
    <row r="181" spans="2:5" x14ac:dyDescent="0.2">
      <c r="B181" s="417"/>
      <c r="C181" s="417"/>
      <c r="D181" s="417"/>
      <c r="E181" s="417"/>
    </row>
    <row r="182" spans="2:5" x14ac:dyDescent="0.2">
      <c r="B182" s="417"/>
      <c r="C182" s="417"/>
      <c r="D182" s="417"/>
      <c r="E182" s="417"/>
    </row>
    <row r="183" spans="2:5" x14ac:dyDescent="0.2">
      <c r="B183" s="417"/>
      <c r="C183" s="417"/>
      <c r="D183" s="417"/>
      <c r="E183" s="417"/>
    </row>
    <row r="184" spans="2:5" x14ac:dyDescent="0.2">
      <c r="B184" s="417"/>
      <c r="C184" s="417"/>
      <c r="D184" s="417"/>
      <c r="E184" s="417"/>
    </row>
    <row r="185" spans="2:5" x14ac:dyDescent="0.2">
      <c r="B185" s="417"/>
      <c r="C185" s="417"/>
      <c r="D185" s="417"/>
      <c r="E185" s="417"/>
    </row>
    <row r="186" spans="2:5" x14ac:dyDescent="0.2">
      <c r="B186" s="417"/>
      <c r="C186" s="417"/>
      <c r="D186" s="417"/>
      <c r="E186" s="417"/>
    </row>
    <row r="187" spans="2:5" x14ac:dyDescent="0.2">
      <c r="B187" s="417"/>
      <c r="C187" s="417"/>
      <c r="D187" s="417"/>
      <c r="E187" s="417"/>
    </row>
  </sheetData>
  <mergeCells count="221">
    <mergeCell ref="U16:W16"/>
    <mergeCell ref="U23:W23"/>
    <mergeCell ref="U28:W28"/>
    <mergeCell ref="U30:W30"/>
    <mergeCell ref="B35:T35"/>
    <mergeCell ref="B34:T34"/>
    <mergeCell ref="U35:W35"/>
    <mergeCell ref="B36:T36"/>
    <mergeCell ref="B37:T37"/>
    <mergeCell ref="U37:W37"/>
    <mergeCell ref="B17:T17"/>
    <mergeCell ref="B18:T18"/>
    <mergeCell ref="B29:T29"/>
    <mergeCell ref="B30:T30"/>
    <mergeCell ref="B27:T27"/>
    <mergeCell ref="B28:T28"/>
    <mergeCell ref="B33:T33"/>
    <mergeCell ref="B31:T31"/>
    <mergeCell ref="B32:T32"/>
    <mergeCell ref="B22:T22"/>
    <mergeCell ref="B25:T25"/>
    <mergeCell ref="B26:T26"/>
    <mergeCell ref="B23:T23"/>
    <mergeCell ref="B24:T24"/>
    <mergeCell ref="B1:W2"/>
    <mergeCell ref="B3:W3"/>
    <mergeCell ref="B4:W4"/>
    <mergeCell ref="G5:T5"/>
    <mergeCell ref="B6:W6"/>
    <mergeCell ref="U9:W10"/>
    <mergeCell ref="U11:W11"/>
    <mergeCell ref="X8:AH8"/>
    <mergeCell ref="X9:AB10"/>
    <mergeCell ref="AC9:AG10"/>
    <mergeCell ref="AH9:AK10"/>
    <mergeCell ref="X11:AB11"/>
    <mergeCell ref="AC11:AG11"/>
    <mergeCell ref="AH11:AK11"/>
    <mergeCell ref="B15:T15"/>
    <mergeCell ref="B16:T16"/>
    <mergeCell ref="B21:T21"/>
    <mergeCell ref="A9:A10"/>
    <mergeCell ref="B9:T9"/>
    <mergeCell ref="B13:T13"/>
    <mergeCell ref="B11:T11"/>
    <mergeCell ref="B14:T14"/>
    <mergeCell ref="B12:T12"/>
    <mergeCell ref="B19:T19"/>
    <mergeCell ref="B20:T20"/>
    <mergeCell ref="U15:W15"/>
    <mergeCell ref="X15:AB15"/>
    <mergeCell ref="AC15:AG15"/>
    <mergeCell ref="AH15:AK15"/>
    <mergeCell ref="U12:W12"/>
    <mergeCell ref="X12:AB12"/>
    <mergeCell ref="AC12:AG12"/>
    <mergeCell ref="AH12:AK12"/>
    <mergeCell ref="U13:W13"/>
    <mergeCell ref="X13:AB13"/>
    <mergeCell ref="AC13:AG13"/>
    <mergeCell ref="AH13:AK13"/>
    <mergeCell ref="U14:W14"/>
    <mergeCell ref="X18:AB18"/>
    <mergeCell ref="AC18:AG18"/>
    <mergeCell ref="X19:Y19"/>
    <mergeCell ref="X16:AB16"/>
    <mergeCell ref="AC16:AG16"/>
    <mergeCell ref="AH16:AK16"/>
    <mergeCell ref="X17:AB17"/>
    <mergeCell ref="X14:AB14"/>
    <mergeCell ref="AC14:AG14"/>
    <mergeCell ref="AH14:AK14"/>
    <mergeCell ref="AH20:AK20"/>
    <mergeCell ref="X21:Z21"/>
    <mergeCell ref="U22:W22"/>
    <mergeCell ref="X22:AB22"/>
    <mergeCell ref="AC22:AG22"/>
    <mergeCell ref="AH22:AK22"/>
    <mergeCell ref="U20:W20"/>
    <mergeCell ref="X20:AB20"/>
    <mergeCell ref="AC20:AG20"/>
    <mergeCell ref="X25:Z25"/>
    <mergeCell ref="AC25:AD25"/>
    <mergeCell ref="U26:W26"/>
    <mergeCell ref="X26:AB26"/>
    <mergeCell ref="AC26:AG26"/>
    <mergeCell ref="X23:AB23"/>
    <mergeCell ref="AC23:AG23"/>
    <mergeCell ref="AH23:AK23"/>
    <mergeCell ref="U24:W24"/>
    <mergeCell ref="X24:AB24"/>
    <mergeCell ref="AC24:AG24"/>
    <mergeCell ref="AH24:AK24"/>
    <mergeCell ref="X28:AB28"/>
    <mergeCell ref="AC28:AG28"/>
    <mergeCell ref="AH28:AK28"/>
    <mergeCell ref="U29:W29"/>
    <mergeCell ref="X29:AB29"/>
    <mergeCell ref="AC29:AG29"/>
    <mergeCell ref="AH29:AK29"/>
    <mergeCell ref="AH26:AK26"/>
    <mergeCell ref="U27:W27"/>
    <mergeCell ref="X27:AB27"/>
    <mergeCell ref="AC27:AG27"/>
    <mergeCell ref="AH27:AK27"/>
    <mergeCell ref="X32:AB32"/>
    <mergeCell ref="AC32:AG32"/>
    <mergeCell ref="U33:W33"/>
    <mergeCell ref="X33:AB33"/>
    <mergeCell ref="AC33:AG33"/>
    <mergeCell ref="X30:AB30"/>
    <mergeCell ref="AC30:AG30"/>
    <mergeCell ref="AH30:AK30"/>
    <mergeCell ref="X31:AB31"/>
    <mergeCell ref="AC31:AG31"/>
    <mergeCell ref="X35:AB35"/>
    <mergeCell ref="AC35:AG35"/>
    <mergeCell ref="AH35:AK35"/>
    <mergeCell ref="U36:W36"/>
    <mergeCell ref="X36:AB36"/>
    <mergeCell ref="AC36:AG36"/>
    <mergeCell ref="AH36:AK36"/>
    <mergeCell ref="AH33:AK33"/>
    <mergeCell ref="U34:W34"/>
    <mergeCell ref="X34:AB34"/>
    <mergeCell ref="AC34:AG34"/>
    <mergeCell ref="AH34:AK34"/>
    <mergeCell ref="AC39:AG39"/>
    <mergeCell ref="AH39:AK39"/>
    <mergeCell ref="B39:T39"/>
    <mergeCell ref="U39:W39"/>
    <mergeCell ref="X39:AB39"/>
    <mergeCell ref="X37:AB37"/>
    <mergeCell ref="AC37:AG37"/>
    <mergeCell ref="AH37:AK37"/>
    <mergeCell ref="B38:T38"/>
    <mergeCell ref="U38:W38"/>
    <mergeCell ref="X38:AB38"/>
    <mergeCell ref="AC38:AG38"/>
    <mergeCell ref="AH38:AK38"/>
    <mergeCell ref="AL8:AV8"/>
    <mergeCell ref="AL9:AP10"/>
    <mergeCell ref="AQ9:AU10"/>
    <mergeCell ref="AV9:AY10"/>
    <mergeCell ref="AL11:AP11"/>
    <mergeCell ref="AQ11:AU11"/>
    <mergeCell ref="AV11:AY11"/>
    <mergeCell ref="AL12:AP12"/>
    <mergeCell ref="AQ12:AU12"/>
    <mergeCell ref="AV12:AY12"/>
    <mergeCell ref="AL13:AP13"/>
    <mergeCell ref="AQ13:AU13"/>
    <mergeCell ref="AV13:AY13"/>
    <mergeCell ref="AL14:AP14"/>
    <mergeCell ref="AQ14:AU14"/>
    <mergeCell ref="AV14:AY14"/>
    <mergeCell ref="AL15:AP15"/>
    <mergeCell ref="AQ15:AU15"/>
    <mergeCell ref="AV15:AY15"/>
    <mergeCell ref="AL16:AP16"/>
    <mergeCell ref="AQ16:AU16"/>
    <mergeCell ref="AV16:AY16"/>
    <mergeCell ref="AL17:AP17"/>
    <mergeCell ref="AL18:AP18"/>
    <mergeCell ref="AQ18:AU18"/>
    <mergeCell ref="AL19:AM19"/>
    <mergeCell ref="AL20:AP20"/>
    <mergeCell ref="AQ20:AU20"/>
    <mergeCell ref="AV20:AY20"/>
    <mergeCell ref="AL21:AN21"/>
    <mergeCell ref="AL22:AP22"/>
    <mergeCell ref="AQ22:AU22"/>
    <mergeCell ref="AV22:AY22"/>
    <mergeCell ref="AL23:AP23"/>
    <mergeCell ref="AQ23:AU23"/>
    <mergeCell ref="AV23:AY23"/>
    <mergeCell ref="AL24:AP24"/>
    <mergeCell ref="AQ24:AU24"/>
    <mergeCell ref="AV24:AY24"/>
    <mergeCell ref="AL25:AN25"/>
    <mergeCell ref="AQ25:AR25"/>
    <mergeCell ref="AL26:AP26"/>
    <mergeCell ref="AQ26:AU26"/>
    <mergeCell ref="AV26:AY26"/>
    <mergeCell ref="AL27:AP27"/>
    <mergeCell ref="AQ27:AU27"/>
    <mergeCell ref="AV27:AY27"/>
    <mergeCell ref="AL28:AP28"/>
    <mergeCell ref="AQ28:AU28"/>
    <mergeCell ref="AV28:AY28"/>
    <mergeCell ref="AL29:AP29"/>
    <mergeCell ref="AQ29:AU29"/>
    <mergeCell ref="AV29:AY29"/>
    <mergeCell ref="AL30:AP30"/>
    <mergeCell ref="AQ30:AU30"/>
    <mergeCell ref="AV30:AY30"/>
    <mergeCell ref="AL31:AP31"/>
    <mergeCell ref="AQ31:AU31"/>
    <mergeCell ref="AL32:AP32"/>
    <mergeCell ref="AQ32:AU32"/>
    <mergeCell ref="AL33:AP33"/>
    <mergeCell ref="AQ33:AU33"/>
    <mergeCell ref="AV33:AY33"/>
    <mergeCell ref="AL34:AP34"/>
    <mergeCell ref="AQ34:AU34"/>
    <mergeCell ref="AV34:AY34"/>
    <mergeCell ref="AL35:AP35"/>
    <mergeCell ref="AQ35:AU35"/>
    <mergeCell ref="AV35:AY35"/>
    <mergeCell ref="AL39:AP39"/>
    <mergeCell ref="AQ39:AU39"/>
    <mergeCell ref="AV39:AY39"/>
    <mergeCell ref="AL36:AP36"/>
    <mergeCell ref="AQ36:AU36"/>
    <mergeCell ref="AV36:AY36"/>
    <mergeCell ref="AL37:AP37"/>
    <mergeCell ref="AQ37:AU37"/>
    <mergeCell ref="AV37:AY37"/>
    <mergeCell ref="AL38:AP38"/>
    <mergeCell ref="AQ38:AU38"/>
    <mergeCell ref="AV38:AY38"/>
  </mergeCells>
  <pageMargins left="0.23622047244094491" right="0.23622047244094491" top="0.74803149606299213" bottom="0.74803149606299213" header="0.31496062992125984" footer="0.31496062992125984"/>
  <pageSetup paperSize="9" scale="80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79"/>
  <sheetViews>
    <sheetView topLeftCell="A52" workbookViewId="0">
      <selection activeCell="B35" sqref="B35:E35"/>
    </sheetView>
  </sheetViews>
  <sheetFormatPr defaultRowHeight="15" x14ac:dyDescent="0.25"/>
  <cols>
    <col min="1" max="1" width="38.140625" style="158" customWidth="1"/>
    <col min="2" max="2" width="16.7109375" style="161" bestFit="1" customWidth="1"/>
    <col min="3" max="3" width="18" style="161" bestFit="1" customWidth="1"/>
    <col min="4" max="4" width="15.5703125" style="161" bestFit="1" customWidth="1"/>
    <col min="5" max="5" width="18" style="161" bestFit="1" customWidth="1"/>
    <col min="6" max="7" width="9.140625" style="158" customWidth="1"/>
    <col min="8" max="8" width="9.85546875" style="306" bestFit="1" customWidth="1"/>
  </cols>
  <sheetData>
    <row r="1" spans="1:5" ht="18" x14ac:dyDescent="0.25">
      <c r="A1" s="850" t="s">
        <v>602</v>
      </c>
      <c r="B1" s="850"/>
      <c r="C1" s="850"/>
      <c r="D1" s="850"/>
      <c r="E1" s="850"/>
    </row>
    <row r="2" spans="1:5" ht="18.75" x14ac:dyDescent="0.3">
      <c r="A2" s="851" t="s">
        <v>3</v>
      </c>
      <c r="B2" s="851"/>
      <c r="C2" s="851"/>
      <c r="D2" s="851"/>
      <c r="E2" s="851"/>
    </row>
    <row r="4" spans="1:5" ht="45" customHeight="1" x14ac:dyDescent="0.25">
      <c r="A4" s="852" t="s">
        <v>205</v>
      </c>
      <c r="B4" s="852"/>
      <c r="C4" s="852"/>
      <c r="D4" s="852"/>
      <c r="E4" s="852"/>
    </row>
    <row r="5" spans="1:5" ht="29.25" customHeight="1" x14ac:dyDescent="0.25"/>
    <row r="6" spans="1:5" ht="18" customHeight="1" x14ac:dyDescent="0.25"/>
    <row r="7" spans="1:5" ht="15.75" x14ac:dyDescent="0.25">
      <c r="B7" s="853"/>
      <c r="C7" s="853"/>
      <c r="D7" s="853"/>
      <c r="E7" s="853"/>
    </row>
    <row r="8" spans="1:5" ht="33.75" customHeight="1" x14ac:dyDescent="0.25">
      <c r="A8" s="162" t="s">
        <v>206</v>
      </c>
      <c r="B8" s="854" t="s">
        <v>612</v>
      </c>
      <c r="C8" s="855"/>
      <c r="D8" s="855"/>
      <c r="E8" s="856"/>
    </row>
    <row r="9" spans="1:5" ht="15.75" thickBot="1" x14ac:dyDescent="0.3">
      <c r="E9" s="161" t="s">
        <v>221</v>
      </c>
    </row>
    <row r="10" spans="1:5" ht="16.5" thickBot="1" x14ac:dyDescent="0.3">
      <c r="A10" s="163" t="s">
        <v>207</v>
      </c>
      <c r="B10" s="164">
        <v>2019</v>
      </c>
      <c r="C10" s="164">
        <v>2020</v>
      </c>
      <c r="D10" s="164">
        <v>2021</v>
      </c>
      <c r="E10" s="165" t="s">
        <v>208</v>
      </c>
    </row>
    <row r="11" spans="1:5" ht="15.75" x14ac:dyDescent="0.25">
      <c r="A11" s="166" t="s">
        <v>209</v>
      </c>
      <c r="B11" s="167"/>
      <c r="C11" s="167"/>
      <c r="D11" s="167"/>
      <c r="E11" s="168">
        <f t="shared" ref="E11:E17" si="0">SUM(B11:D11)</f>
        <v>0</v>
      </c>
    </row>
    <row r="12" spans="1:5" ht="15.75" x14ac:dyDescent="0.25">
      <c r="A12" s="169" t="s">
        <v>210</v>
      </c>
      <c r="B12" s="170"/>
      <c r="C12" s="170"/>
      <c r="D12" s="170"/>
      <c r="E12" s="168">
        <f t="shared" si="0"/>
        <v>0</v>
      </c>
    </row>
    <row r="13" spans="1:5" ht="15.75" x14ac:dyDescent="0.25">
      <c r="A13" s="171" t="s">
        <v>211</v>
      </c>
      <c r="B13" s="170">
        <v>152463696</v>
      </c>
      <c r="C13" s="170"/>
      <c r="D13" s="170"/>
      <c r="E13" s="168">
        <f t="shared" si="0"/>
        <v>152463696</v>
      </c>
    </row>
    <row r="14" spans="1:5" ht="15.75" x14ac:dyDescent="0.25">
      <c r="A14" s="171" t="s">
        <v>212</v>
      </c>
      <c r="B14" s="170"/>
      <c r="C14" s="170"/>
      <c r="D14" s="170"/>
      <c r="E14" s="168">
        <f t="shared" si="0"/>
        <v>0</v>
      </c>
    </row>
    <row r="15" spans="1:5" ht="15.75" x14ac:dyDescent="0.25">
      <c r="A15" s="171" t="s">
        <v>213</v>
      </c>
      <c r="B15" s="170"/>
      <c r="C15" s="170"/>
      <c r="D15" s="170"/>
      <c r="E15" s="168">
        <f t="shared" si="0"/>
        <v>0</v>
      </c>
    </row>
    <row r="16" spans="1:5" ht="16.5" thickBot="1" x14ac:dyDescent="0.3">
      <c r="A16" s="172" t="s">
        <v>214</v>
      </c>
      <c r="B16" s="173"/>
      <c r="C16" s="173"/>
      <c r="D16" s="173"/>
      <c r="E16" s="174">
        <f t="shared" si="0"/>
        <v>0</v>
      </c>
    </row>
    <row r="17" spans="1:5" ht="16.5" thickBot="1" x14ac:dyDescent="0.3">
      <c r="A17" s="163" t="s">
        <v>215</v>
      </c>
      <c r="B17" s="175">
        <f>SUM(B11:B16)</f>
        <v>152463696</v>
      </c>
      <c r="C17" s="175">
        <f>SUM(C11:C16)</f>
        <v>0</v>
      </c>
      <c r="D17" s="175">
        <f>SUM(D11:D16)</f>
        <v>0</v>
      </c>
      <c r="E17" s="176">
        <f t="shared" si="0"/>
        <v>152463696</v>
      </c>
    </row>
    <row r="18" spans="1:5" ht="16.5" thickBot="1" x14ac:dyDescent="0.3">
      <c r="A18" s="177"/>
      <c r="B18" s="178"/>
      <c r="C18" s="178"/>
      <c r="D18" s="178"/>
      <c r="E18" s="178"/>
    </row>
    <row r="19" spans="1:5" ht="16.5" thickBot="1" x14ac:dyDescent="0.3">
      <c r="A19" s="163" t="s">
        <v>216</v>
      </c>
      <c r="B19" s="164">
        <v>2019</v>
      </c>
      <c r="C19" s="164">
        <v>2020</v>
      </c>
      <c r="D19" s="164">
        <v>2021</v>
      </c>
      <c r="E19" s="165" t="s">
        <v>208</v>
      </c>
    </row>
    <row r="20" spans="1:5" ht="15.75" x14ac:dyDescent="0.25">
      <c r="A20" s="166" t="s">
        <v>217</v>
      </c>
      <c r="B20" s="167"/>
      <c r="C20" s="167"/>
      <c r="D20" s="167"/>
      <c r="E20" s="168">
        <f>B20+C20+D20</f>
        <v>0</v>
      </c>
    </row>
    <row r="21" spans="1:5" ht="15.75" x14ac:dyDescent="0.25">
      <c r="A21" s="171" t="s">
        <v>218</v>
      </c>
      <c r="B21" s="170">
        <v>152463696</v>
      </c>
      <c r="C21" s="170"/>
      <c r="D21" s="170"/>
      <c r="E21" s="168">
        <f t="shared" ref="E21:E22" si="1">B21+C21+D21</f>
        <v>152463696</v>
      </c>
    </row>
    <row r="22" spans="1:5" ht="15.75" x14ac:dyDescent="0.25">
      <c r="A22" s="171" t="s">
        <v>219</v>
      </c>
      <c r="B22" s="170"/>
      <c r="C22" s="170"/>
      <c r="D22" s="170"/>
      <c r="E22" s="168">
        <f t="shared" si="1"/>
        <v>0</v>
      </c>
    </row>
    <row r="23" spans="1:5" ht="16.5" thickBot="1" x14ac:dyDescent="0.3">
      <c r="A23" s="172" t="s">
        <v>220</v>
      </c>
      <c r="B23" s="173"/>
      <c r="C23" s="173"/>
      <c r="D23" s="173"/>
      <c r="E23" s="174">
        <f>SUM(B23:D23)</f>
        <v>0</v>
      </c>
    </row>
    <row r="24" spans="1:5" ht="16.5" thickBot="1" x14ac:dyDescent="0.3">
      <c r="A24" s="163" t="s">
        <v>208</v>
      </c>
      <c r="B24" s="175">
        <f>SUM(B20:B23)</f>
        <v>152463696</v>
      </c>
      <c r="C24" s="175">
        <f>SUM(C20:C23)</f>
        <v>0</v>
      </c>
      <c r="D24" s="175">
        <f>SUM(D20:D23)</f>
        <v>0</v>
      </c>
      <c r="E24" s="176">
        <f>SUM(B24:D24)</f>
        <v>152463696</v>
      </c>
    </row>
    <row r="26" spans="1:5" ht="15.75" x14ac:dyDescent="0.25">
      <c r="A26" s="159"/>
      <c r="B26" s="160"/>
      <c r="C26" s="160"/>
      <c r="D26" s="160"/>
      <c r="E26" s="160"/>
    </row>
    <row r="27" spans="1:5" ht="15.75" x14ac:dyDescent="0.25">
      <c r="A27" s="159"/>
      <c r="B27" s="160"/>
      <c r="C27" s="160"/>
      <c r="D27" s="160"/>
      <c r="E27" s="160"/>
    </row>
    <row r="28" spans="1:5" ht="18" x14ac:dyDescent="0.25">
      <c r="A28" s="850" t="s">
        <v>602</v>
      </c>
      <c r="B28" s="850"/>
      <c r="C28" s="850"/>
      <c r="D28" s="850"/>
      <c r="E28" s="850"/>
    </row>
    <row r="29" spans="1:5" ht="18.75" x14ac:dyDescent="0.3">
      <c r="A29" s="851" t="s">
        <v>3</v>
      </c>
      <c r="B29" s="851"/>
      <c r="C29" s="851"/>
      <c r="D29" s="851"/>
      <c r="E29" s="851"/>
    </row>
    <row r="31" spans="1:5" ht="45" customHeight="1" x14ac:dyDescent="0.25">
      <c r="A31" s="852" t="s">
        <v>205</v>
      </c>
      <c r="B31" s="852"/>
      <c r="C31" s="852"/>
      <c r="D31" s="852"/>
      <c r="E31" s="852"/>
    </row>
    <row r="32" spans="1:5" ht="15.75" x14ac:dyDescent="0.25">
      <c r="A32" s="159"/>
      <c r="B32" s="160"/>
      <c r="C32" s="160"/>
      <c r="D32" s="160"/>
      <c r="E32" s="160"/>
    </row>
    <row r="35" spans="1:5" ht="36" customHeight="1" x14ac:dyDescent="0.25">
      <c r="A35" s="162" t="s">
        <v>206</v>
      </c>
      <c r="B35" s="854"/>
      <c r="C35" s="855"/>
      <c r="D35" s="855"/>
      <c r="E35" s="856"/>
    </row>
    <row r="36" spans="1:5" ht="15.75" thickBot="1" x14ac:dyDescent="0.3">
      <c r="E36" s="161" t="s">
        <v>221</v>
      </c>
    </row>
    <row r="37" spans="1:5" ht="16.5" thickBot="1" x14ac:dyDescent="0.3">
      <c r="A37" s="163" t="s">
        <v>207</v>
      </c>
      <c r="B37" s="164">
        <v>2019</v>
      </c>
      <c r="C37" s="164">
        <v>2020</v>
      </c>
      <c r="D37" s="164">
        <v>2021</v>
      </c>
      <c r="E37" s="165" t="s">
        <v>208</v>
      </c>
    </row>
    <row r="38" spans="1:5" ht="15.75" x14ac:dyDescent="0.25">
      <c r="A38" s="166" t="s">
        <v>209</v>
      </c>
      <c r="B38" s="167"/>
      <c r="C38" s="167"/>
      <c r="D38" s="167"/>
      <c r="E38" s="168">
        <f t="shared" ref="E38:E44" si="2">SUM(B38:D38)</f>
        <v>0</v>
      </c>
    </row>
    <row r="39" spans="1:5" ht="15.75" x14ac:dyDescent="0.25">
      <c r="A39" s="169" t="s">
        <v>210</v>
      </c>
      <c r="B39" s="170"/>
      <c r="C39" s="170"/>
      <c r="D39" s="170"/>
      <c r="E39" s="168">
        <f t="shared" si="2"/>
        <v>0</v>
      </c>
    </row>
    <row r="40" spans="1:5" ht="15.75" x14ac:dyDescent="0.25">
      <c r="A40" s="171" t="s">
        <v>211</v>
      </c>
      <c r="B40" s="170">
        <v>198182422</v>
      </c>
      <c r="C40" s="170"/>
      <c r="D40" s="170"/>
      <c r="E40" s="168">
        <f t="shared" si="2"/>
        <v>198182422</v>
      </c>
    </row>
    <row r="41" spans="1:5" ht="15.75" x14ac:dyDescent="0.25">
      <c r="A41" s="171" t="s">
        <v>212</v>
      </c>
      <c r="B41" s="170"/>
      <c r="C41" s="170"/>
      <c r="D41" s="170"/>
      <c r="E41" s="168">
        <f t="shared" si="2"/>
        <v>0</v>
      </c>
    </row>
    <row r="42" spans="1:5" ht="15.75" x14ac:dyDescent="0.25">
      <c r="A42" s="171" t="s">
        <v>213</v>
      </c>
      <c r="B42" s="170"/>
      <c r="C42" s="170"/>
      <c r="D42" s="170"/>
      <c r="E42" s="168">
        <f t="shared" si="2"/>
        <v>0</v>
      </c>
    </row>
    <row r="43" spans="1:5" ht="16.5" thickBot="1" x14ac:dyDescent="0.3">
      <c r="A43" s="172" t="s">
        <v>214</v>
      </c>
      <c r="B43" s="173"/>
      <c r="C43" s="173"/>
      <c r="D43" s="173"/>
      <c r="E43" s="174">
        <f t="shared" si="2"/>
        <v>0</v>
      </c>
    </row>
    <row r="44" spans="1:5" ht="16.5" thickBot="1" x14ac:dyDescent="0.3">
      <c r="A44" s="163" t="s">
        <v>215</v>
      </c>
      <c r="B44" s="175">
        <f>SUM(B38:B43)</f>
        <v>198182422</v>
      </c>
      <c r="C44" s="175">
        <f>SUM(C38:C43)</f>
        <v>0</v>
      </c>
      <c r="D44" s="175">
        <f>SUM(D38:D43)</f>
        <v>0</v>
      </c>
      <c r="E44" s="176">
        <f t="shared" si="2"/>
        <v>198182422</v>
      </c>
    </row>
    <row r="45" spans="1:5" ht="16.5" thickBot="1" x14ac:dyDescent="0.3">
      <c r="A45" s="177"/>
      <c r="B45" s="178"/>
      <c r="C45" s="178"/>
      <c r="D45" s="178"/>
      <c r="E45" s="178"/>
    </row>
    <row r="46" spans="1:5" ht="16.5" thickBot="1" x14ac:dyDescent="0.3">
      <c r="A46" s="163" t="s">
        <v>216</v>
      </c>
      <c r="B46" s="164">
        <v>2019</v>
      </c>
      <c r="C46" s="164">
        <v>2020</v>
      </c>
      <c r="D46" s="164">
        <v>2021</v>
      </c>
      <c r="E46" s="165" t="s">
        <v>208</v>
      </c>
    </row>
    <row r="47" spans="1:5" ht="15.75" x14ac:dyDescent="0.25">
      <c r="A47" s="166" t="s">
        <v>217</v>
      </c>
      <c r="B47" s="167"/>
      <c r="C47" s="167"/>
      <c r="D47" s="167"/>
      <c r="E47" s="168"/>
    </row>
    <row r="48" spans="1:5" ht="15.75" x14ac:dyDescent="0.25">
      <c r="A48" s="171" t="s">
        <v>218</v>
      </c>
      <c r="B48" s="170">
        <v>198182422</v>
      </c>
      <c r="C48" s="170"/>
      <c r="D48" s="170"/>
      <c r="E48" s="168">
        <f>B48+C48</f>
        <v>198182422</v>
      </c>
    </row>
    <row r="49" spans="1:5" ht="15.75" x14ac:dyDescent="0.25">
      <c r="A49" s="171" t="s">
        <v>219</v>
      </c>
      <c r="B49" s="170"/>
      <c r="C49" s="170"/>
      <c r="D49" s="170"/>
      <c r="E49" s="168"/>
    </row>
    <row r="50" spans="1:5" ht="16.5" thickBot="1" x14ac:dyDescent="0.3">
      <c r="A50" s="172" t="s">
        <v>220</v>
      </c>
      <c r="B50" s="173"/>
      <c r="C50" s="173"/>
      <c r="D50" s="173"/>
      <c r="E50" s="174">
        <f>SUM(B50:D50)</f>
        <v>0</v>
      </c>
    </row>
    <row r="51" spans="1:5" ht="16.5" thickBot="1" x14ac:dyDescent="0.3">
      <c r="A51" s="163" t="s">
        <v>208</v>
      </c>
      <c r="B51" s="175">
        <f>SUM(B47:B50)</f>
        <v>198182422</v>
      </c>
      <c r="C51" s="175">
        <f>SUM(C47:C50)</f>
        <v>0</v>
      </c>
      <c r="D51" s="175">
        <f>SUM(D47:D50)</f>
        <v>0</v>
      </c>
      <c r="E51" s="176">
        <f>SUM(B51:D51)</f>
        <v>198182422</v>
      </c>
    </row>
    <row r="52" spans="1:5" ht="15.75" x14ac:dyDescent="0.25">
      <c r="A52" s="159"/>
      <c r="B52" s="160"/>
      <c r="C52" s="160"/>
      <c r="D52" s="160"/>
      <c r="E52" s="160"/>
    </row>
    <row r="53" spans="1:5" ht="15.75" x14ac:dyDescent="0.25">
      <c r="A53" s="159"/>
      <c r="B53" s="160"/>
      <c r="C53" s="160"/>
      <c r="D53" s="160"/>
      <c r="E53" s="160"/>
    </row>
    <row r="54" spans="1:5" ht="15.75" x14ac:dyDescent="0.25">
      <c r="A54" s="159"/>
      <c r="B54" s="160"/>
      <c r="C54" s="160"/>
      <c r="D54" s="160"/>
      <c r="E54" s="160"/>
    </row>
    <row r="55" spans="1:5" ht="18" x14ac:dyDescent="0.25">
      <c r="A55" s="850" t="s">
        <v>833</v>
      </c>
      <c r="B55" s="850"/>
      <c r="C55" s="850"/>
      <c r="D55" s="850"/>
      <c r="E55" s="850"/>
    </row>
    <row r="56" spans="1:5" ht="18.75" x14ac:dyDescent="0.3">
      <c r="A56" s="851" t="s">
        <v>3</v>
      </c>
      <c r="B56" s="851"/>
      <c r="C56" s="851"/>
      <c r="D56" s="851"/>
      <c r="E56" s="851"/>
    </row>
    <row r="58" spans="1:5" ht="45" customHeight="1" x14ac:dyDescent="0.25">
      <c r="A58" s="852" t="s">
        <v>205</v>
      </c>
      <c r="B58" s="852"/>
      <c r="C58" s="852"/>
      <c r="D58" s="852"/>
      <c r="E58" s="852"/>
    </row>
    <row r="59" spans="1:5" ht="15.75" x14ac:dyDescent="0.25">
      <c r="A59" s="159"/>
      <c r="B59" s="160"/>
      <c r="C59" s="160"/>
      <c r="D59" s="160"/>
      <c r="E59" s="160"/>
    </row>
    <row r="60" spans="1:5" ht="15.75" x14ac:dyDescent="0.25">
      <c r="A60" s="159"/>
      <c r="B60" s="160"/>
      <c r="C60" s="160"/>
      <c r="D60" s="160"/>
      <c r="E60" s="160"/>
    </row>
    <row r="63" spans="1:5" ht="15.75" x14ac:dyDescent="0.25">
      <c r="A63" s="162" t="s">
        <v>501</v>
      </c>
      <c r="B63" s="857"/>
      <c r="C63" s="858"/>
      <c r="D63" s="858"/>
      <c r="E63" s="859"/>
    </row>
    <row r="64" spans="1:5" ht="15.75" thickBot="1" x14ac:dyDescent="0.3">
      <c r="E64" s="161" t="s">
        <v>221</v>
      </c>
    </row>
    <row r="65" spans="1:5" ht="16.5" thickBot="1" x14ac:dyDescent="0.3">
      <c r="A65" s="163" t="s">
        <v>207</v>
      </c>
      <c r="B65" s="164">
        <v>2020</v>
      </c>
      <c r="C65" s="164">
        <v>2021</v>
      </c>
      <c r="D65" s="164">
        <v>2022</v>
      </c>
      <c r="E65" s="165" t="s">
        <v>208</v>
      </c>
    </row>
    <row r="66" spans="1:5" ht="15.75" x14ac:dyDescent="0.25">
      <c r="A66" s="166" t="s">
        <v>209</v>
      </c>
      <c r="B66" s="167"/>
      <c r="C66" s="167"/>
      <c r="D66" s="167"/>
      <c r="E66" s="168">
        <f t="shared" ref="E66:E72" si="3">SUM(B66:D66)</f>
        <v>0</v>
      </c>
    </row>
    <row r="67" spans="1:5" ht="15.75" x14ac:dyDescent="0.25">
      <c r="A67" s="169" t="s">
        <v>210</v>
      </c>
      <c r="B67" s="170"/>
      <c r="C67" s="170"/>
      <c r="D67" s="170"/>
      <c r="E67" s="168">
        <f t="shared" si="3"/>
        <v>0</v>
      </c>
    </row>
    <row r="68" spans="1:5" ht="15.75" x14ac:dyDescent="0.25">
      <c r="A68" s="171" t="s">
        <v>211</v>
      </c>
      <c r="B68" s="170"/>
      <c r="C68" s="170"/>
      <c r="D68" s="170"/>
      <c r="E68" s="168">
        <f t="shared" si="3"/>
        <v>0</v>
      </c>
    </row>
    <row r="69" spans="1:5" ht="15.75" x14ac:dyDescent="0.25">
      <c r="A69" s="171" t="s">
        <v>212</v>
      </c>
      <c r="B69" s="170"/>
      <c r="C69" s="170"/>
      <c r="D69" s="170"/>
      <c r="E69" s="168">
        <f t="shared" si="3"/>
        <v>0</v>
      </c>
    </row>
    <row r="70" spans="1:5" ht="15.75" x14ac:dyDescent="0.25">
      <c r="A70" s="171" t="s">
        <v>213</v>
      </c>
      <c r="B70" s="170"/>
      <c r="C70" s="170"/>
      <c r="D70" s="170"/>
      <c r="E70" s="168">
        <f t="shared" si="3"/>
        <v>0</v>
      </c>
    </row>
    <row r="71" spans="1:5" ht="16.5" thickBot="1" x14ac:dyDescent="0.3">
      <c r="A71" s="172" t="s">
        <v>214</v>
      </c>
      <c r="B71" s="173"/>
      <c r="C71" s="173"/>
      <c r="D71" s="173"/>
      <c r="E71" s="174">
        <f t="shared" si="3"/>
        <v>0</v>
      </c>
    </row>
    <row r="72" spans="1:5" ht="16.5" thickBot="1" x14ac:dyDescent="0.3">
      <c r="A72" s="163" t="s">
        <v>215</v>
      </c>
      <c r="B72" s="175">
        <f>SUM(B66:B71)</f>
        <v>0</v>
      </c>
      <c r="C72" s="175">
        <f>SUM(C66:C71)</f>
        <v>0</v>
      </c>
      <c r="D72" s="175">
        <f>SUM(D66:D71)</f>
        <v>0</v>
      </c>
      <c r="E72" s="176">
        <f t="shared" si="3"/>
        <v>0</v>
      </c>
    </row>
    <row r="73" spans="1:5" ht="16.5" thickBot="1" x14ac:dyDescent="0.3">
      <c r="A73" s="177"/>
      <c r="B73" s="178"/>
      <c r="C73" s="178"/>
      <c r="D73" s="178"/>
      <c r="E73" s="178"/>
    </row>
    <row r="74" spans="1:5" ht="16.5" thickBot="1" x14ac:dyDescent="0.3">
      <c r="A74" s="163" t="s">
        <v>216</v>
      </c>
      <c r="B74" s="164">
        <v>2020</v>
      </c>
      <c r="C74" s="164">
        <v>2021</v>
      </c>
      <c r="D74" s="164">
        <v>2022</v>
      </c>
      <c r="E74" s="165" t="s">
        <v>208</v>
      </c>
    </row>
    <row r="75" spans="1:5" ht="15.75" x14ac:dyDescent="0.25">
      <c r="A75" s="166" t="s">
        <v>217</v>
      </c>
      <c r="B75" s="167"/>
      <c r="C75" s="167"/>
      <c r="D75" s="167"/>
      <c r="E75" s="168"/>
    </row>
    <row r="76" spans="1:5" ht="15.75" x14ac:dyDescent="0.25">
      <c r="A76" s="171" t="s">
        <v>218</v>
      </c>
      <c r="B76" s="170"/>
      <c r="C76" s="170"/>
      <c r="D76" s="170"/>
      <c r="E76" s="168"/>
    </row>
    <row r="77" spans="1:5" ht="15.75" x14ac:dyDescent="0.25">
      <c r="A77" s="171" t="s">
        <v>219</v>
      </c>
      <c r="B77" s="170"/>
      <c r="C77" s="170"/>
      <c r="D77" s="170"/>
      <c r="E77" s="168">
        <f>B77+C77</f>
        <v>0</v>
      </c>
    </row>
    <row r="78" spans="1:5" ht="16.5" thickBot="1" x14ac:dyDescent="0.3">
      <c r="A78" s="172" t="s">
        <v>220</v>
      </c>
      <c r="B78" s="173"/>
      <c r="C78" s="173"/>
      <c r="D78" s="173"/>
      <c r="E78" s="174">
        <f>SUM(B78:D78)</f>
        <v>0</v>
      </c>
    </row>
    <row r="79" spans="1:5" ht="16.5" thickBot="1" x14ac:dyDescent="0.3">
      <c r="A79" s="163" t="s">
        <v>208</v>
      </c>
      <c r="B79" s="175">
        <f>SUM(B75:B78)</f>
        <v>0</v>
      </c>
      <c r="C79" s="175">
        <f>SUM(C75:C78)</f>
        <v>0</v>
      </c>
      <c r="D79" s="175">
        <f>SUM(D75:D78)</f>
        <v>0</v>
      </c>
      <c r="E79" s="176">
        <f>SUM(B79:D79)</f>
        <v>0</v>
      </c>
    </row>
  </sheetData>
  <mergeCells count="13">
    <mergeCell ref="A55:E55"/>
    <mergeCell ref="A56:E56"/>
    <mergeCell ref="A58:E58"/>
    <mergeCell ref="B63:E63"/>
    <mergeCell ref="A28:E28"/>
    <mergeCell ref="A29:E29"/>
    <mergeCell ref="A31:E31"/>
    <mergeCell ref="B35:E35"/>
    <mergeCell ref="A1:E1"/>
    <mergeCell ref="A2:E2"/>
    <mergeCell ref="A4:E4"/>
    <mergeCell ref="B7:E7"/>
    <mergeCell ref="B8:E8"/>
  </mergeCells>
  <pageMargins left="0.70866141732283472" right="0.70866141732283472" top="0.74803149606299213" bottom="0.74803149606299213" header="0.31496062992125984" footer="0.31496062992125984"/>
  <pageSetup paperSize="9" scale="10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27"/>
  <sheetViews>
    <sheetView topLeftCell="A13" workbookViewId="0">
      <selection activeCell="J6" sqref="J6"/>
    </sheetView>
  </sheetViews>
  <sheetFormatPr defaultColWidth="8" defaultRowHeight="12.75" x14ac:dyDescent="0.25"/>
  <cols>
    <col min="1" max="1" width="5" style="179" customWidth="1"/>
    <col min="2" max="2" width="47" style="180" customWidth="1"/>
    <col min="3" max="4" width="15.140625" style="180" customWidth="1"/>
    <col min="5" max="16384" width="8" style="180"/>
  </cols>
  <sheetData>
    <row r="1" spans="1:4" ht="18" x14ac:dyDescent="0.25">
      <c r="B1" s="860" t="s">
        <v>834</v>
      </c>
      <c r="C1" s="861"/>
    </row>
    <row r="3" spans="1:4" ht="18" x14ac:dyDescent="0.25">
      <c r="B3" s="860" t="s">
        <v>3</v>
      </c>
      <c r="C3" s="861"/>
    </row>
    <row r="4" spans="1:4" ht="18" x14ac:dyDescent="0.25">
      <c r="B4" s="860" t="s">
        <v>222</v>
      </c>
      <c r="C4" s="861"/>
    </row>
    <row r="5" spans="1:4" s="182" customFormat="1" ht="15.75" thickBot="1" x14ac:dyDescent="0.3">
      <c r="A5" s="181"/>
      <c r="D5" s="183" t="s">
        <v>223</v>
      </c>
    </row>
    <row r="6" spans="1:4" s="187" customFormat="1" ht="48" customHeight="1" thickBot="1" x14ac:dyDescent="0.3">
      <c r="A6" s="184" t="s">
        <v>6</v>
      </c>
      <c r="B6" s="185" t="s">
        <v>224</v>
      </c>
      <c r="C6" s="185" t="s">
        <v>225</v>
      </c>
      <c r="D6" s="186" t="s">
        <v>226</v>
      </c>
    </row>
    <row r="7" spans="1:4" s="187" customFormat="1" ht="13.5" thickBot="1" x14ac:dyDescent="0.3">
      <c r="A7" s="188">
        <v>1</v>
      </c>
      <c r="B7" s="189">
        <v>2</v>
      </c>
      <c r="C7" s="189">
        <v>3</v>
      </c>
      <c r="D7" s="190">
        <v>4</v>
      </c>
    </row>
    <row r="8" spans="1:4" x14ac:dyDescent="0.25">
      <c r="A8" s="191" t="s">
        <v>43</v>
      </c>
      <c r="B8" s="192" t="s">
        <v>227</v>
      </c>
      <c r="C8" s="193"/>
      <c r="D8" s="194"/>
    </row>
    <row r="9" spans="1:4" x14ac:dyDescent="0.25">
      <c r="A9" s="195" t="s">
        <v>45</v>
      </c>
      <c r="B9" s="196" t="s">
        <v>228</v>
      </c>
      <c r="C9" s="197"/>
      <c r="D9" s="198"/>
    </row>
    <row r="10" spans="1:4" x14ac:dyDescent="0.25">
      <c r="A10" s="195" t="s">
        <v>53</v>
      </c>
      <c r="B10" s="196" t="s">
        <v>229</v>
      </c>
      <c r="C10" s="197"/>
      <c r="D10" s="198"/>
    </row>
    <row r="11" spans="1:4" x14ac:dyDescent="0.25">
      <c r="A11" s="195" t="s">
        <v>16</v>
      </c>
      <c r="B11" s="196" t="s">
        <v>230</v>
      </c>
      <c r="C11" s="197"/>
      <c r="D11" s="198"/>
    </row>
    <row r="12" spans="1:4" x14ac:dyDescent="0.25">
      <c r="A12" s="195" t="s">
        <v>18</v>
      </c>
      <c r="B12" s="196" t="s">
        <v>231</v>
      </c>
      <c r="C12" s="197"/>
      <c r="D12" s="198"/>
    </row>
    <row r="13" spans="1:4" x14ac:dyDescent="0.25">
      <c r="A13" s="195" t="s">
        <v>29</v>
      </c>
      <c r="B13" s="196" t="s">
        <v>232</v>
      </c>
      <c r="C13" s="197"/>
      <c r="D13" s="198"/>
    </row>
    <row r="14" spans="1:4" x14ac:dyDescent="0.25">
      <c r="A14" s="195" t="s">
        <v>31</v>
      </c>
      <c r="B14" s="199" t="s">
        <v>233</v>
      </c>
      <c r="C14" s="197"/>
      <c r="D14" s="198"/>
    </row>
    <row r="15" spans="1:4" x14ac:dyDescent="0.25">
      <c r="A15" s="195" t="s">
        <v>33</v>
      </c>
      <c r="B15" s="199" t="s">
        <v>234</v>
      </c>
      <c r="C15" s="197"/>
      <c r="D15" s="198"/>
    </row>
    <row r="16" spans="1:4" x14ac:dyDescent="0.25">
      <c r="A16" s="195" t="s">
        <v>140</v>
      </c>
      <c r="B16" s="199" t="s">
        <v>235</v>
      </c>
      <c r="C16" s="197">
        <v>8893500</v>
      </c>
      <c r="D16" s="198">
        <v>885400</v>
      </c>
    </row>
    <row r="17" spans="1:4" x14ac:dyDescent="0.25">
      <c r="A17" s="195" t="s">
        <v>141</v>
      </c>
      <c r="B17" s="199" t="s">
        <v>236</v>
      </c>
      <c r="C17" s="197"/>
      <c r="D17" s="198"/>
    </row>
    <row r="18" spans="1:4" x14ac:dyDescent="0.25">
      <c r="A18" s="195" t="s">
        <v>142</v>
      </c>
      <c r="B18" s="199" t="s">
        <v>237</v>
      </c>
      <c r="C18" s="197"/>
      <c r="D18" s="198"/>
    </row>
    <row r="19" spans="1:4" ht="22.5" x14ac:dyDescent="0.25">
      <c r="A19" s="195" t="s">
        <v>238</v>
      </c>
      <c r="B19" s="199" t="s">
        <v>239</v>
      </c>
      <c r="C19" s="197"/>
      <c r="D19" s="198"/>
    </row>
    <row r="20" spans="1:4" x14ac:dyDescent="0.25">
      <c r="A20" s="195" t="s">
        <v>240</v>
      </c>
      <c r="B20" s="196" t="s">
        <v>241</v>
      </c>
      <c r="C20" s="197">
        <v>5000000</v>
      </c>
      <c r="D20" s="198">
        <v>82852</v>
      </c>
    </row>
    <row r="21" spans="1:4" x14ac:dyDescent="0.25">
      <c r="A21" s="195" t="s">
        <v>242</v>
      </c>
      <c r="B21" s="196" t="s">
        <v>243</v>
      </c>
      <c r="C21" s="197"/>
      <c r="D21" s="198"/>
    </row>
    <row r="22" spans="1:4" x14ac:dyDescent="0.25">
      <c r="A22" s="195" t="s">
        <v>244</v>
      </c>
      <c r="B22" s="196" t="s">
        <v>245</v>
      </c>
      <c r="C22" s="197"/>
      <c r="D22" s="198"/>
    </row>
    <row r="23" spans="1:4" x14ac:dyDescent="0.25">
      <c r="A23" s="195" t="s">
        <v>246</v>
      </c>
      <c r="B23" s="196" t="s">
        <v>247</v>
      </c>
      <c r="C23" s="197"/>
      <c r="D23" s="198"/>
    </row>
    <row r="24" spans="1:4" x14ac:dyDescent="0.25">
      <c r="A24" s="195" t="s">
        <v>248</v>
      </c>
      <c r="B24" s="196" t="s">
        <v>249</v>
      </c>
      <c r="C24" s="197"/>
      <c r="D24" s="198"/>
    </row>
    <row r="25" spans="1:4" ht="13.5" thickBot="1" x14ac:dyDescent="0.3">
      <c r="A25" s="195" t="s">
        <v>250</v>
      </c>
      <c r="B25" s="200"/>
      <c r="C25" s="201"/>
      <c r="D25" s="198"/>
    </row>
    <row r="26" spans="1:4" ht="13.5" thickBot="1" x14ac:dyDescent="0.3">
      <c r="A26" s="202" t="s">
        <v>251</v>
      </c>
      <c r="B26" s="203" t="s">
        <v>252</v>
      </c>
      <c r="C26" s="204">
        <f>SUM(C8:C25)</f>
        <v>13893500</v>
      </c>
      <c r="D26" s="205">
        <f>SUM(D8:D25)</f>
        <v>968252</v>
      </c>
    </row>
    <row r="27" spans="1:4" x14ac:dyDescent="0.25">
      <c r="A27" s="206"/>
      <c r="B27" s="862"/>
      <c r="C27" s="862"/>
      <c r="D27" s="862"/>
    </row>
  </sheetData>
  <mergeCells count="4">
    <mergeCell ref="B1:C1"/>
    <mergeCell ref="B3:C3"/>
    <mergeCell ref="B4:C4"/>
    <mergeCell ref="B27:D2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7"/>
  <sheetViews>
    <sheetView topLeftCell="A4" workbookViewId="0">
      <selection activeCell="I16" sqref="I16"/>
    </sheetView>
  </sheetViews>
  <sheetFormatPr defaultColWidth="8" defaultRowHeight="12.75" x14ac:dyDescent="0.25"/>
  <cols>
    <col min="1" max="1" width="5.85546875" style="150" customWidth="1"/>
    <col min="2" max="2" width="38.5703125" style="137" bestFit="1" customWidth="1"/>
    <col min="3" max="3" width="12.140625" style="137" bestFit="1" customWidth="1"/>
    <col min="4" max="4" width="11" style="137" customWidth="1"/>
    <col min="5" max="5" width="15.42578125" style="137" bestFit="1" customWidth="1"/>
    <col min="6" max="8" width="11" style="137" customWidth="1"/>
    <col min="9" max="9" width="14" style="137" bestFit="1" customWidth="1"/>
    <col min="10" max="11" width="8" style="137"/>
    <col min="12" max="12" width="11.28515625" style="137" bestFit="1" customWidth="1"/>
    <col min="13" max="16384" width="8" style="137"/>
  </cols>
  <sheetData>
    <row r="1" spans="1:9" ht="18" x14ac:dyDescent="0.25">
      <c r="B1" s="863" t="s">
        <v>842</v>
      </c>
      <c r="C1" s="864"/>
      <c r="D1" s="864"/>
      <c r="E1" s="864"/>
      <c r="F1" s="864"/>
      <c r="G1" s="864"/>
      <c r="H1" s="864"/>
    </row>
    <row r="2" spans="1:9" ht="18.75" x14ac:dyDescent="0.25">
      <c r="B2" s="863" t="s">
        <v>3</v>
      </c>
      <c r="C2" s="863"/>
      <c r="D2" s="863"/>
      <c r="E2" s="863"/>
      <c r="F2" s="863"/>
      <c r="G2" s="863"/>
      <c r="H2" s="863"/>
      <c r="I2" s="151" t="s">
        <v>253</v>
      </c>
    </row>
    <row r="3" spans="1:9" ht="18" x14ac:dyDescent="0.25">
      <c r="B3" s="863" t="s">
        <v>254</v>
      </c>
      <c r="C3" s="864"/>
      <c r="D3" s="864"/>
      <c r="E3" s="864"/>
      <c r="F3" s="864"/>
      <c r="G3" s="864"/>
      <c r="H3" s="864"/>
    </row>
    <row r="5" spans="1:9" ht="14.25" thickBot="1" x14ac:dyDescent="0.3">
      <c r="I5" s="207" t="s">
        <v>255</v>
      </c>
    </row>
    <row r="6" spans="1:9" x14ac:dyDescent="0.25">
      <c r="A6" s="865" t="s">
        <v>256</v>
      </c>
      <c r="B6" s="867" t="s">
        <v>257</v>
      </c>
      <c r="C6" s="865" t="s">
        <v>258</v>
      </c>
      <c r="D6" s="865" t="s">
        <v>703</v>
      </c>
      <c r="E6" s="869" t="s">
        <v>259</v>
      </c>
      <c r="F6" s="870"/>
      <c r="G6" s="870"/>
      <c r="H6" s="871"/>
      <c r="I6" s="867" t="s">
        <v>208</v>
      </c>
    </row>
    <row r="7" spans="1:9" ht="13.5" thickBot="1" x14ac:dyDescent="0.3">
      <c r="A7" s="866"/>
      <c r="B7" s="868"/>
      <c r="C7" s="868"/>
      <c r="D7" s="866"/>
      <c r="E7" s="208" t="s">
        <v>260</v>
      </c>
      <c r="F7" s="208">
        <v>2020</v>
      </c>
      <c r="G7" s="208" t="s">
        <v>702</v>
      </c>
      <c r="H7" s="209" t="s">
        <v>261</v>
      </c>
      <c r="I7" s="868"/>
    </row>
    <row r="8" spans="1:9" ht="13.5" thickBot="1" x14ac:dyDescent="0.3">
      <c r="A8" s="210">
        <v>1</v>
      </c>
      <c r="B8" s="211">
        <v>2</v>
      </c>
      <c r="C8" s="212">
        <v>3</v>
      </c>
      <c r="D8" s="211">
        <v>4</v>
      </c>
      <c r="E8" s="210">
        <v>5</v>
      </c>
      <c r="F8" s="212">
        <v>6</v>
      </c>
      <c r="G8" s="212">
        <v>7</v>
      </c>
      <c r="H8" s="213">
        <v>8</v>
      </c>
      <c r="I8" s="214" t="s">
        <v>262</v>
      </c>
    </row>
    <row r="9" spans="1:9" ht="13.5" thickBot="1" x14ac:dyDescent="0.3">
      <c r="A9" s="215" t="s">
        <v>43</v>
      </c>
      <c r="B9" s="216" t="s">
        <v>263</v>
      </c>
      <c r="C9" s="217"/>
      <c r="D9" s="218">
        <f>SUM(D10:D11)</f>
        <v>0</v>
      </c>
      <c r="E9" s="219"/>
      <c r="F9" s="220"/>
      <c r="G9" s="220"/>
      <c r="H9" s="221"/>
      <c r="I9" s="222"/>
    </row>
    <row r="10" spans="1:9" x14ac:dyDescent="0.25">
      <c r="A10" s="223" t="s">
        <v>45</v>
      </c>
      <c r="B10" s="224"/>
      <c r="C10" s="225"/>
      <c r="D10" s="226"/>
      <c r="E10" s="227"/>
      <c r="F10" s="228"/>
      <c r="G10" s="228"/>
      <c r="H10" s="229"/>
      <c r="I10" s="230">
        <f t="shared" ref="I10:I27" si="0">SUM(D10:H10)</f>
        <v>0</v>
      </c>
    </row>
    <row r="11" spans="1:9" ht="13.5" thickBot="1" x14ac:dyDescent="0.3">
      <c r="A11" s="223" t="s">
        <v>53</v>
      </c>
      <c r="B11" s="224"/>
      <c r="C11" s="225"/>
      <c r="D11" s="226"/>
      <c r="E11" s="227"/>
      <c r="F11" s="228"/>
      <c r="G11" s="228"/>
      <c r="H11" s="229"/>
      <c r="I11" s="230">
        <f t="shared" si="0"/>
        <v>0</v>
      </c>
    </row>
    <row r="12" spans="1:9" ht="13.5" thickBot="1" x14ac:dyDescent="0.3">
      <c r="A12" s="215" t="s">
        <v>16</v>
      </c>
      <c r="B12" s="231" t="s">
        <v>264</v>
      </c>
      <c r="C12" s="232"/>
      <c r="D12" s="218">
        <f>SUM(D13:D14)</f>
        <v>0</v>
      </c>
      <c r="E12" s="219">
        <f>SUM(E13:E14)</f>
        <v>0</v>
      </c>
      <c r="F12" s="220">
        <f>SUM(F13:F14)</f>
        <v>0</v>
      </c>
      <c r="G12" s="220">
        <f>SUM(G13:G14)</f>
        <v>0</v>
      </c>
      <c r="H12" s="221">
        <f>SUM(H13:H14)</f>
        <v>0</v>
      </c>
      <c r="I12" s="222">
        <f t="shared" si="0"/>
        <v>0</v>
      </c>
    </row>
    <row r="13" spans="1:9" x14ac:dyDescent="0.25">
      <c r="A13" s="223" t="s">
        <v>18</v>
      </c>
      <c r="B13" s="224"/>
      <c r="C13" s="233"/>
      <c r="D13" s="226"/>
      <c r="E13" s="227"/>
      <c r="F13" s="228"/>
      <c r="G13" s="228"/>
      <c r="H13" s="229"/>
      <c r="I13" s="230">
        <f t="shared" si="0"/>
        <v>0</v>
      </c>
    </row>
    <row r="14" spans="1:9" ht="13.5" thickBot="1" x14ac:dyDescent="0.3">
      <c r="A14" s="223" t="s">
        <v>29</v>
      </c>
      <c r="B14" s="224"/>
      <c r="C14" s="225"/>
      <c r="D14" s="226"/>
      <c r="E14" s="227"/>
      <c r="F14" s="228"/>
      <c r="G14" s="228"/>
      <c r="H14" s="229"/>
      <c r="I14" s="230">
        <f t="shared" si="0"/>
        <v>0</v>
      </c>
    </row>
    <row r="15" spans="1:9" s="239" customFormat="1" ht="15" thickBot="1" x14ac:dyDescent="0.3">
      <c r="A15" s="234" t="s">
        <v>31</v>
      </c>
      <c r="B15" s="235" t="s">
        <v>265</v>
      </c>
      <c r="C15" s="236"/>
      <c r="D15" s="237">
        <f>SUM(D17:D17)</f>
        <v>0</v>
      </c>
      <c r="E15" s="238">
        <f>E17+E18+E19+E20+E21+E23+E22</f>
        <v>0</v>
      </c>
      <c r="F15" s="238">
        <f>F17+F18+F19+F20+F21+F16+F22</f>
        <v>382714</v>
      </c>
      <c r="G15" s="238">
        <f t="shared" ref="G15:H15" si="1">G17+G18+G19+G20+G21</f>
        <v>0</v>
      </c>
      <c r="H15" s="238">
        <f t="shared" si="1"/>
        <v>0</v>
      </c>
      <c r="I15" s="238">
        <f>I17+I18+I19+I20+I21+I16+I22</f>
        <v>382714</v>
      </c>
    </row>
    <row r="16" spans="1:9" s="239" customFormat="1" ht="15" thickBot="1" x14ac:dyDescent="0.3">
      <c r="A16" s="497"/>
      <c r="B16" s="875" t="s">
        <v>843</v>
      </c>
      <c r="C16" s="876"/>
      <c r="D16" s="877"/>
      <c r="E16" s="498"/>
      <c r="F16" s="499">
        <v>20732</v>
      </c>
      <c r="G16" s="498"/>
      <c r="H16" s="499"/>
      <c r="I16" s="245">
        <f t="shared" si="0"/>
        <v>20732</v>
      </c>
    </row>
    <row r="17" spans="1:9" ht="13.5" thickBot="1" x14ac:dyDescent="0.3">
      <c r="A17" s="240" t="s">
        <v>33</v>
      </c>
      <c r="B17" s="875" t="s">
        <v>837</v>
      </c>
      <c r="C17" s="876"/>
      <c r="D17" s="877"/>
      <c r="E17" s="241"/>
      <c r="F17" s="242">
        <v>12452</v>
      </c>
      <c r="G17" s="243"/>
      <c r="H17" s="244"/>
      <c r="I17" s="245">
        <f t="shared" si="0"/>
        <v>12452</v>
      </c>
    </row>
    <row r="18" spans="1:9" ht="29.25" customHeight="1" thickBot="1" x14ac:dyDescent="0.3">
      <c r="A18" s="240" t="s">
        <v>140</v>
      </c>
      <c r="B18" s="875" t="s">
        <v>838</v>
      </c>
      <c r="C18" s="876"/>
      <c r="D18" s="877"/>
      <c r="E18" s="241"/>
      <c r="F18" s="372">
        <v>243412</v>
      </c>
      <c r="G18" s="140"/>
      <c r="H18" s="373"/>
      <c r="I18" s="245">
        <f t="shared" si="0"/>
        <v>243412</v>
      </c>
    </row>
    <row r="19" spans="1:9" ht="33" customHeight="1" thickBot="1" x14ac:dyDescent="0.3">
      <c r="A19" s="240" t="s">
        <v>141</v>
      </c>
      <c r="B19" s="875" t="s">
        <v>839</v>
      </c>
      <c r="C19" s="876"/>
      <c r="D19" s="877"/>
      <c r="E19" s="241"/>
      <c r="F19" s="372">
        <v>4453</v>
      </c>
      <c r="G19" s="140"/>
      <c r="H19" s="373"/>
      <c r="I19" s="245">
        <f t="shared" si="0"/>
        <v>4453</v>
      </c>
    </row>
    <row r="20" spans="1:9" ht="13.5" thickBot="1" x14ac:dyDescent="0.3">
      <c r="A20" s="240" t="s">
        <v>142</v>
      </c>
      <c r="B20" s="875" t="s">
        <v>840</v>
      </c>
      <c r="C20" s="876"/>
      <c r="D20" s="877"/>
      <c r="E20" s="241"/>
      <c r="F20" s="372">
        <v>19000</v>
      </c>
      <c r="G20" s="140"/>
      <c r="H20" s="373"/>
      <c r="I20" s="245">
        <f t="shared" si="0"/>
        <v>19000</v>
      </c>
    </row>
    <row r="21" spans="1:9" ht="13.5" thickBot="1" x14ac:dyDescent="0.25">
      <c r="A21" s="240" t="s">
        <v>238</v>
      </c>
      <c r="B21" s="872" t="s">
        <v>841</v>
      </c>
      <c r="C21" s="873"/>
      <c r="D21" s="874"/>
      <c r="E21" s="241"/>
      <c r="F21" s="372">
        <v>82040</v>
      </c>
      <c r="G21" s="140"/>
      <c r="H21" s="373"/>
      <c r="I21" s="245">
        <f t="shared" si="0"/>
        <v>82040</v>
      </c>
    </row>
    <row r="22" spans="1:9" ht="13.5" thickBot="1" x14ac:dyDescent="0.25">
      <c r="A22" s="240" t="s">
        <v>240</v>
      </c>
      <c r="B22" s="872" t="s">
        <v>836</v>
      </c>
      <c r="C22" s="873"/>
      <c r="D22" s="874"/>
      <c r="E22" s="241"/>
      <c r="F22" s="372">
        <v>625</v>
      </c>
      <c r="G22" s="371"/>
      <c r="H22" s="373"/>
      <c r="I22" s="374">
        <f t="shared" si="0"/>
        <v>625</v>
      </c>
    </row>
    <row r="23" spans="1:9" ht="16.5" thickBot="1" x14ac:dyDescent="0.3">
      <c r="A23" s="240" t="s">
        <v>242</v>
      </c>
      <c r="B23" s="246"/>
      <c r="C23" s="247"/>
      <c r="D23" s="248"/>
      <c r="E23" s="463"/>
      <c r="F23" s="220"/>
      <c r="G23" s="220">
        <f>SUM(G24:G24)</f>
        <v>0</v>
      </c>
      <c r="H23" s="221">
        <f>SUM(H24:H24)</f>
        <v>0</v>
      </c>
      <c r="I23" s="222">
        <f t="shared" si="0"/>
        <v>0</v>
      </c>
    </row>
    <row r="24" spans="1:9" ht="13.5" thickBot="1" x14ac:dyDescent="0.3">
      <c r="A24" s="240" t="s">
        <v>244</v>
      </c>
      <c r="B24" s="249" t="s">
        <v>266</v>
      </c>
      <c r="C24" s="250"/>
      <c r="D24" s="251"/>
      <c r="E24" s="252"/>
      <c r="F24" s="253"/>
      <c r="G24" s="253"/>
      <c r="H24" s="254"/>
      <c r="I24" s="255">
        <f t="shared" si="0"/>
        <v>0</v>
      </c>
    </row>
    <row r="25" spans="1:9" ht="13.5" thickBot="1" x14ac:dyDescent="0.3">
      <c r="A25" s="240" t="s">
        <v>246</v>
      </c>
      <c r="B25" s="256" t="s">
        <v>267</v>
      </c>
      <c r="C25" s="232"/>
      <c r="D25" s="257">
        <f>SUM(D26:D26)</f>
        <v>0</v>
      </c>
      <c r="E25" s="258">
        <f>SUM(E26:E26)</f>
        <v>0</v>
      </c>
      <c r="F25" s="259"/>
      <c r="G25" s="259"/>
      <c r="H25" s="260"/>
      <c r="I25" s="222">
        <f t="shared" si="0"/>
        <v>0</v>
      </c>
    </row>
    <row r="26" spans="1:9" ht="13.5" thickBot="1" x14ac:dyDescent="0.3">
      <c r="A26" s="240" t="s">
        <v>248</v>
      </c>
      <c r="B26" s="261"/>
      <c r="C26" s="262"/>
      <c r="D26" s="263"/>
      <c r="E26" s="264"/>
      <c r="F26" s="265"/>
      <c r="G26" s="265"/>
      <c r="H26" s="266"/>
      <c r="I26" s="267">
        <f t="shared" si="0"/>
        <v>0</v>
      </c>
    </row>
    <row r="27" spans="1:9" s="274" customFormat="1" ht="16.5" thickBot="1" x14ac:dyDescent="0.3">
      <c r="A27" s="878" t="s">
        <v>268</v>
      </c>
      <c r="B27" s="879"/>
      <c r="C27" s="268"/>
      <c r="D27" s="269">
        <f>D9+D12+D15+D23+D25</f>
        <v>0</v>
      </c>
      <c r="E27" s="270">
        <f>E9+E12+E15+E23+E25</f>
        <v>0</v>
      </c>
      <c r="F27" s="271">
        <f>F9+F12+F15+F23+F25</f>
        <v>382714</v>
      </c>
      <c r="G27" s="271">
        <f>G9+G12+G15+G23+G25</f>
        <v>0</v>
      </c>
      <c r="H27" s="272">
        <f>H9+H12+H15+H23+H25</f>
        <v>0</v>
      </c>
      <c r="I27" s="273">
        <f t="shared" si="0"/>
        <v>382714</v>
      </c>
    </row>
    <row r="37" spans="2:2" x14ac:dyDescent="0.25">
      <c r="B37" s="275"/>
    </row>
  </sheetData>
  <mergeCells count="17">
    <mergeCell ref="B21:D21"/>
    <mergeCell ref="B22:D22"/>
    <mergeCell ref="B16:D16"/>
    <mergeCell ref="I6:I7"/>
    <mergeCell ref="A27:B27"/>
    <mergeCell ref="B17:D17"/>
    <mergeCell ref="B18:D18"/>
    <mergeCell ref="B19:D19"/>
    <mergeCell ref="B20:D20"/>
    <mergeCell ref="B1:H1"/>
    <mergeCell ref="B2:H2"/>
    <mergeCell ref="B3:H3"/>
    <mergeCell ref="A6:A7"/>
    <mergeCell ref="B6:B7"/>
    <mergeCell ref="C6:C7"/>
    <mergeCell ref="D6:D7"/>
    <mergeCell ref="E6:H6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27</vt:i4>
      </vt:variant>
    </vt:vector>
  </HeadingPairs>
  <TitlesOfParts>
    <vt:vector size="27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11a</vt:lpstr>
      <vt:lpstr>11b</vt:lpstr>
      <vt:lpstr>11c</vt:lpstr>
      <vt:lpstr>11d</vt:lpstr>
      <vt:lpstr>12</vt:lpstr>
      <vt:lpstr>13</vt:lpstr>
      <vt:lpstr>13a</vt:lpstr>
      <vt:lpstr>13b</vt:lpstr>
      <vt:lpstr>14</vt:lpstr>
      <vt:lpstr>15</vt:lpstr>
      <vt:lpstr>16</vt:lpstr>
      <vt:lpstr>16a</vt:lpstr>
      <vt:lpstr>16b</vt:lpstr>
      <vt:lpstr>16c</vt:lpstr>
      <vt:lpstr>16d</vt:lpstr>
      <vt:lpstr>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2020-07-12T19:43:07Z</cp:lastPrinted>
  <dcterms:created xsi:type="dcterms:W3CDTF">2018-02-22T07:05:57Z</dcterms:created>
  <dcterms:modified xsi:type="dcterms:W3CDTF">2020-07-12T19:43:17Z</dcterms:modified>
</cp:coreProperties>
</file>