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firstSheet="6" activeTab="11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state="hidden" r:id="rId8"/>
    <sheet name="8.felhki" sheetId="9" r:id="rId9"/>
    <sheet name="9.tartalékok" sheetId="10" r:id="rId10"/>
    <sheet name="10.normatívák" sheetId="11" r:id="rId11"/>
    <sheet name="11. EU projektek" sheetId="12" r:id="rId12"/>
  </sheets>
  <definedNames>
    <definedName name="_xlnm.Print_Titles" localSheetId="0">'1. bevételek'!$5:$6</definedName>
    <definedName name="_xlnm.Print_Titles" localSheetId="11">'11.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'4.önkorm.kiad.feladat'!$5:$8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'8.felhki'!$6:$7</definedName>
    <definedName name="_xlnm.Print_Titles" localSheetId="9">'9.tartalékok'!$7:$8</definedName>
    <definedName name="_xlnm.Print_Area" localSheetId="0">'1. bevételek'!$A$1:$J$201</definedName>
    <definedName name="_xlnm.Print_Area" localSheetId="10">'10.normatívák'!$A$1:$L$54</definedName>
    <definedName name="_xlnm.Print_Area" localSheetId="1">'2. kiadások '!$A$1:$J$79</definedName>
    <definedName name="_xlnm.Print_Area" localSheetId="3">'4.önkorm.kiad.feladat'!$D$1:$AB$58</definedName>
    <definedName name="_xlnm.Print_Area" localSheetId="4">'5. Óvoda, Kult. kiad. feladat'!$A$1:$L$38</definedName>
    <definedName name="_xlnm.Print_Area" localSheetId="5">'6. kiadások megbontása'!$A$1:$M$94</definedName>
    <definedName name="_xlnm.Print_Area" localSheetId="6">'7. források sz. bontás'!$A$1:$AC$68</definedName>
    <definedName name="_xlnm.Print_Area" localSheetId="7">'8. létszámok'!$A$1:$M$111</definedName>
    <definedName name="_xlnm.Print_Area" localSheetId="8">'8.felhki'!$A$1:$D$94</definedName>
    <definedName name="_xlnm.Print_Area" localSheetId="9">'9.tartalékok'!$A$1:$D$59</definedName>
  </definedNames>
  <calcPr fullCalcOnLoad="1"/>
</workbook>
</file>

<file path=xl/sharedStrings.xml><?xml version="1.0" encoding="utf-8"?>
<sst xmlns="http://schemas.openxmlformats.org/spreadsheetml/2006/main" count="2047" uniqueCount="1188">
  <si>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</si>
  <si>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</si>
  <si>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</si>
  <si>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</si>
  <si>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</si>
  <si>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</si>
  <si>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</si>
  <si>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</si>
  <si>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</si>
  <si>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</si>
  <si>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</si>
  <si>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</si>
  <si>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</si>
  <si>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</si>
  <si>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</si>
  <si>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</si>
  <si>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</si>
  <si>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</si>
  <si>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</si>
  <si>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</si>
  <si>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</si>
  <si>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</si>
  <si>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</si>
  <si>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</si>
  <si>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</si>
  <si>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</si>
  <si>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</si>
  <si>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</si>
  <si>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</si>
  <si>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</si>
  <si>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</si>
  <si>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</si>
  <si>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</si>
  <si>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</si>
  <si>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</si>
  <si>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</si>
  <si>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</si>
  <si>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</si>
  <si>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</si>
  <si>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</si>
  <si>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</si>
  <si>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</si>
  <si>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</si>
  <si>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</si>
  <si>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</si>
  <si>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</si>
  <si>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</si>
  <si>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</si>
  <si>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</si>
  <si>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</si>
  <si>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</si>
  <si>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</si>
  <si>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</si>
  <si>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</si>
  <si>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</si>
  <si>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</si>
  <si>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</si>
  <si>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</si>
  <si>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</si>
  <si>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</si>
  <si>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</si>
  <si>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</si>
  <si>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</si>
  <si>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</si>
  <si>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</si>
  <si>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</si>
  <si>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</si>
  <si>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</si>
  <si>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</si>
  <si>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</si>
  <si>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</si>
  <si>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</si>
  <si>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</si>
  <si>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</si>
  <si>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</si>
  <si>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</si>
  <si>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</si>
  <si>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</si>
  <si>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</si>
  <si>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</si>
  <si>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</si>
  <si>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</si>
  <si>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</si>
  <si>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</si>
  <si>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</si>
  <si>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</si>
  <si>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</si>
  <si>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</si>
  <si>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</si>
  <si>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</si>
  <si>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</si>
  <si>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</si>
  <si>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</si>
  <si>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</si>
  <si>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</si>
  <si>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</si>
  <si>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</si>
  <si>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</si>
  <si>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</si>
  <si>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</si>
  <si>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</si>
  <si>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</si>
  <si>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</si>
  <si>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</si>
  <si>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</si>
  <si>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</si>
  <si>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</si>
  <si>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</si>
  <si>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</si>
  <si>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</si>
  <si>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</si>
  <si>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</si>
  <si>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</si>
  <si>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</si>
  <si>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</si>
  <si>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</si>
  <si>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</si>
  <si>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</si>
  <si>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</si>
  <si>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</si>
  <si>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</si>
  <si>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</si>
  <si>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</si>
  <si>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</si>
  <si>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</si>
  <si>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</si>
  <si>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</si>
  <si>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</si>
  <si>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</si>
  <si>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</si>
  <si>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</si>
  <si>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</si>
  <si>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</si>
  <si>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</si>
  <si>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</si>
  <si>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</si>
  <si>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</si>
  <si>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</si>
  <si>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</si>
  <si>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</si>
  <si>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</si>
  <si>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</si>
  <si>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</si>
  <si>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</si>
  <si>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</si>
  <si>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</si>
  <si>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</si>
  <si>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</si>
  <si>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</si>
  <si>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</si>
  <si>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</si>
  <si>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</si>
  <si>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</si>
  <si>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</si>
  <si>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</si>
  <si>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</si>
  <si>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</si>
  <si>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</si>
  <si>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</si>
  <si>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</si>
  <si>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</si>
  <si>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</si>
  <si>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</si>
  <si>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</si>
  <si>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</si>
  <si>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</si>
  <si>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</si>
  <si>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</si>
  <si>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</si>
  <si>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</si>
  <si>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</si>
  <si>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</si>
  <si>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</si>
  <si>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</si>
  <si>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</si>
  <si>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</si>
  <si>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</si>
  <si>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</si>
  <si>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</si>
  <si>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</si>
  <si>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</si>
  <si>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</si>
  <si>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</si>
  <si>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</si>
  <si>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</si>
  <si>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</si>
  <si>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</si>
  <si>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</si>
  <si>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</si>
  <si>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</si>
  <si>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</si>
  <si>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</si>
  <si>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</si>
  <si>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</si>
  <si>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</si>
  <si>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</si>
  <si>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</si>
  <si>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</si>
  <si>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</si>
  <si>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</si>
  <si>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</si>
  <si>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</si>
  <si>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</si>
  <si>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</si>
  <si>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</si>
  <si>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</si>
  <si>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</si>
  <si>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</si>
  <si>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</si>
  <si>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</si>
  <si>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</si>
  <si>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</si>
  <si>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</si>
  <si>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</si>
  <si>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</si>
  <si>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</si>
  <si>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</si>
  <si>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</si>
  <si>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</si>
  <si>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</si>
  <si>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</si>
  <si>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</si>
  <si>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</si>
  <si>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</si>
  <si>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</si>
  <si>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</si>
  <si>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</si>
  <si>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</si>
  <si>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</si>
  <si>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</si>
  <si>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</si>
  <si>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</si>
  <si>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</si>
  <si>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</si>
  <si>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</si>
  <si>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</si>
  <si>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</si>
  <si>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</si>
  <si>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</si>
  <si>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</si>
  <si>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</si>
  <si>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</si>
  <si>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</si>
  <si>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</si>
  <si>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</si>
  <si>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</si>
  <si>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</si>
  <si>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</si>
  <si>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</si>
  <si>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</si>
  <si>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</si>
  <si>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</si>
  <si>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</si>
  <si>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</si>
  <si>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</si>
  <si>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</si>
  <si>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</si>
  <si>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</si>
  <si>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</si>
  <si>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</si>
  <si>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</si>
  <si>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</si>
  <si>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</si>
  <si>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</si>
  <si>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</si>
  <si>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</si>
  <si>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</si>
  <si>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</si>
  <si>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</si>
  <si>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</si>
  <si>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</si>
  <si>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</si>
  <si>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</si>
  <si>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</si>
  <si>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</si>
  <si>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</si>
  <si>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</si>
  <si>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</si>
  <si>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</si>
  <si>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</si>
  <si>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</si>
  <si>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</si>
  <si>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</si>
  <si>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</si>
  <si>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</si>
  <si>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</si>
  <si>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</si>
  <si>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</si>
  <si>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</si>
  <si>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</si>
  <si>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</si>
  <si>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</si>
  <si>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</si>
  <si>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</si>
  <si>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</si>
  <si>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</si>
  <si>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</si>
  <si>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</si>
  <si>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</si>
  <si>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</si>
  <si>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</si>
  <si>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</si>
  <si>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</si>
  <si>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</si>
  <si>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</si>
  <si>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</si>
  <si>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</si>
  <si>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</si>
  <si>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</si>
  <si>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</si>
  <si>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</si>
  <si>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</si>
  <si>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</si>
  <si>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</si>
  <si>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</si>
  <si>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</si>
  <si>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</si>
  <si>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</si>
  <si>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</si>
  <si>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</si>
  <si>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</si>
  <si>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</si>
  <si>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</si>
  <si>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</si>
  <si>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</si>
  <si>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</si>
  <si>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</si>
  <si>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</si>
  <si>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</si>
  <si>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</si>
  <si>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</si>
  <si>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</si>
  <si>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</si>
  <si>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</si>
  <si>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</si>
  <si>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</si>
  <si>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</si>
  <si>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</si>
  <si>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</si>
  <si>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</si>
  <si>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</si>
  <si>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</si>
  <si>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</si>
  <si>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</si>
  <si>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</si>
  <si>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</si>
  <si>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</si>
  <si>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</si>
  <si>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</si>
  <si>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</si>
  <si>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</si>
  <si>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</si>
  <si>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</si>
  <si>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</si>
  <si>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</si>
  <si>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</si>
  <si>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</si>
  <si>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</si>
  <si>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</si>
  <si>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</si>
  <si>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</si>
  <si>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</si>
  <si>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</si>
  <si>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</si>
  <si>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</si>
  <si>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</si>
  <si>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</si>
  <si>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</si>
  <si>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</si>
  <si>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</si>
  <si>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</si>
  <si>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</si>
  <si>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</si>
  <si>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</si>
  <si>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</si>
  <si>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</si>
  <si>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</si>
  <si>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</si>
  <si>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</si>
  <si>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</si>
  <si>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</si>
  <si>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</si>
  <si>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</si>
  <si>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</si>
  <si>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</si>
  <si>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</si>
  <si>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</si>
  <si>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</si>
  <si>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</si>
  <si>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</si>
  <si>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</si>
  <si>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</si>
  <si>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</si>
  <si>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</si>
  <si>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</si>
  <si>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</si>
  <si>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</si>
  <si>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</si>
  <si>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</si>
  <si>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</si>
  <si>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</si>
  <si>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</si>
  <si>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</si>
  <si>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</si>
  <si>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</si>
  <si>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</si>
  <si>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</si>
  <si>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</si>
  <si>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</si>
  <si>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</si>
  <si>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</si>
  <si>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</si>
  <si>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</si>
  <si>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</si>
  <si>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</si>
  <si>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</si>
  <si>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</si>
  <si>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</si>
  <si>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</si>
  <si>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</si>
  <si>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</si>
  <si>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</si>
  <si>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</si>
  <si>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</si>
  <si>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</si>
  <si>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</si>
  <si>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</si>
  <si>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</si>
  <si>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</si>
  <si>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</si>
  <si>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</si>
  <si>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</si>
  <si>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</si>
  <si>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</si>
  <si>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</si>
  <si>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</si>
  <si>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</si>
  <si>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</si>
  <si>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</si>
  <si>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</si>
  <si>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</si>
  <si>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</si>
  <si>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</si>
  <si>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</si>
  <si>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</si>
  <si>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</si>
  <si>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</si>
  <si>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</si>
  <si>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</si>
  <si>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</si>
  <si>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</si>
  <si>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</si>
  <si>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</si>
  <si>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</si>
  <si>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</si>
  <si>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</si>
  <si>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</si>
  <si>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</si>
  <si>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</si>
  <si>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</si>
  <si>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</si>
  <si>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</si>
  <si>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</si>
  <si>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</si>
  <si>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</si>
  <si>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</si>
  <si>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</si>
  <si>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</si>
  <si>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</si>
  <si>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</si>
  <si>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</si>
  <si>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</si>
  <si>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</si>
  <si>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</si>
  <si>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</si>
  <si>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</si>
  <si>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</si>
  <si>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</si>
  <si>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</si>
  <si>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</si>
  <si>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</si>
  <si>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</si>
  <si>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</si>
  <si>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</si>
  <si>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</si>
  <si>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</si>
  <si>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</si>
  <si>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</si>
  <si>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</si>
  <si>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</si>
  <si>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</si>
  <si>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</si>
  <si>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</si>
  <si>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</si>
  <si>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</si>
  <si>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</si>
  <si>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</si>
  <si>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</si>
  <si>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</si>
  <si>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</si>
  <si>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</si>
  <si>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</si>
  <si>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</si>
  <si>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</si>
  <si>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</si>
  <si>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</si>
  <si>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</si>
  <si>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</si>
  <si>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</si>
  <si>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</si>
  <si>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</si>
  <si>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</si>
  <si>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</si>
  <si>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</si>
  <si>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</si>
  <si>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</si>
  <si>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</si>
  <si>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</si>
  <si>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</si>
  <si>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</si>
  <si>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</si>
  <si>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</si>
  <si>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</si>
  <si>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</si>
  <si>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</si>
  <si>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</si>
  <si>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</si>
  <si>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</si>
  <si>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</si>
  <si>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</si>
  <si>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</si>
  <si>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</si>
  <si>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</si>
  <si>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</si>
  <si>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</si>
  <si>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</si>
  <si>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</si>
  <si>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</si>
  <si>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</si>
  <si>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</si>
  <si>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</si>
  <si>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</si>
  <si>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</si>
  <si>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</si>
  <si>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</si>
  <si>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</si>
  <si>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</si>
  <si>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</si>
  <si>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</si>
  <si>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</si>
  <si>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</si>
  <si>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</si>
  <si>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</si>
  <si>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</si>
  <si>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</si>
  <si>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</si>
  <si>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</si>
  <si>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</si>
  <si>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</si>
  <si>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</si>
  <si>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</si>
  <si>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</si>
  <si>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</si>
  <si>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</si>
  <si>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</si>
  <si>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</si>
  <si>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</si>
  <si>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</si>
  <si>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</si>
  <si>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</si>
  <si>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</si>
  <si>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</si>
  <si>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</si>
  <si>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</si>
  <si>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</si>
  <si>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</si>
  <si>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</si>
  <si>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</si>
  <si>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</si>
  <si>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</si>
  <si>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</si>
  <si>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</si>
  <si>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</si>
  <si>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</si>
  <si>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</si>
  <si>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</si>
  <si>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</si>
  <si>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</si>
  <si>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</si>
  <si>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</si>
  <si>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</si>
  <si>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</si>
  <si>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</si>
  <si>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</si>
  <si>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</si>
  <si>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</si>
  <si>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</si>
  <si>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</si>
  <si>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</si>
  <si>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</si>
  <si>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</si>
  <si>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</si>
  <si>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</si>
  <si>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</si>
  <si>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</si>
  <si>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</si>
  <si>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</si>
  <si>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</si>
  <si>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</si>
  <si>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</si>
  <si>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</si>
  <si>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</si>
  <si>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</si>
  <si>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Önkormányzati bérlakások felújítása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</si>
  <si>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</si>
  <si>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</si>
  <si>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</si>
  <si>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</si>
  <si>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</si>
  <si>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</si>
  <si>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</si>
  <si>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</si>
  <si>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</si>
  <si>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</si>
  <si>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</si>
  <si>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</si>
  <si>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</si>
  <si>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</si>
  <si>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</si>
  <si>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</si>
  <si>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</si>
  <si>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</si>
  <si>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</si>
  <si>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</si>
  <si>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</si>
  <si>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</si>
  <si>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</si>
  <si>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</si>
  <si>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</si>
  <si>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</si>
  <si>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</si>
  <si>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</si>
  <si>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</si>
  <si>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</si>
  <si>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</si>
  <si>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</si>
  <si>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</si>
  <si>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</si>
  <si>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</si>
  <si>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</si>
  <si>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</si>
  <si>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</si>
  <si>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</si>
  <si>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</si>
  <si>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</si>
  <si>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</si>
  <si>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</si>
  <si>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</si>
  <si>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</si>
  <si>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</si>
  <si>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</si>
  <si>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</si>
  <si>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</si>
  <si>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</si>
  <si>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</si>
  <si>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</si>
  <si>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</si>
  <si>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</si>
  <si>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</si>
  <si>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</si>
  <si>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</si>
  <si>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</si>
  <si>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</si>
  <si>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</si>
  <si>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</si>
  <si>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</si>
  <si>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</si>
  <si>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</si>
  <si>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</si>
  <si>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</si>
  <si>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</si>
  <si>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</si>
  <si>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</si>
  <si>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</si>
  <si>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</si>
  <si>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</si>
  <si>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</si>
  <si>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</si>
  <si>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</si>
  <si>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</si>
  <si>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</si>
  <si>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</si>
  <si>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</si>
  <si>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</si>
  <si>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</si>
  <si>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</si>
  <si>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</si>
  <si>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</si>
  <si>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</si>
  <si>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</si>
  <si>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</si>
  <si>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</si>
  <si>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</si>
  <si>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</si>
  <si>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</si>
  <si>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</si>
  <si>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</si>
  <si>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</si>
  <si>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</si>
  <si>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</si>
  <si>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</si>
  <si>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</si>
  <si>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</si>
  <si>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</si>
  <si>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</si>
  <si>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</si>
  <si>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</si>
  <si>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</si>
  <si>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</si>
  <si>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</si>
  <si>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</si>
  <si>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</si>
  <si>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</si>
  <si>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</si>
  <si>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</si>
  <si>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</si>
  <si>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</si>
  <si>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</si>
  <si>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</si>
  <si>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</si>
  <si>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</si>
  <si>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</si>
  <si>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</si>
  <si>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</si>
  <si>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</si>
  <si>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</si>
  <si>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</si>
  <si>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</si>
  <si>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</si>
  <si>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</si>
  <si>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</si>
  <si>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</si>
  <si>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</si>
  <si>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</si>
  <si>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- Szakmai munkatárs</t>
  </si>
  <si>
    <t>RGYVK-hoz kapcs. természetbeni juttatás (Erzsébet utalvány) megtérítése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</si>
  <si>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</si>
  <si>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</si>
  <si>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</si>
  <si>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</si>
  <si>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</si>
  <si>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</si>
  <si>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</si>
  <si>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</si>
  <si>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</si>
  <si>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</si>
  <si>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</si>
  <si>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</si>
  <si>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</si>
  <si>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</si>
  <si>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</si>
  <si>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</si>
  <si>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</si>
  <si>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</si>
  <si>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</si>
  <si>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</si>
  <si>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</si>
  <si>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</si>
  <si>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</si>
  <si>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</si>
  <si>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</si>
  <si>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</si>
  <si>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</si>
  <si>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</si>
  <si>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</si>
  <si>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Esetmenedzser és tanácsadó</t>
  </si>
  <si>
    <t>- Esetmenedzser és tanácsadó (részfoglalk. napi 4 órában)</t>
  </si>
  <si>
    <t>- Szakmai vezető (részfoglalk. napi 4 órában)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</si>
  <si>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</si>
  <si>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</si>
  <si>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</si>
  <si>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</si>
  <si>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</si>
  <si>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</si>
  <si>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</si>
  <si>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</si>
  <si>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</si>
  <si>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</si>
  <si>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</si>
  <si>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</si>
  <si>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</si>
  <si>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</si>
  <si>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</si>
  <si>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</si>
  <si>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</si>
  <si>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</si>
  <si>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</si>
  <si>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</si>
  <si>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</si>
  <si>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</si>
  <si>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Óvodai étkeztetés</t>
  </si>
  <si>
    <t>Mötv. 13.§ (1)12.</t>
  </si>
  <si>
    <t>Mötv. 13.§ (1)11,  21.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</si>
  <si>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</si>
  <si>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</si>
  <si>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</si>
  <si>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</si>
  <si>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</si>
  <si>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</si>
  <si>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</si>
  <si>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</si>
  <si>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</si>
  <si>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</si>
  <si>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Könyvtári szolgáltatások ellenértéke</t>
  </si>
  <si>
    <t>Közművelődési szolgáltatások ellenértéke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</si>
  <si>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</si>
  <si>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</si>
  <si>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</si>
  <si>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</si>
  <si>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</si>
  <si>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</si>
  <si>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</si>
  <si>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</si>
  <si>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</si>
  <si>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</si>
  <si>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</si>
  <si>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</si>
  <si>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</si>
  <si>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</si>
  <si>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</si>
  <si>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</si>
  <si>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</si>
  <si>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</si>
  <si>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</si>
  <si>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</si>
  <si>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</si>
  <si>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</si>
  <si>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</si>
  <si>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</si>
  <si>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</si>
  <si>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- Technikai dolgozók  (2 fő részfoglalk. napi 4 órában)</t>
  </si>
  <si>
    <t>Jánoshalma Városi Önkormányzat 2019. évi költségvetésében tervezett köponti költségvetési támogatások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</si>
  <si>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</si>
  <si>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</si>
  <si>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</si>
  <si>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</si>
  <si>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</si>
  <si>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költségvetési szerveknél foglalkoztatottak 2018. évi áthúzódó és 2019. évi kompenzációja</t>
  </si>
  <si>
    <t>Alapfokú végzettségű pedagógus II. kategóriába sorolt óvodapedagógusok kiegészítő támogatása, akik a minősítést 2018.01.01-ig szerezték meg</t>
  </si>
  <si>
    <t>Alapfokú végzettségű pedagógus II. kategóriába sorolt óvodapedagógusok kiegészítő támogatása, akik a minősítést a 2019. január 1-jei átsorolással szerezték meg</t>
  </si>
  <si>
    <t>Alapfokú végzettségű mesterpedagógus kategóriába sorolt óvodapedagógusok kiegészítő támogatása, akik a minősítést 2018.01.01-ig szerezték meg</t>
  </si>
  <si>
    <t>Alapfokú végzettségű mesterpedagógus kategóriába sorolt óvodapedagógusok kiegészítő támogatása, akik a minősítést a 2019. január 1-jei átsorolással szerezték meg</t>
  </si>
  <si>
    <t>Szociális ágazati összevont pótlék és egészségügyi kiegészítő pótlék</t>
  </si>
  <si>
    <t>III.5.aa</t>
  </si>
  <si>
    <t>III.5.ab</t>
  </si>
  <si>
    <t xml:space="preserve">III.6. </t>
  </si>
  <si>
    <t>III.6. a (1)</t>
  </si>
  <si>
    <t>III.6. a (2)</t>
  </si>
  <si>
    <t>III.6.b</t>
  </si>
  <si>
    <t>IV.3</t>
  </si>
  <si>
    <t>Kulturális illetménypótlék</t>
  </si>
  <si>
    <t>Egyéb önkormányzati feladatok támogatása (beszámítás után)</t>
  </si>
  <si>
    <t>III.3.n</t>
  </si>
  <si>
    <t>Óvodai és iskolai szociális segítő tevékenység támogatása</t>
  </si>
  <si>
    <t>Jánoshalma Városi Önkormányzat és költségvetési szervei 2019. évi költségvetésének bevételi előirányzatai</t>
  </si>
  <si>
    <t>Jánoshalma Városi Önkormányzat és költségvetési szervei 2019. évi költségvetésének kiadási előirányzatai</t>
  </si>
  <si>
    <t>Jánoshalma Város Önkormányzat 2019. évi költségvetése működési és felhalmozási célú bontásban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</si>
  <si>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</si>
  <si>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</si>
  <si>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</si>
  <si>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</si>
  <si>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>Környezetvédelmi alap a 2019. évre tervezett talajterhelési díj bevételből</t>
  </si>
  <si>
    <t>A helyi önkormányzat által irányított költségvetési szervek 2019. évi költségvetési kiadásai feladatonként</t>
  </si>
  <si>
    <t>EFOP-3.9.2-16-2017-00057 "Járásokat összekötő humán kapacitások fejlesztése térségi szemléletben" projekt - 2 fő többletfeladat ellátása</t>
  </si>
  <si>
    <t xml:space="preserve">EFOP-3.3.2-16-2016-00284 "Kultúrával az oktatás színesítéséért" projekt </t>
  </si>
  <si>
    <t>Óvodai nevelés</t>
  </si>
  <si>
    <t xml:space="preserve">EFOP-3.2.9-16-2016-00044 "Segítsd, hogy segíthessen!" c. projekt 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</si>
  <si>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</si>
  <si>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</si>
  <si>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Jánoshalma Városi Önkormányzat  2019. évi költségvetési kiadásai feladatonként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</si>
  <si>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</si>
  <si>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</si>
  <si>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</si>
  <si>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</si>
  <si>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</si>
  <si>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Óvodai nevelés, ellátás működtetési feladatai</t>
  </si>
  <si>
    <t>Iskolarendszeren kívüli egyéb oktatás, képzés</t>
  </si>
  <si>
    <t>Idősek nappali ellátása</t>
  </si>
  <si>
    <t>Hajléktalanok átmeneti ellátása éjjeli menedékhelyen</t>
  </si>
  <si>
    <t>107013</t>
  </si>
  <si>
    <t>107015</t>
  </si>
  <si>
    <t>Hajléktalanok nappali ellátása - Nappali melegedő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</si>
  <si>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</si>
  <si>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</si>
  <si>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</si>
  <si>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</si>
  <si>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</si>
  <si>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</si>
  <si>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</si>
  <si>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</si>
  <si>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</si>
  <si>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</si>
  <si>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42</t>
  </si>
  <si>
    <t>43</t>
  </si>
  <si>
    <t>047450</t>
  </si>
  <si>
    <t>053010</t>
  </si>
  <si>
    <t>062020</t>
  </si>
  <si>
    <t>082061</t>
  </si>
  <si>
    <t>082091</t>
  </si>
  <si>
    <t>095020</t>
  </si>
  <si>
    <t>102031</t>
  </si>
  <si>
    <t>2019. évi felhalmozási kiadások feladatonként, felújítási kiadások célonként</t>
  </si>
  <si>
    <t>Q</t>
  </si>
  <si>
    <t>Start-munka program -Téli közfoglalkoztatás - Hulladékgyűjtő konténer beszerzés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</si>
  <si>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</si>
  <si>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</si>
  <si>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</si>
  <si>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</si>
  <si>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</si>
  <si>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</si>
  <si>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 xml:space="preserve">120/2018.(VII.18.) Kt. hat. alapján  önerő maradvány - a Konyhafejlesztési VP 6-7.2.1-7.4.1.3-17 kódszámú pályázathoz </t>
  </si>
  <si>
    <t>224/2017.(XII.14) Kt. hat.  és 17/2018(I.25) Kt. határozatok alapján önerő maradvány a VP6-19.2.1-32-1-17  "Települések élhetőbbé tétele" c. pályázathoz (gépjármű tároló építése a Mélykúti u. 7. sz. alatt)</t>
  </si>
  <si>
    <t>TOP-2.1.2-16-BK1 - "Zöld tér felújítása Jánoshalmán" c. projekt kiadásai</t>
  </si>
  <si>
    <t>51/2016.(III.24.) Kt. hat. VP-6-7.4.1.1-16 "Jánoshalmi Művésztelep energetikai felújítása" projekt pályázati  önerő és támogatás kiadási maradványa</t>
  </si>
  <si>
    <t>Viziközművek fejlesztése a viziközművek 2019. évi bérleti díj bevételéből és a Viziközmű fejlesztési tartalékból</t>
  </si>
  <si>
    <t>Jánoshalmi Művésztelep (Kossuth u. 5.sz.) - 2 db ágy, 2 db ruhás szekrény, 5 db asztal, 15 db szék beszerzése</t>
  </si>
  <si>
    <t>63/2018.(IV.26.) Kt. hat. Radnóti utcai óvoda energetikai felújítása (önerő és központi támogatás)</t>
  </si>
  <si>
    <t>EFOP-1.5.3-16-2017-00082  "Együtt vagyunk, otthon vagyunk és itt maradunk" c. projekt felújítási kiadásai</t>
  </si>
  <si>
    <t>Jánoshalma Városi Önkormányzat és költségvetési szerveinek 2019. évi költségvetési kiadásai kötelező-, önként vállalt-, és állami (államigazgatási) feladatok szerinti bontásban</t>
  </si>
  <si>
    <t>Mötv. 13.§ (1) 11. 21.</t>
  </si>
  <si>
    <t>Mötv. 13.§ (1) 1. 7. 9. 14.</t>
  </si>
  <si>
    <t>013320</t>
  </si>
  <si>
    <t>Köztemető-fenntartás és működtetés</t>
  </si>
  <si>
    <t>44</t>
  </si>
  <si>
    <t>Szoc. tv. 86.§ (1) d,</t>
  </si>
  <si>
    <t>Hajléktalanok átmeneti ellátása - éjjeli menedékhelyen</t>
  </si>
  <si>
    <t>Hajléktalanok nappali ellátása</t>
  </si>
  <si>
    <t>Mötv. 13.§ (1) 10.</t>
  </si>
  <si>
    <t>Szoc. tv. 86.§ (1) c,</t>
  </si>
  <si>
    <t>45</t>
  </si>
  <si>
    <t>46</t>
  </si>
  <si>
    <t xml:space="preserve">Óvodai nevelés, ellátás </t>
  </si>
  <si>
    <t>Jánoshalma Városi Önkormányzat  és költségvetési szerveinek 2019. évi költségvetési bevételei és  kiadásai kötelező-, önként vállalt-, és állami (államigazgatási) feladatok szerinti bontásban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</si>
  <si>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</si>
  <si>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</si>
  <si>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</si>
  <si>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Startmunka programok felh. c. támogatása</t>
  </si>
  <si>
    <t>VP6-7.2.1-7.4.1.2-16 kódsz. önk-i utak karbantartásához gép beszerzés támogatása</t>
  </si>
  <si>
    <t>EFOP-3.3.2-16-2016-00284 "Kulturával az oktatás színesítéséért"pr.műk. c.támogatása</t>
  </si>
  <si>
    <t>EFOP-3.3.2-16-2016-00284 "Kulturával az oktatás színesítéséért"pr. felh. c.  támogatása</t>
  </si>
  <si>
    <t>A 2019. évi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</si>
  <si>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</si>
  <si>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</si>
  <si>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</si>
  <si>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</si>
  <si>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</si>
  <si>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</si>
  <si>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</si>
  <si>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</si>
  <si>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</si>
  <si>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</si>
  <si>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</si>
  <si>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</si>
  <si>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"Segítsd, hogy segíthessen!" c. projekt (EFOP-3.2.9-16-2016-00044)</t>
  </si>
  <si>
    <t>2019. évi költségvetésben tervezett 2018. évi maradvány igénybevétel</t>
  </si>
  <si>
    <t xml:space="preserve">2019. évi költségvetésben tervezett bevételi előirányzatok    </t>
  </si>
  <si>
    <t xml:space="preserve">2019. évi költségvetésben tervezett kiadási előirányzatok   </t>
  </si>
  <si>
    <t>"Közétkeztetés fejlesztése" (Vidékfejlesztési Program VP6-7.2.1-7.4.1.3-17)</t>
  </si>
  <si>
    <t>"A Jánoshalmi Művésztelep energetikai felújítása" (Vidékfejlesztési Program VP6-7.2.1-7.4.1.1-16)</t>
  </si>
  <si>
    <t>"Önkormányzati utak karbantartásához szükséges erő- és munkagépek beszerzése" (Vidékfejlesztési Program VP6-7.2.1-7.4.1.2-16)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</si>
  <si>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</si>
  <si>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</si>
  <si>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</si>
  <si>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</si>
  <si>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</si>
  <si>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Szakmai vezető</t>
  </si>
  <si>
    <t>Ifjúsági referens</t>
  </si>
  <si>
    <t>Közösségszervező</t>
  </si>
  <si>
    <t>Közösség szervező munkatárs</t>
  </si>
  <si>
    <t>TOP-5.3.1-16-BK1-2017-00015 "Együtt a közösségeinkért" projekt</t>
  </si>
  <si>
    <t>Közösségfejlesztő</t>
  </si>
  <si>
    <t>EFOP-3.9.2-16-2017-00057 "Járásokat összekötő humán kapacitások fejlesztése térségi szemléletben" projekt</t>
  </si>
  <si>
    <t>EFOP-3.3.2-16-2016-00284 "Kultúrával az oktatás színesítéséért" projekt</t>
  </si>
  <si>
    <t>Start-munka program - Téli közfoglalkoztatás (2018. évről áthúzódó programok 2019.02.28-ig)</t>
  </si>
  <si>
    <t>Illegális hulladéklerakó-helyek felszámolása programelem</t>
  </si>
  <si>
    <t>Hosszabb időtartamú közfoglalkoztatás (2018. évről áthúzódó programok 2019.02.28-ig)</t>
  </si>
  <si>
    <t xml:space="preserve">23 fő álláskereső közfoglalkoztatása </t>
  </si>
  <si>
    <t>Család- és Gyermekjóléti Központ (EFOP 3.2.9-16-2016-00044 pr.)</t>
  </si>
  <si>
    <t>Iskolarendszeren kívüli egyéb oktatás, képzés (EFOP-3.9.2-16-2017-00057 pr.)</t>
  </si>
  <si>
    <t>A települési önkormányzatok szociális feladatainak egyéb támogatása</t>
  </si>
  <si>
    <t>- Iskolai és óvodai szoc. segítő tev.</t>
  </si>
  <si>
    <t>EFOP-3.2.9-16-2016-00044 "Segítsd hogy segíthessen" projekt</t>
  </si>
  <si>
    <t>Szociális segítő</t>
  </si>
  <si>
    <t>Szociális segítő (1 fő részm. napi 4 óra)</t>
  </si>
  <si>
    <t>Fejlesztő pedagógus</t>
  </si>
  <si>
    <t>Fejlesztő pedagógus (2 fő nap 4 órában)</t>
  </si>
  <si>
    <t>Kiegészítő fejlesztés zeneovi és angol (2 fő heti 2 és 1 órában)</t>
  </si>
  <si>
    <t>Gyógypedagógus (1 fő heti 10 órában)</t>
  </si>
  <si>
    <t>Szakmai koordinátor (1 fő heti 20 órában)</t>
  </si>
  <si>
    <t>Pénzügyi asszisztens (napi 4 óra)</t>
  </si>
  <si>
    <t>Nem elszámolható kiadásokra további önkormányzati forrás biztosítása</t>
  </si>
  <si>
    <t>- Önkormányzati EFOP-1.5.3-16-2017-00082 projekt 2 fő prevenciós munkatárs</t>
  </si>
  <si>
    <t>- Pénzügyi vezető (részm. napi 4 órában)</t>
  </si>
  <si>
    <t>- Projektmenedzser (részm. napi 4 órában)</t>
  </si>
  <si>
    <t xml:space="preserve">- Szakterületi koordinátor </t>
  </si>
  <si>
    <t>- Szakmai asszisztens (2 fő, ebből 1 fő napi 4 órában)</t>
  </si>
  <si>
    <t>Angol nyelvtanár (2 fő részm. napi 1 órában)</t>
  </si>
  <si>
    <t>Mentor  (4 fő részm. napi 1 órában)</t>
  </si>
  <si>
    <t xml:space="preserve">20 fő álláskereső közfoglalkoztatása </t>
  </si>
  <si>
    <t>Gyermeklánc Óvoda és Bölcsőde, Család- és Gyermekjóléti Központ  összesen:</t>
  </si>
  <si>
    <t>Működési célú tartalék - elektronikus közbeszerzés rendszerhasználati díja</t>
  </si>
  <si>
    <t xml:space="preserve">16/2019.(I.24.) Kt. hat. alapján további 1 millió Ft-os keret a VP 6-7.2.1-7.4.1.3-17 kódszámú "Közétkeztetés fejlesztése" pályázat megvalósítása során felmerült plusz kiadásokhoz </t>
  </si>
  <si>
    <t>utak használata ellenében beszedett használati díj, pótdíj, elektr. útdíj</t>
  </si>
  <si>
    <t>Alaptevékenység maradványából képzett tartalék</t>
  </si>
  <si>
    <t>Vállalkozási tevékenység maradványából képzett tartalék</t>
  </si>
  <si>
    <t>Működési célú tartalék - EFOP-2-1-2-16-2018-00075 projekt tartaléka</t>
  </si>
  <si>
    <t>Önkormányzatok elszámolásai a központi költségvetéssel</t>
  </si>
  <si>
    <t>018010</t>
  </si>
  <si>
    <t>061040</t>
  </si>
  <si>
    <t>Telepszerű lakókörnyezetek felszámolását célzó programok</t>
  </si>
  <si>
    <t>Céltartalék -EFOP-2.1.2-16-2018-00075 pr. taraléka</t>
  </si>
  <si>
    <t>Alaptev. maradványból képzett tartalék</t>
  </si>
  <si>
    <t>Vállalk. maradv-ból képzett tartalék</t>
  </si>
  <si>
    <t>Céltartalék -Téli rezsi csökk. tartaléka</t>
  </si>
  <si>
    <t>Európai Parlament tagjainak 2019. évi választása</t>
  </si>
  <si>
    <t>EFOP-1.4.2-16-2016-00020 "Együtt könnyebb" projekt - 1 fő többletfeladat ellátása</t>
  </si>
  <si>
    <t>Ve.</t>
  </si>
  <si>
    <t>2013. évi XXXVI.törvány a választási eljárásról</t>
  </si>
  <si>
    <t>47</t>
  </si>
  <si>
    <t>48</t>
  </si>
  <si>
    <t>EFOP-2.1.2-16-2018-00075  "Egy fedél alatt" c. pr. támogatása</t>
  </si>
  <si>
    <t>2019.évi és 2018. áthúzódó bérkompenzáció</t>
  </si>
  <si>
    <t>Szociális ágazati összevont pótlék</t>
  </si>
  <si>
    <t>Kulturális ágazati illetménypótlék</t>
  </si>
  <si>
    <t>Állami kv-ből megigényelt bérkiegyenlítő alap</t>
  </si>
  <si>
    <t xml:space="preserve">I.Szent István király szobor felállításának támogatása </t>
  </si>
  <si>
    <t xml:space="preserve">Európai Parlament tagjainak 2019. választására </t>
  </si>
  <si>
    <t>Hosszabb időtartamú közfoglalkoztatás (2019. március 1-től indult programok 2020.02.29-ig)</t>
  </si>
  <si>
    <t>Start-munka program - Téli közfoglalkoztatás (2019. március 1-től indult programok 2020.02.29-ig)</t>
  </si>
  <si>
    <t>48 fő álláskereső közfoglalkoztatása</t>
  </si>
  <si>
    <t>Szociális jellegű program programelem</t>
  </si>
  <si>
    <t>2019. márc. 1-től induló Start-munka program kisértékű tárgyi eszköz beszerzése</t>
  </si>
  <si>
    <t>3. melléklet jogcímei mindösszesen:</t>
  </si>
  <si>
    <t xml:space="preserve">I.12. </t>
  </si>
  <si>
    <t>Kiegyenlítő bérrendezési alap</t>
  </si>
  <si>
    <t xml:space="preserve">"Egy fedél alatt" c. projekt (EFOP-2.1.2-16-2018-00075) </t>
  </si>
  <si>
    <t>Tartalék (elszámolható)</t>
  </si>
  <si>
    <t>Környezetvédelmi alap (előző évek maradványa)</t>
  </si>
  <si>
    <t>Környezetvédelmi alap összesen:</t>
  </si>
  <si>
    <t>Céltartalék (működési) összesen:</t>
  </si>
  <si>
    <t>Elektronikus közbeszerzési eljárás során fizetendő rendszerhasználati díj összesen:</t>
  </si>
  <si>
    <t>2018. évi alaptevékenység maradványából tartalék képzés</t>
  </si>
  <si>
    <t>2018. évi maradványt terhelő kötelezettségek</t>
  </si>
  <si>
    <t>2018. évi vállalkozási tevékenység maradványából tartalék képzés</t>
  </si>
  <si>
    <t>54/2019.(IV.25) Kt. hat. Önk-i feladatellátást szolgáló fejlesztések támogatása pályázati önerő (Óvoda épület hőszigetelése)</t>
  </si>
  <si>
    <t>56/2019.(IV.25) Kt. hat. Főépítészi szerződés megkötése új Rendezési Terv készítéséhez</t>
  </si>
  <si>
    <t>58/2019.(IV.25) Kt. hat. Parkban lévő kutak vízjogi engedélyezési eljárása</t>
  </si>
  <si>
    <t>EFOP-2.1.2-16-2018-00075 "Egy fedél alatt" c. projekt tartaléka</t>
  </si>
  <si>
    <t>EFOP-2.1.2-16-2018-00075 "Egy fedél alatt" c. projekt tartaléka összesen:</t>
  </si>
  <si>
    <t>Téli rezsicsökkentési támogatás - 2019. évi felhasználás</t>
  </si>
  <si>
    <t>Téli rezsicsökkentési támogatás tartaléka összesen:</t>
  </si>
  <si>
    <t>EFOP-1.5.3-16-2017-00082 "Együtt vagyunk, otthon vagyunk és itt maradunk" projekt - 2 fő többletfeladat ellátása</t>
  </si>
  <si>
    <t>Nyári diákmunka program</t>
  </si>
  <si>
    <t>90/2019.(V.23) Kt. hat. Jh belvíz elvezetése I. ütem - közbeszerzési szakértő</t>
  </si>
  <si>
    <t xml:space="preserve">Elektronikus közbeszerzési eljárás során fizetendő rendszerhasználati díj </t>
  </si>
  <si>
    <t>5 db TOP projekt elektronikus közbeszerzési eljárás során fizetendő rendszerhasználati díja</t>
  </si>
  <si>
    <t xml:space="preserve">93/2019.(V.23.) Kt. hat. alapján további pénzügyi fedezet biztosítása a TOP-3.2.1-16-BK1-2017-00059 "Jánoshalma Polgármesteri Hivatal energetikai rendszerek korszerűsítése" c. projekt megvalósítása során felmerült plusz kiadásokhoz </t>
  </si>
  <si>
    <t>Készletértékesítés (homok értékesítés)</t>
  </si>
  <si>
    <t>Áfa visszatérítés</t>
  </si>
  <si>
    <t>Önkormányzati tűzoltóságok támogatása</t>
  </si>
  <si>
    <t>VP6-19.2.1-32-2-17 "Kulturális értékmegőrző rendezvények lebonyolítása" támogatása</t>
  </si>
  <si>
    <t>Nyári diákmunka program támogatása</t>
  </si>
  <si>
    <t xml:space="preserve">I.10. a, </t>
  </si>
  <si>
    <t>Önkormányzatok rendkívüli támogatása - önkormányzati tűzoltóságok támogatása</t>
  </si>
  <si>
    <t>a Magyarország 2019. évi központi költségvetéséről szóló 2018. évi L. törvény 2. és 3. sz. mellékletének jogcímei szerint</t>
  </si>
  <si>
    <t>Dologi kiadások (nem elszámolható)</t>
  </si>
  <si>
    <t>"Kulturális értékmegőrző rendezvények lebonyolítása" (Vidékfejlesztési Program VP6-19.2.1-32-2-17)</t>
  </si>
  <si>
    <t>Dologi kiadások (elszámolható) Fizetendő Áfa</t>
  </si>
  <si>
    <t>Önkormányzati feladatellátást szolgáló fejlesztések támogatása - Óvoda épület hőszigetelése</t>
  </si>
  <si>
    <t xml:space="preserve">II.2.a, </t>
  </si>
  <si>
    <t xml:space="preserve">Önkormányzati feladatellátást szolgáló fejlesztések - óvodafelújítás támogatása </t>
  </si>
  <si>
    <t>Ételszállításhoz 20 literes duplafalú HGI badella beszerzése</t>
  </si>
  <si>
    <t>NYÁRI DIÁKMUNKÁSOK LÉTSZÁMA ÖSSZESEN:</t>
  </si>
  <si>
    <t>A helyi önkormányzati képviselők és a polgármesterek általános választása, valamint a nemzetiségi önkormányzati képviselők általános választása</t>
  </si>
  <si>
    <t>A helyi önk-i képviselők és a polgármesterek ált. választása és a nemzetiségi önk-i képviselők ált. választása</t>
  </si>
  <si>
    <t>Esélyegyenlőség elősegítését célzó tev. és progr. (EFOP-1.5.3-16-2017-00082 pr.)</t>
  </si>
  <si>
    <t>2019. évi és 2018. évről áthúzódó bérkompenzáció</t>
  </si>
  <si>
    <t>Jánoshalmi Polgármesteri Hivatal</t>
  </si>
  <si>
    <t>8. melléklet a 9/2019. (IX.30.) önkormányzati rendelethez</t>
  </si>
  <si>
    <t>Mentor vezető (részm. napi 4 órában)</t>
  </si>
  <si>
    <t>Mentor (10 fő részm. napi 2 órában)</t>
  </si>
  <si>
    <t>Út, autópálya építése (kerékpárút, járda)</t>
  </si>
  <si>
    <t>Út, autópálya építése (kerékpárút)</t>
  </si>
  <si>
    <t>Szélessávú internet hálózat értékesítése kapcsán JKT-tól átvett pénzeszköz</t>
  </si>
  <si>
    <t xml:space="preserve">124/2019.(IX.26.) Kt. hat. Jánoshalma Polgármesteri Hivatal korszerűsítése </t>
  </si>
  <si>
    <t>130/2019.(IX.26.) Kt. hat. "Jánoshalma belvíz elvezetése I. ütem"  - többlet pénzügyi fedezet biztosítása</t>
  </si>
  <si>
    <t>132/2019.(IX.26.) Kt. hat. Játszótéri játékok  felújítása</t>
  </si>
  <si>
    <t>141/2019.(X.08.) Kt. hat. Sportpálya kerítés alapzata</t>
  </si>
  <si>
    <t>Háziorvosi Ügyeleti szolgálat - tápegység és ruoter beszerzése</t>
  </si>
  <si>
    <t>Védőnői szolgálat - Office csomagok beszerzése</t>
  </si>
  <si>
    <t>63/2018.(IV.26.) Kt. hat. Radnóti utcai óvoda energetikai felújítása keretében 2 db villanybojler beszerzése</t>
  </si>
  <si>
    <t>Többlet kiadásokra további önkormányzati forrás biztosítása</t>
  </si>
  <si>
    <t>Települési támogatás (Szoc. tv. 45.§)</t>
  </si>
  <si>
    <t>Környezet- védelmi alap</t>
  </si>
  <si>
    <t>Céltartalék -elektr. közbesz. rendszer- használati díja</t>
  </si>
  <si>
    <t>Vállalkozási tev. - Növénytermesztés és kapcsolódó szolgáltatások</t>
  </si>
  <si>
    <t>Intézményen kívüli (szünidei) gyermekétkeztetés</t>
  </si>
  <si>
    <t>Közművelődés - közösségi és társadalmi részvétel fejlesztése</t>
  </si>
  <si>
    <t>Üdülői szálláshely-szolgáltatás és étkeztetés (Kunfehértó Ifj. Tábor)</t>
  </si>
  <si>
    <t>Család- és nővédelmi egészségügyi gondozás (Védőnői Szolgálat)</t>
  </si>
  <si>
    <t>Zöldterület-kezelés</t>
  </si>
  <si>
    <t>Önkormányzati vagyonnal való gazdálkodással kapcsolatos feladatok</t>
  </si>
  <si>
    <t>Ttv. 2.§ (2) bek.,  Mötv. 13.§ (1) 12.</t>
  </si>
  <si>
    <t>Üdülői szálláshely szolgáltatás és étkeztetés (Kunfehértói Ifjúsági Tábor)</t>
  </si>
  <si>
    <t>"Szabadságkoncert" könnyűzenei pr. támogatása</t>
  </si>
  <si>
    <t>TOP-3.2.1.-16 Polg. Hiv. energetikai korsz. projekt, TOP-2.1.2-16 "Zöld tér felújítása projekt, TOP-2.1.3-16 "Jh. belvíz elvezetése I. ütem" c. projekt és VP 6-7.2.1-7.4.1.3-17  Konyha- fejlesztési pályázat támogatása</t>
  </si>
  <si>
    <t>Ügyeleti ellátáshoz önkormányzatoktól átvett pénzeszköz</t>
  </si>
  <si>
    <t>Család- és nővédelmi eü. gondozáshoz NEA-finanszírozás</t>
  </si>
  <si>
    <t>Lajtha L. Non-profit Kft. - fel nem haszn. támog. vt.</t>
  </si>
  <si>
    <t>Közvetített szolgáltatások és Szüreti Napok szolgáltatás ellenértéke</t>
  </si>
  <si>
    <t>Polgármesteri Hivatal udvarán garázs kialakítása</t>
  </si>
  <si>
    <t>Rendezési Terv ("Jánoshalma város településfejlesztési koncepció, új településrendezési eszközök elkészítése" - Városökológia Bt.)</t>
  </si>
  <si>
    <t>Energiamegtakarítási intézkedési terv készíttetése</t>
  </si>
  <si>
    <t>EFOP-1.4.2-16-2016 - 00020  "Együtt a közösségeinkért" c. projekt beruházási kiadásai</t>
  </si>
  <si>
    <t>EFOP-1.5.3-16-2017-00082  "Együtt vagyunk, otthon vagyunk és itt maradunk" c. projekt beruh. kiadásai</t>
  </si>
  <si>
    <t>EFOP-2.1.2-16-2018-00075  "Egy fedél alatt" c. projekt beruházási kiadásai</t>
  </si>
  <si>
    <t>106/2019.(VII.18.) Kt. hat. alapján Diákélelmezési Konyha épületének trafófejlesztése</t>
  </si>
  <si>
    <t>Számítógép, monitor, irodai székek, porszívó, további kisebb eszközbeszerzések</t>
  </si>
  <si>
    <t>Hordozható mikrofon, kontroll hangfal, fénytechnika beszerzése</t>
  </si>
  <si>
    <t>EFOP-3.3.2-16-2016-00284  "Kultúrával az oktatás színesítéséért" c. projekt beruházási kiadásai</t>
  </si>
  <si>
    <t>EFOP-1.5.3 pályázat -  KIT Ifjúsági Találkozókkal kapcsolatos eszközbeszerzések</t>
  </si>
  <si>
    <t>Polgármesteri Hivatal épületének festése, folyósói ablak cseréje</t>
  </si>
  <si>
    <t>54/2019.(IV.25.) Kt. hat. Önk-i feladatellátást szolgáló fejlesztések támogatása - Óvoda épület hőszigetelése (önerő és központi támogatás)</t>
  </si>
  <si>
    <t>2018. évi állami támogatások elszámolásának MÁK általi felülvizsgálata kapcsán visszafizetendő összeg és kamata</t>
  </si>
  <si>
    <t>Államháztartáson belüli megelőlegezések</t>
  </si>
  <si>
    <t>Szélessávú internet h. értékesítés tartaléka</t>
  </si>
  <si>
    <t>R</t>
  </si>
  <si>
    <t>Víziközmű fejlesztési céltrtalék</t>
  </si>
  <si>
    <t>018030</t>
  </si>
  <si>
    <t>Támogatási célú finanszírozási műveletek</t>
  </si>
  <si>
    <t>S</t>
  </si>
  <si>
    <t>25. Egészségügyi ellátás</t>
  </si>
  <si>
    <t>Víziközmű fejlesztési céltartalék</t>
  </si>
  <si>
    <t>Szélessávú internet hálózat értékesítése kapcsán JKT-tól átvett pénzeszköz - fejlesztési tartalék</t>
  </si>
  <si>
    <t>49</t>
  </si>
  <si>
    <t>Vízi- és szennyvízközművek GFT (Gördülő Fejlesztési Terv) tervezési díjából önkormányzatra jutó rész</t>
  </si>
  <si>
    <t>Kapocs utca útfelújítási munkái</t>
  </si>
  <si>
    <t>Telefonkészülék vásárlása</t>
  </si>
  <si>
    <t>Polgármesteri Hivatal konyha burkolat felújítása</t>
  </si>
  <si>
    <t>Polgármesteri Hivatal  összesen:</t>
  </si>
  <si>
    <t>Helyi önkormányzati választáshoz szavazófülke beszerzése</t>
  </si>
  <si>
    <t xml:space="preserve"> Család- és Gyermekjóléti Szolgálat beruházási kiadásai - 2 db optikai egér, zselés akkumulátor, tárolószekrény</t>
  </si>
  <si>
    <t>Nyitnikék Gyerekház beruházási kiadásai - Aroma diffúzor, sütő, daráló, mérleg, egyéb eszközök</t>
  </si>
  <si>
    <t>Vízi- és szennyvízközművek fejlesztési céltartaléka</t>
  </si>
  <si>
    <t xml:space="preserve">Központi költségvetési támogatások rendezése </t>
  </si>
  <si>
    <t>Vízi- és szennyvízközmű fejlesztési céltartalék</t>
  </si>
  <si>
    <t>Vízi- és szennyvízközművekkel kapcsolatos egyéb kiadások (biztosítási díj, GFT tervezési díj)</t>
  </si>
  <si>
    <t>Szociális étkeztetés és szociális otthoni ellátás térítési díjának különbözete</t>
  </si>
  <si>
    <t>Homokbánya műszaki vezetői díj, projekt közzétételi költségtérítés, GIRO rendszer használatához szükséges eszközbeszerzés</t>
  </si>
  <si>
    <t>Telefonkészülék beszerzése</t>
  </si>
  <si>
    <t>Bölcsődei gyermekétkeztetés</t>
  </si>
  <si>
    <t>Közművelődés - hagyományos közös- ségi kulturális értékek gondozása</t>
  </si>
  <si>
    <t>Jánoshalmi Polgármesteri Hivatal kiadásai összesen:</t>
  </si>
  <si>
    <t>Imre Zoltán Művelődési Központ és Könyvtár kiadásai összesen:</t>
  </si>
  <si>
    <t>Jánoshalma Városi Önkormányzat kiadásai összesen:</t>
  </si>
  <si>
    <t>Vízkárelhárítási terv elkészíttetése</t>
  </si>
  <si>
    <t>VP6-19.2.1-32-2-17 "Kulturális értékmegőrző rendezvények lebonyolítása" c. pályázat keretében a 2019. évi Jánoshalmi Napok lebonyolításához fény- és hangtechnikai eszközök beszerzése</t>
  </si>
  <si>
    <t xml:space="preserve">ASP rendszer működtetéséhez szükséges eszközbeszerzés - 5 db USB igazolvány olvasó, router </t>
  </si>
  <si>
    <t>132/2019.(IX.26.) Kt. hat. Játszótéri játékok  (Rugós játék - kisautó - központi játszótér)</t>
  </si>
  <si>
    <t>Önkorm. igazg. feladatok egyéb eszközbeszerzései (2 db elektronikus aláíráshoz kapcsolódó tanúsítvány, kávéfőző, MOM-744 gumiabroncs, diktafon, GIROLock felhasználói tanúsítvány +  tanúsítványhordozó, GIROLock-kártyaolvasó)</t>
  </si>
  <si>
    <t>Óvodai nevelés beruházási kiadásai - 2 db beépített tárolószekrény, 2 db Karcher szárazporszívó, 1 db igazolványolvasó, 2 db álló ventillátor, 3 db fém karnis szett, függönyrúd, szőnyeg, hosszabbító, router, vízforraló, Toshiba kamerarögzítő, 2 db WIFI TP-LINK, 1 db TP-LINK, 1 db HSW D-LINK, MS Office, Canon nyomtató, tároló polc, fali szárító, mikrohullámú sütő, evőeszközök, tányérok, tálak</t>
  </si>
  <si>
    <t xml:space="preserve"> Család- és Gyermekjóléti Központ beruházási kiadásai - külső merevlemez, kávéfőző, Kyocera fénymásológéphez papírkazetta, 2 db ventillátor és 2 db akkumulátor , tárolószekrény, fűnyíró, fúrógép</t>
  </si>
  <si>
    <t>2 db öltözőben a PVC burkolat járólapra történő cseréje</t>
  </si>
  <si>
    <t>Szélessávú internet hálózat értékesítése kapcsán JKT-tól átvett pénzeszköz fel nem használt része (tartalékba helyezett összeg)</t>
  </si>
  <si>
    <t xml:space="preserve">Fejlesztési célú tartalék - Szélessávú internet hálózat értékesítése kapcsán JKT-tól átvett pénzeszköz fel nem használt része </t>
  </si>
  <si>
    <t>Tűzoltóság önkormányzati támogatásának csökkenéséből megtakarítás</t>
  </si>
  <si>
    <t>Téli rezsicsökkentési támogatás (2018. évi maradvány)</t>
  </si>
  <si>
    <t>1. melléklet az 1/2020.(II.14.) önkormányzati rendelethez</t>
  </si>
  <si>
    <t>2. melléklet az 1/2020.(II.14.) önkormányzati rendelethez</t>
  </si>
  <si>
    <t>3. melléklet az 1/2020.(II.14.) önkormányzati rendelethez</t>
  </si>
  <si>
    <t>4. melléklet az 1/2020.(II.14.) önkormányzati rendelethez</t>
  </si>
  <si>
    <t>5. melléklet az 1/2020.(II.14.) önkormányzati rendelethez</t>
  </si>
  <si>
    <t>6. melléklet az 1/2020.(II.14.) önkormányzati rendelethez</t>
  </si>
  <si>
    <t>7. melléklet az 1/2020.(II.14.) önkormányzati rendelethez</t>
  </si>
  <si>
    <t>8. melléklet az 1/2020.(II.14.) önkormányzati rendelethez</t>
  </si>
  <si>
    <t>9. melléklet az 1/2020.(II.14.) önkormányzati rendelethez</t>
  </si>
  <si>
    <t>10. melléklet az 1/2020. (II.14.) önkormányzati rendelethez</t>
  </si>
  <si>
    <t>11. melléklet az 1/2020. (II.14.)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</si>
</sst>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n"/>
      <right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2" applyNumberFormat="1" applyFont="1" applyBorder="1" applyAlignment="1">
      <alignment horizontal="right"/>
    </xf>
    <xf numFmtId="3" fontId="19" fillId="0" borderId="22" xfId="42" applyNumberFormat="1" applyFont="1" applyBorder="1" applyAlignment="1">
      <alignment horizontal="right"/>
    </xf>
    <xf numFmtId="3" fontId="23" fillId="0" borderId="22" xfId="42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2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3" fontId="37" fillId="0" borderId="22" xfId="42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5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4" borderId="21" xfId="0" applyNumberFormat="1" applyFont="1" applyFill="1" applyBorder="1" applyAlignment="1">
      <alignment vertical="center" wrapText="1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22" fillId="0" borderId="0" xfId="0" applyFont="1" applyFill="1" applyAlignment="1">
      <alignment vertical="center"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6" fontId="17" fillId="0" borderId="2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7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8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50" xfId="59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3" fillId="0" borderId="52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6" xfId="59" applyNumberFormat="1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57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58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2" xfId="59" applyNumberFormat="1" applyFont="1" applyBorder="1" applyAlignment="1">
      <alignment horizontal="right" vertical="center"/>
      <protection/>
    </xf>
    <xf numFmtId="3" fontId="23" fillId="0" borderId="59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5" xfId="59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20" fillId="0" borderId="54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5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2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60" fillId="0" borderId="55" xfId="59" applyFont="1" applyBorder="1">
      <alignment/>
      <protection/>
    </xf>
    <xf numFmtId="3" fontId="23" fillId="0" borderId="60" xfId="59" applyNumberFormat="1" applyFont="1" applyBorder="1">
      <alignment/>
      <protection/>
    </xf>
    <xf numFmtId="3" fontId="60" fillId="0" borderId="52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4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5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2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3" fontId="23" fillId="0" borderId="61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62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63" xfId="59" applyFont="1" applyBorder="1">
      <alignment/>
      <protection/>
    </xf>
    <xf numFmtId="0" fontId="23" fillId="0" borderId="49" xfId="59" applyFont="1" applyBorder="1" applyAlignment="1">
      <alignment horizontal="left"/>
      <protection/>
    </xf>
    <xf numFmtId="0" fontId="61" fillId="0" borderId="64" xfId="59" applyFont="1" applyBorder="1" applyAlignment="1">
      <alignment horizontal="left"/>
      <protection/>
    </xf>
    <xf numFmtId="0" fontId="61" fillId="0" borderId="49" xfId="59" applyFont="1" applyBorder="1" applyAlignment="1">
      <alignment horizontal="left"/>
      <protection/>
    </xf>
    <xf numFmtId="3" fontId="61" fillId="0" borderId="49" xfId="59" applyNumberFormat="1" applyFont="1" applyFill="1" applyBorder="1">
      <alignment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60" fillId="0" borderId="65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3" fontId="23" fillId="0" borderId="67" xfId="59" applyNumberFormat="1" applyFont="1" applyBorder="1">
      <alignment/>
      <protection/>
    </xf>
    <xf numFmtId="3" fontId="23" fillId="0" borderId="65" xfId="59" applyNumberFormat="1" applyFont="1" applyBorder="1">
      <alignment/>
      <protection/>
    </xf>
    <xf numFmtId="3" fontId="23" fillId="0" borderId="66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0" fillId="0" borderId="68" xfId="59" applyNumberFormat="1" applyFont="1" applyBorder="1" applyAlignment="1">
      <alignment horizontal="right" vertical="center"/>
      <protection/>
    </xf>
    <xf numFmtId="0" fontId="19" fillId="0" borderId="69" xfId="59" applyFont="1" applyBorder="1">
      <alignment/>
      <protection/>
    </xf>
    <xf numFmtId="0" fontId="19" fillId="0" borderId="54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60" xfId="59" applyNumberFormat="1" applyFont="1" applyBorder="1" applyAlignment="1">
      <alignment/>
      <protection/>
    </xf>
    <xf numFmtId="0" fontId="19" fillId="0" borderId="70" xfId="59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71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2" xfId="59" applyFont="1" applyBorder="1" applyAlignment="1">
      <alignment horizontal="left"/>
      <protection/>
    </xf>
    <xf numFmtId="3" fontId="60" fillId="0" borderId="72" xfId="59" applyNumberFormat="1" applyFont="1" applyBorder="1" applyAlignment="1">
      <alignment horizontal="right"/>
      <protection/>
    </xf>
    <xf numFmtId="3" fontId="60" fillId="0" borderId="52" xfId="59" applyNumberFormat="1" applyFont="1" applyBorder="1" applyAlignment="1">
      <alignment horizontal="right"/>
      <protection/>
    </xf>
    <xf numFmtId="0" fontId="19" fillId="0" borderId="73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74" xfId="59" applyFont="1" applyBorder="1" applyAlignment="1">
      <alignment horizontal="right" vertical="center"/>
      <protection/>
    </xf>
    <xf numFmtId="0" fontId="23" fillId="0" borderId="59" xfId="59" applyFont="1" applyBorder="1">
      <alignment/>
      <protection/>
    </xf>
    <xf numFmtId="0" fontId="19" fillId="0" borderId="52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0" fontId="19" fillId="0" borderId="75" xfId="59" applyFont="1" applyBorder="1">
      <alignment/>
      <protection/>
    </xf>
    <xf numFmtId="0" fontId="19" fillId="0" borderId="76" xfId="59" applyFont="1" applyBorder="1" applyAlignment="1">
      <alignment horizontal="right"/>
      <protection/>
    </xf>
    <xf numFmtId="0" fontId="19" fillId="0" borderId="77" xfId="59" applyFont="1" applyBorder="1" applyAlignment="1">
      <alignment horizontal="right"/>
      <protection/>
    </xf>
    <xf numFmtId="0" fontId="19" fillId="0" borderId="76" xfId="59" applyFont="1" applyBorder="1">
      <alignment/>
      <protection/>
    </xf>
    <xf numFmtId="0" fontId="19" fillId="0" borderId="68" xfId="59" applyFont="1" applyBorder="1">
      <alignment/>
      <protection/>
    </xf>
    <xf numFmtId="0" fontId="19" fillId="0" borderId="76" xfId="59" applyFont="1" applyBorder="1" applyAlignment="1">
      <alignment/>
      <protection/>
    </xf>
    <xf numFmtId="0" fontId="16" fillId="0" borderId="78" xfId="59" applyFont="1" applyBorder="1" applyAlignment="1">
      <alignment horizontal="right"/>
      <protection/>
    </xf>
    <xf numFmtId="0" fontId="19" fillId="0" borderId="79" xfId="59" applyFont="1" applyBorder="1">
      <alignment/>
      <protection/>
    </xf>
    <xf numFmtId="3" fontId="16" fillId="0" borderId="80" xfId="59" applyNumberFormat="1" applyFont="1" applyBorder="1" applyAlignment="1">
      <alignment horizontal="right"/>
      <protection/>
    </xf>
    <xf numFmtId="0" fontId="16" fillId="0" borderId="76" xfId="59" applyFont="1" applyBorder="1" applyAlignment="1">
      <alignment horizontal="right"/>
      <protection/>
    </xf>
    <xf numFmtId="0" fontId="16" fillId="0" borderId="77" xfId="59" applyFont="1" applyBorder="1" applyAlignment="1">
      <alignment horizontal="right"/>
      <protection/>
    </xf>
    <xf numFmtId="0" fontId="19" fillId="0" borderId="81" xfId="59" applyFont="1" applyBorder="1">
      <alignment/>
      <protection/>
    </xf>
    <xf numFmtId="0" fontId="19" fillId="0" borderId="77" xfId="59" applyFont="1" applyBorder="1">
      <alignment/>
      <protection/>
    </xf>
    <xf numFmtId="0" fontId="60" fillId="0" borderId="82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59" xfId="59" applyFont="1" applyBorder="1">
      <alignment/>
      <protection/>
    </xf>
    <xf numFmtId="0" fontId="23" fillId="0" borderId="60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60" xfId="59" applyFont="1" applyBorder="1">
      <alignment/>
      <protection/>
    </xf>
    <xf numFmtId="0" fontId="24" fillId="0" borderId="57" xfId="59" applyFont="1" applyBorder="1" applyAlignment="1">
      <alignment horizontal="right"/>
      <protection/>
    </xf>
    <xf numFmtId="0" fontId="19" fillId="0" borderId="56" xfId="0" applyFont="1" applyBorder="1" applyAlignment="1">
      <alignment horizontal="right"/>
    </xf>
    <xf numFmtId="3" fontId="20" fillId="0" borderId="74" xfId="59" applyNumberFormat="1" applyFont="1" applyBorder="1" applyAlignment="1">
      <alignment horizontal="right"/>
      <protection/>
    </xf>
    <xf numFmtId="3" fontId="20" fillId="0" borderId="56" xfId="59" applyNumberFormat="1" applyFont="1" applyBorder="1">
      <alignment/>
      <protection/>
    </xf>
    <xf numFmtId="3" fontId="20" fillId="0" borderId="58" xfId="59" applyNumberFormat="1" applyFont="1" applyBorder="1">
      <alignment/>
      <protection/>
    </xf>
    <xf numFmtId="3" fontId="23" fillId="0" borderId="61" xfId="59" applyNumberFormat="1" applyFont="1" applyBorder="1" applyAlignment="1">
      <alignment/>
      <protection/>
    </xf>
    <xf numFmtId="0" fontId="19" fillId="0" borderId="83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61" xfId="59" applyFont="1" applyBorder="1">
      <alignment/>
      <protection/>
    </xf>
    <xf numFmtId="3" fontId="61" fillId="0" borderId="0" xfId="59" applyNumberFormat="1" applyFont="1" applyBorder="1" applyAlignment="1">
      <alignment/>
      <protection/>
    </xf>
    <xf numFmtId="3" fontId="46" fillId="0" borderId="84" xfId="59" applyNumberFormat="1" applyFont="1" applyBorder="1" applyAlignment="1">
      <alignment horizontal="center"/>
      <protection/>
    </xf>
    <xf numFmtId="0" fontId="19" fillId="0" borderId="85" xfId="59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9" fillId="0" borderId="73" xfId="59" applyFont="1" applyBorder="1">
      <alignment/>
      <protection/>
    </xf>
    <xf numFmtId="3" fontId="46" fillId="0" borderId="84" xfId="59" applyNumberFormat="1" applyFont="1" applyBorder="1">
      <alignment/>
      <protection/>
    </xf>
    <xf numFmtId="3" fontId="46" fillId="0" borderId="87" xfId="59" applyNumberFormat="1" applyFont="1" applyBorder="1">
      <alignment/>
      <protection/>
    </xf>
    <xf numFmtId="0" fontId="23" fillId="0" borderId="4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88" xfId="59" applyFont="1" applyBorder="1" applyAlignment="1">
      <alignment horizontal="center"/>
      <protection/>
    </xf>
    <xf numFmtId="0" fontId="20" fillId="0" borderId="89" xfId="59" applyFont="1" applyBorder="1" applyAlignment="1">
      <alignment horizontal="center" vertical="center"/>
      <protection/>
    </xf>
    <xf numFmtId="0" fontId="20" fillId="0" borderId="88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69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23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60" fillId="36" borderId="90" xfId="59" applyNumberFormat="1" applyFont="1" applyFill="1" applyBorder="1" applyAlignment="1">
      <alignment horizontal="right" vertical="center"/>
      <protection/>
    </xf>
    <xf numFmtId="0" fontId="19" fillId="0" borderId="53" xfId="0" applyFont="1" applyBorder="1" applyAlignment="1">
      <alignment horizontal="right"/>
    </xf>
    <xf numFmtId="0" fontId="19" fillId="36" borderId="91" xfId="59" applyFont="1" applyFill="1" applyBorder="1" applyAlignment="1">
      <alignment vertical="center"/>
      <protection/>
    </xf>
    <xf numFmtId="3" fontId="16" fillId="36" borderId="92" xfId="59" applyNumberFormat="1" applyFont="1" applyFill="1" applyBorder="1" applyAlignment="1">
      <alignment vertical="center"/>
      <protection/>
    </xf>
    <xf numFmtId="0" fontId="19" fillId="36" borderId="93" xfId="59" applyFont="1" applyFill="1" applyBorder="1" applyAlignment="1">
      <alignment vertical="center"/>
      <protection/>
    </xf>
    <xf numFmtId="3" fontId="60" fillId="36" borderId="94" xfId="59" applyNumberFormat="1" applyFont="1" applyFill="1" applyBorder="1" applyAlignment="1">
      <alignment vertical="center"/>
      <protection/>
    </xf>
    <xf numFmtId="3" fontId="60" fillId="36" borderId="84" xfId="59" applyNumberFormat="1" applyFont="1" applyFill="1" applyBorder="1" applyAlignment="1">
      <alignment vertical="center"/>
      <protection/>
    </xf>
    <xf numFmtId="3" fontId="60" fillId="36" borderId="82" xfId="59" applyNumberFormat="1" applyFont="1" applyFill="1" applyBorder="1" applyAlignment="1">
      <alignment vertical="center"/>
      <protection/>
    </xf>
    <xf numFmtId="3" fontId="60" fillId="36" borderId="95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9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/>
      <protection/>
    </xf>
    <xf numFmtId="3" fontId="23" fillId="0" borderId="60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horizontal="right"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1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6" xfId="60" applyFont="1" applyFill="1" applyBorder="1" applyAlignment="1">
      <alignment vertical="center" wrapText="1"/>
      <protection/>
    </xf>
    <xf numFmtId="0" fontId="19" fillId="0" borderId="65" xfId="59" applyFont="1" applyBorder="1" applyAlignment="1">
      <alignment horizontal="right"/>
      <protection/>
    </xf>
    <xf numFmtId="3" fontId="23" fillId="0" borderId="96" xfId="0" applyNumberFormat="1" applyFont="1" applyBorder="1" applyAlignment="1">
      <alignment/>
    </xf>
    <xf numFmtId="3" fontId="24" fillId="0" borderId="97" xfId="60" applyNumberFormat="1" applyFont="1" applyFill="1" applyBorder="1" applyAlignment="1">
      <alignment horizontal="right" vertical="center"/>
      <protection/>
    </xf>
    <xf numFmtId="3" fontId="24" fillId="0" borderId="88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5" xfId="0" applyNumberFormat="1" applyFont="1" applyFill="1" applyBorder="1" applyAlignment="1">
      <alignment horizontal="center" vertical="center"/>
    </xf>
    <xf numFmtId="3" fontId="43" fillId="0" borderId="4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71" fontId="14" fillId="0" borderId="21" xfId="61" applyNumberFormat="1" applyBorder="1" applyAlignment="1">
      <alignment vertical="center"/>
      <protection/>
    </xf>
    <xf numFmtId="171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71" fontId="22" fillId="0" borderId="21" xfId="61" applyNumberFormat="1" applyFont="1" applyBorder="1" applyAlignment="1">
      <alignment vertical="center"/>
      <protection/>
    </xf>
    <xf numFmtId="171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2" fillId="0" borderId="22" xfId="0" applyFont="1" applyBorder="1" applyAlignment="1">
      <alignment horizontal="left"/>
    </xf>
    <xf numFmtId="49" fontId="66" fillId="34" borderId="21" xfId="0" applyNumberFormat="1" applyFont="1" applyFill="1" applyBorder="1" applyAlignment="1">
      <alignment vertical="center" wrapText="1"/>
    </xf>
    <xf numFmtId="0" fontId="66" fillId="34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3" fontId="49" fillId="0" borderId="99" xfId="0" applyNumberFormat="1" applyFont="1" applyBorder="1" applyAlignment="1">
      <alignment/>
    </xf>
    <xf numFmtId="3" fontId="21" fillId="0" borderId="99" xfId="0" applyNumberFormat="1" applyFont="1" applyBorder="1" applyAlignment="1">
      <alignment/>
    </xf>
    <xf numFmtId="3" fontId="47" fillId="0" borderId="99" xfId="0" applyNumberFormat="1" applyFont="1" applyBorder="1" applyAlignment="1">
      <alignment/>
    </xf>
    <xf numFmtId="3" fontId="52" fillId="0" borderId="99" xfId="0" applyNumberFormat="1" applyFont="1" applyBorder="1" applyAlignment="1">
      <alignment/>
    </xf>
    <xf numFmtId="3" fontId="54" fillId="0" borderId="99" xfId="0" applyNumberFormat="1" applyFont="1" applyBorder="1" applyAlignment="1">
      <alignment/>
    </xf>
    <xf numFmtId="3" fontId="56" fillId="0" borderId="99" xfId="0" applyNumberFormat="1" applyFont="1" applyBorder="1" applyAlignment="1">
      <alignment/>
    </xf>
    <xf numFmtId="3" fontId="20" fillId="0" borderId="99" xfId="0" applyNumberFormat="1" applyFont="1" applyBorder="1" applyAlignment="1">
      <alignment/>
    </xf>
    <xf numFmtId="3" fontId="16" fillId="0" borderId="99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0" xfId="59" applyFont="1" applyBorder="1" applyAlignment="1">
      <alignment horizontal="left" wrapText="1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19" fillId="0" borderId="54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20" fillId="0" borderId="99" xfId="58" applyNumberFormat="1" applyFont="1" applyBorder="1">
      <alignment/>
      <protection/>
    </xf>
    <xf numFmtId="3" fontId="47" fillId="0" borderId="99" xfId="58" applyNumberFormat="1" applyFont="1" applyBorder="1">
      <alignment/>
      <protection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vertical="center"/>
    </xf>
    <xf numFmtId="3" fontId="18" fillId="0" borderId="10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3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2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22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5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60" fillId="0" borderId="101" xfId="60" applyNumberFormat="1" applyFont="1" applyFill="1" applyBorder="1" applyAlignment="1">
      <alignment vertical="center"/>
      <protection/>
    </xf>
    <xf numFmtId="3" fontId="60" fillId="0" borderId="100" xfId="60" applyNumberFormat="1" applyFont="1" applyFill="1" applyBorder="1" applyAlignment="1">
      <alignment vertical="center"/>
      <protection/>
    </xf>
    <xf numFmtId="3" fontId="60" fillId="0" borderId="102" xfId="60" applyNumberFormat="1" applyFont="1" applyFill="1" applyBorder="1" applyAlignment="1">
      <alignment vertical="center"/>
      <protection/>
    </xf>
    <xf numFmtId="3" fontId="109" fillId="0" borderId="45" xfId="60" applyNumberFormat="1" applyFont="1" applyFill="1" applyBorder="1" applyAlignment="1">
      <alignment vertical="center"/>
      <protection/>
    </xf>
    <xf numFmtId="3" fontId="109" fillId="0" borderId="44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03" xfId="60" applyNumberFormat="1" applyFont="1" applyFill="1" applyBorder="1" applyAlignment="1">
      <alignment vertical="center"/>
      <protection/>
    </xf>
    <xf numFmtId="3" fontId="24" fillId="0" borderId="100" xfId="60" applyNumberFormat="1" applyFont="1" applyFill="1" applyBorder="1" applyAlignment="1">
      <alignment vertical="center"/>
      <protection/>
    </xf>
    <xf numFmtId="3" fontId="24" fillId="0" borderId="101" xfId="60" applyNumberFormat="1" applyFont="1" applyFill="1" applyBorder="1" applyAlignment="1">
      <alignment vertical="center"/>
      <protection/>
    </xf>
    <xf numFmtId="3" fontId="23" fillId="0" borderId="48" xfId="59" applyNumberFormat="1" applyFont="1" applyBorder="1" applyAlignment="1">
      <alignment vertical="center"/>
      <protection/>
    </xf>
    <xf numFmtId="3" fontId="46" fillId="0" borderId="82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0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60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10" xfId="0" applyBorder="1" applyAlignment="1">
      <alignment/>
    </xf>
    <xf numFmtId="3" fontId="22" fillId="4" borderId="110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7" borderId="36" xfId="0" applyNumberFormat="1" applyFill="1" applyBorder="1" applyAlignment="1">
      <alignment/>
    </xf>
    <xf numFmtId="3" fontId="0" fillId="4" borderId="111" xfId="0" applyNumberFormat="1" applyFill="1" applyBorder="1" applyAlignment="1">
      <alignment/>
    </xf>
    <xf numFmtId="0" fontId="0" fillId="0" borderId="112" xfId="0" applyBorder="1" applyAlignment="1">
      <alignment/>
    </xf>
    <xf numFmtId="3" fontId="22" fillId="4" borderId="113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4" borderId="46" xfId="0" applyNumberFormat="1" applyFont="1" applyFill="1" applyBorder="1" applyAlignment="1">
      <alignment/>
    </xf>
    <xf numFmtId="3" fontId="22" fillId="38" borderId="88" xfId="0" applyNumberFormat="1" applyFont="1" applyFill="1" applyBorder="1" applyAlignment="1">
      <alignment/>
    </xf>
    <xf numFmtId="3" fontId="22" fillId="37" borderId="88" xfId="0" applyNumberFormat="1" applyFont="1" applyFill="1" applyBorder="1" applyAlignment="1">
      <alignment/>
    </xf>
    <xf numFmtId="3" fontId="22" fillId="37" borderId="114" xfId="0" applyNumberFormat="1" applyFont="1" applyFill="1" applyBorder="1" applyAlignment="1">
      <alignment/>
    </xf>
    <xf numFmtId="3" fontId="22" fillId="37" borderId="101" xfId="0" applyNumberFormat="1" applyFont="1" applyFill="1" applyBorder="1" applyAlignment="1">
      <alignment/>
    </xf>
    <xf numFmtId="3" fontId="22" fillId="4" borderId="41" xfId="0" applyNumberFormat="1" applyFont="1" applyFill="1" applyBorder="1" applyAlignment="1">
      <alignment/>
    </xf>
    <xf numFmtId="0" fontId="19" fillId="0" borderId="103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15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9" fillId="0" borderId="108" xfId="0" applyFont="1" applyBorder="1" applyAlignment="1">
      <alignment horizontal="center" vertical="center"/>
    </xf>
    <xf numFmtId="0" fontId="22" fillId="0" borderId="91" xfId="0" applyFont="1" applyBorder="1" applyAlignment="1">
      <alignment/>
    </xf>
    <xf numFmtId="3" fontId="22" fillId="4" borderId="91" xfId="0" applyNumberFormat="1" applyFont="1" applyFill="1" applyBorder="1" applyAlignment="1">
      <alignment/>
    </xf>
    <xf numFmtId="3" fontId="22" fillId="38" borderId="116" xfId="0" applyNumberFormat="1" applyFont="1" applyFill="1" applyBorder="1" applyAlignment="1">
      <alignment horizontal="right"/>
    </xf>
    <xf numFmtId="3" fontId="22" fillId="4" borderId="92" xfId="0" applyNumberFormat="1" applyFont="1" applyFill="1" applyBorder="1" applyAlignment="1">
      <alignment/>
    </xf>
    <xf numFmtId="0" fontId="19" fillId="0" borderId="104" xfId="0" applyFont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3" fontId="14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9" fillId="0" borderId="108" xfId="0" applyFont="1" applyBorder="1" applyAlignment="1">
      <alignment horizontal="center"/>
    </xf>
    <xf numFmtId="0" fontId="22" fillId="0" borderId="92" xfId="0" applyFont="1" applyBorder="1" applyAlignment="1">
      <alignment/>
    </xf>
    <xf numFmtId="3" fontId="22" fillId="38" borderId="117" xfId="0" applyNumberFormat="1" applyFont="1" applyFill="1" applyBorder="1" applyAlignment="1">
      <alignment/>
    </xf>
    <xf numFmtId="0" fontId="19" fillId="0" borderId="104" xfId="0" applyFont="1" applyBorder="1" applyAlignment="1">
      <alignment horizontal="center"/>
    </xf>
    <xf numFmtId="3" fontId="0" fillId="0" borderId="115" xfId="0" applyNumberFormat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0" borderId="118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19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7" borderId="88" xfId="0" applyNumberFormat="1" applyFill="1" applyBorder="1" applyAlignment="1">
      <alignment/>
    </xf>
    <xf numFmtId="3" fontId="0" fillId="37" borderId="101" xfId="0" applyNumberFormat="1" applyFill="1" applyBorder="1" applyAlignment="1">
      <alignment/>
    </xf>
    <xf numFmtId="3" fontId="0" fillId="37" borderId="117" xfId="0" applyNumberFormat="1" applyFill="1" applyBorder="1" applyAlignment="1">
      <alignment/>
    </xf>
    <xf numFmtId="3" fontId="0" fillId="37" borderId="120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11" xfId="0" applyBorder="1" applyAlignment="1">
      <alignment/>
    </xf>
    <xf numFmtId="3" fontId="23" fillId="0" borderId="61" xfId="59" applyNumberFormat="1" applyFont="1" applyBorder="1" applyAlignment="1">
      <alignment vertical="center"/>
      <protection/>
    </xf>
    <xf numFmtId="3" fontId="23" fillId="0" borderId="96" xfId="59" applyNumberFormat="1" applyFont="1" applyBorder="1" applyAlignment="1">
      <alignment vertical="center"/>
      <protection/>
    </xf>
    <xf numFmtId="3" fontId="23" fillId="0" borderId="121" xfId="59" applyNumberFormat="1" applyFont="1" applyBorder="1" applyAlignment="1">
      <alignment vertical="center"/>
      <protection/>
    </xf>
    <xf numFmtId="3" fontId="23" fillId="0" borderId="0" xfId="59" applyNumberFormat="1" applyFont="1" applyFill="1" applyBorder="1" applyAlignment="1">
      <alignment vertical="center"/>
      <protection/>
    </xf>
    <xf numFmtId="3" fontId="20" fillId="36" borderId="117" xfId="59" applyNumberFormat="1" applyFont="1" applyFill="1" applyBorder="1" applyAlignment="1">
      <alignment horizontal="right" vertical="center"/>
      <protection/>
    </xf>
    <xf numFmtId="3" fontId="20" fillId="36" borderId="93" xfId="59" applyNumberFormat="1" applyFont="1" applyFill="1" applyBorder="1" applyAlignment="1">
      <alignment vertical="center"/>
      <protection/>
    </xf>
    <xf numFmtId="3" fontId="20" fillId="36" borderId="90" xfId="59" applyNumberFormat="1" applyFont="1" applyFill="1" applyBorder="1" applyAlignment="1">
      <alignment vertical="center"/>
      <protection/>
    </xf>
    <xf numFmtId="0" fontId="23" fillId="36" borderId="122" xfId="59" applyFont="1" applyFill="1" applyBorder="1" applyAlignment="1">
      <alignment horizontal="left" vertical="center"/>
      <protection/>
    </xf>
    <xf numFmtId="3" fontId="16" fillId="36" borderId="92" xfId="59" applyNumberFormat="1" applyFont="1" applyFill="1" applyBorder="1" applyAlignment="1">
      <alignment horizontal="right" vertical="center"/>
      <protection/>
    </xf>
    <xf numFmtId="3" fontId="16" fillId="36" borderId="123" xfId="59" applyNumberFormat="1" applyFont="1" applyFill="1" applyBorder="1" applyAlignment="1">
      <alignment horizontal="right" vertical="center"/>
      <protection/>
    </xf>
    <xf numFmtId="3" fontId="60" fillId="36" borderId="93" xfId="59" applyNumberFormat="1" applyFont="1" applyFill="1" applyBorder="1" applyAlignment="1">
      <alignment horizontal="right" vertical="center"/>
      <protection/>
    </xf>
    <xf numFmtId="3" fontId="60" fillId="36" borderId="117" xfId="59" applyNumberFormat="1" applyFont="1" applyFill="1" applyBorder="1" applyAlignment="1">
      <alignment horizontal="right" vertical="center"/>
      <protection/>
    </xf>
    <xf numFmtId="3" fontId="60" fillId="36" borderId="124" xfId="59" applyNumberFormat="1" applyFont="1" applyFill="1" applyBorder="1" applyAlignment="1">
      <alignment vertical="center"/>
      <protection/>
    </xf>
    <xf numFmtId="3" fontId="60" fillId="36" borderId="122" xfId="59" applyNumberFormat="1" applyFont="1" applyFill="1" applyBorder="1" applyAlignment="1">
      <alignment vertical="center"/>
      <protection/>
    </xf>
    <xf numFmtId="3" fontId="60" fillId="36" borderId="117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25" xfId="59" applyFont="1" applyBorder="1" applyAlignment="1">
      <alignment horizontal="center" vertical="center"/>
      <protection/>
    </xf>
    <xf numFmtId="3" fontId="16" fillId="0" borderId="85" xfId="59" applyNumberFormat="1" applyFont="1" applyBorder="1">
      <alignment/>
      <protection/>
    </xf>
    <xf numFmtId="3" fontId="46" fillId="0" borderId="94" xfId="59" applyNumberFormat="1" applyFont="1" applyBorder="1">
      <alignment/>
      <protection/>
    </xf>
    <xf numFmtId="3" fontId="60" fillId="0" borderId="72" xfId="59" applyNumberFormat="1" applyFont="1" applyBorder="1" applyAlignment="1">
      <alignment horizontal="right" vertical="center"/>
      <protection/>
    </xf>
    <xf numFmtId="0" fontId="16" fillId="0" borderId="126" xfId="59" applyFont="1" applyBorder="1" applyAlignment="1">
      <alignment horizontal="right" vertical="center"/>
      <protection/>
    </xf>
    <xf numFmtId="3" fontId="60" fillId="0" borderId="127" xfId="59" applyNumberFormat="1" applyFont="1" applyBorder="1" applyAlignment="1">
      <alignment horizontal="right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128" xfId="60" applyFont="1" applyFill="1" applyBorder="1" applyAlignment="1">
      <alignment horizontal="center" vertical="center" wrapText="1"/>
      <protection/>
    </xf>
    <xf numFmtId="0" fontId="20" fillId="0" borderId="46" xfId="59" applyFont="1" applyBorder="1" applyAlignment="1">
      <alignment horizontal="center" vertical="center"/>
      <protection/>
    </xf>
    <xf numFmtId="0" fontId="20" fillId="0" borderId="114" xfId="59" applyFont="1" applyBorder="1" applyAlignment="1">
      <alignment horizontal="center" vertical="center"/>
      <protection/>
    </xf>
    <xf numFmtId="0" fontId="24" fillId="0" borderId="75" xfId="59" applyFont="1" applyBorder="1" applyAlignment="1">
      <alignment horizontal="right" vertical="center"/>
      <protection/>
    </xf>
    <xf numFmtId="3" fontId="20" fillId="0" borderId="77" xfId="59" applyNumberFormat="1" applyFont="1" applyBorder="1" applyAlignment="1">
      <alignment horizontal="right" vertical="center"/>
      <protection/>
    </xf>
    <xf numFmtId="3" fontId="20" fillId="0" borderId="76" xfId="59" applyNumberFormat="1" applyFont="1" applyBorder="1" applyAlignment="1">
      <alignment vertical="center"/>
      <protection/>
    </xf>
    <xf numFmtId="3" fontId="20" fillId="0" borderId="68" xfId="59" applyNumberFormat="1" applyFont="1" applyBorder="1" applyAlignment="1">
      <alignment vertical="center"/>
      <protection/>
    </xf>
    <xf numFmtId="3" fontId="61" fillId="0" borderId="76" xfId="59" applyNumberFormat="1" applyFont="1" applyBorder="1" applyAlignment="1">
      <alignment vertical="center"/>
      <protection/>
    </xf>
    <xf numFmtId="3" fontId="24" fillId="0" borderId="76" xfId="59" applyNumberFormat="1" applyFont="1" applyFill="1" applyBorder="1" applyAlignment="1">
      <alignment vertical="center"/>
      <protection/>
    </xf>
    <xf numFmtId="3" fontId="16" fillId="0" borderId="79" xfId="59" applyNumberFormat="1" applyFont="1" applyBorder="1" applyAlignment="1">
      <alignment vertical="center"/>
      <protection/>
    </xf>
    <xf numFmtId="3" fontId="60" fillId="0" borderId="75" xfId="59" applyNumberFormat="1" applyFont="1" applyBorder="1" applyAlignment="1">
      <alignment vertical="center"/>
      <protection/>
    </xf>
    <xf numFmtId="3" fontId="60" fillId="0" borderId="77" xfId="59" applyNumberFormat="1" applyFont="1" applyBorder="1" applyAlignment="1">
      <alignment vertical="center"/>
      <protection/>
    </xf>
    <xf numFmtId="3" fontId="60" fillId="0" borderId="81" xfId="59" applyNumberFormat="1" applyFont="1" applyBorder="1" applyAlignment="1">
      <alignment vertical="center"/>
      <protection/>
    </xf>
    <xf numFmtId="0" fontId="20" fillId="0" borderId="97" xfId="59" applyFont="1" applyBorder="1" applyAlignment="1">
      <alignment horizontal="center"/>
      <protection/>
    </xf>
    <xf numFmtId="0" fontId="20" fillId="0" borderId="97" xfId="59" applyFont="1" applyBorder="1" applyAlignment="1">
      <alignment horizontal="center" vertical="center"/>
      <protection/>
    </xf>
    <xf numFmtId="3" fontId="14" fillId="0" borderId="21" xfId="61" applyNumberFormat="1" applyFont="1" applyFill="1" applyBorder="1" applyAlignment="1">
      <alignment vertical="center"/>
      <protection/>
    </xf>
    <xf numFmtId="3" fontId="14" fillId="0" borderId="22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4" fillId="35" borderId="23" xfId="61" applyNumberFormat="1" applyFill="1" applyBorder="1" applyAlignment="1">
      <alignment vertical="center"/>
      <protection/>
    </xf>
    <xf numFmtId="49" fontId="17" fillId="0" borderId="118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vertical="center"/>
    </xf>
    <xf numFmtId="3" fontId="18" fillId="0" borderId="129" xfId="0" applyNumberFormat="1" applyFont="1" applyFill="1" applyBorder="1" applyAlignment="1">
      <alignment vertical="center"/>
    </xf>
    <xf numFmtId="3" fontId="18" fillId="0" borderId="102" xfId="0" applyNumberFormat="1" applyFont="1" applyFill="1" applyBorder="1" applyAlignment="1">
      <alignment vertical="center"/>
    </xf>
    <xf numFmtId="0" fontId="23" fillId="0" borderId="0" xfId="59" applyFont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left" vertical="center" wrapText="1"/>
    </xf>
    <xf numFmtId="3" fontId="43" fillId="35" borderId="17" xfId="60" applyNumberFormat="1" applyFont="1" applyFill="1" applyBorder="1" applyAlignment="1">
      <alignment horizontal="right" vertical="center" wrapText="1"/>
      <protection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44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Border="1">
      <alignment/>
      <protection/>
    </xf>
    <xf numFmtId="0" fontId="23" fillId="0" borderId="28" xfId="59" applyFont="1" applyBorder="1" applyAlignment="1">
      <alignment horizontal="left"/>
      <protection/>
    </xf>
    <xf numFmtId="0" fontId="23" fillId="0" borderId="28" xfId="0" applyFont="1" applyFill="1" applyBorder="1" applyAlignment="1">
      <alignment/>
    </xf>
    <xf numFmtId="3" fontId="16" fillId="0" borderId="130" xfId="59" applyNumberFormat="1" applyFont="1" applyBorder="1" applyAlignment="1">
      <alignment horizontal="right" vertical="center"/>
      <protection/>
    </xf>
    <xf numFmtId="0" fontId="23" fillId="0" borderId="113" xfId="59" applyFont="1" applyBorder="1" applyAlignment="1">
      <alignment horizontal="left" vertical="center" wrapText="1"/>
      <protection/>
    </xf>
    <xf numFmtId="0" fontId="23" fillId="0" borderId="28" xfId="59" applyFont="1" applyBorder="1" applyAlignment="1">
      <alignment horizontal="left" vertical="center" wrapText="1"/>
      <protection/>
    </xf>
    <xf numFmtId="3" fontId="23" fillId="0" borderId="13" xfId="59" applyNumberFormat="1" applyFont="1" applyBorder="1" applyAlignment="1">
      <alignment vertical="center"/>
      <protection/>
    </xf>
    <xf numFmtId="3" fontId="16" fillId="0" borderId="131" xfId="59" applyNumberFormat="1" applyFont="1" applyBorder="1" applyAlignment="1">
      <alignment horizontal="right" vertical="center"/>
      <protection/>
    </xf>
    <xf numFmtId="3" fontId="60" fillId="0" borderId="28" xfId="59" applyNumberFormat="1" applyFont="1" applyBorder="1" applyAlignment="1">
      <alignment horizontal="right" vertical="center"/>
      <protection/>
    </xf>
    <xf numFmtId="3" fontId="60" fillId="0" borderId="18" xfId="59" applyNumberFormat="1" applyFont="1" applyBorder="1" applyAlignment="1">
      <alignment horizontal="right" vertical="center"/>
      <protection/>
    </xf>
    <xf numFmtId="3" fontId="60" fillId="0" borderId="132" xfId="59" applyNumberFormat="1" applyFont="1" applyBorder="1" applyAlignment="1">
      <alignment horizontal="right" vertical="center"/>
      <protection/>
    </xf>
    <xf numFmtId="3" fontId="20" fillId="0" borderId="18" xfId="59" applyNumberFormat="1" applyFont="1" applyBorder="1" applyAlignment="1">
      <alignment horizontal="right"/>
      <protection/>
    </xf>
    <xf numFmtId="3" fontId="20" fillId="0" borderId="132" xfId="59" applyNumberFormat="1" applyFont="1" applyBorder="1">
      <alignment/>
      <protection/>
    </xf>
    <xf numFmtId="0" fontId="19" fillId="0" borderId="72" xfId="59" applyFont="1" applyBorder="1">
      <alignment/>
      <protection/>
    </xf>
    <xf numFmtId="0" fontId="19" fillId="39" borderId="86" xfId="0" applyFont="1" applyFill="1" applyBorder="1" applyAlignment="1">
      <alignment horizontal="center"/>
    </xf>
    <xf numFmtId="0" fontId="19" fillId="0" borderId="13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96" xfId="0" applyBorder="1" applyAlignment="1">
      <alignment vertical="center"/>
    </xf>
    <xf numFmtId="3" fontId="0" fillId="4" borderId="104" xfId="0" applyNumberFormat="1" applyFill="1" applyBorder="1" applyAlignment="1">
      <alignment/>
    </xf>
    <xf numFmtId="0" fontId="19" fillId="0" borderId="86" xfId="0" applyFont="1" applyBorder="1" applyAlignment="1">
      <alignment horizontal="center" vertical="center"/>
    </xf>
    <xf numFmtId="3" fontId="0" fillId="37" borderId="36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37" borderId="134" xfId="0" applyNumberFormat="1" applyFill="1" applyBorder="1" applyAlignment="1">
      <alignment horizontal="right" vertical="center"/>
    </xf>
    <xf numFmtId="3" fontId="0" fillId="4" borderId="112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19" xfId="0" applyNumberForma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0" fontId="0" fillId="0" borderId="130" xfId="0" applyBorder="1" applyAlignment="1">
      <alignment horizontal="left"/>
    </xf>
    <xf numFmtId="3" fontId="0" fillId="37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0" xfId="0" applyNumberFormat="1" applyFill="1" applyBorder="1" applyAlignment="1">
      <alignment/>
    </xf>
    <xf numFmtId="3" fontId="0" fillId="4" borderId="136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0" fontId="22" fillId="0" borderId="69" xfId="0" applyFont="1" applyBorder="1" applyAlignment="1">
      <alignment/>
    </xf>
    <xf numFmtId="3" fontId="22" fillId="4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center"/>
    </xf>
    <xf numFmtId="3" fontId="22" fillId="4" borderId="60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2" fillId="0" borderId="79" xfId="0" applyFont="1" applyBorder="1" applyAlignment="1">
      <alignment/>
    </xf>
    <xf numFmtId="3" fontId="22" fillId="35" borderId="76" xfId="0" applyNumberFormat="1" applyFont="1" applyFill="1" applyBorder="1" applyAlignment="1">
      <alignment/>
    </xf>
    <xf numFmtId="3" fontId="0" fillId="35" borderId="76" xfId="0" applyNumberFormat="1" applyFill="1" applyBorder="1" applyAlignment="1">
      <alignment/>
    </xf>
    <xf numFmtId="3" fontId="0" fillId="35" borderId="76" xfId="0" applyNumberFormat="1" applyFill="1" applyBorder="1" applyAlignment="1">
      <alignment horizontal="center"/>
    </xf>
    <xf numFmtId="3" fontId="22" fillId="35" borderId="121" xfId="0" applyNumberFormat="1" applyFont="1" applyFill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19" fillId="39" borderId="86" xfId="0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3" fontId="14" fillId="4" borderId="37" xfId="0" applyNumberFormat="1" applyFont="1" applyFill="1" applyBorder="1" applyAlignment="1">
      <alignment horizontal="right"/>
    </xf>
    <xf numFmtId="3" fontId="0" fillId="37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37" borderId="99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0" xfId="0" applyFont="1" applyAlignment="1">
      <alignment/>
    </xf>
    <xf numFmtId="0" fontId="21" fillId="35" borderId="14" xfId="60" applyFont="1" applyFill="1" applyBorder="1" applyAlignment="1">
      <alignment horizontal="left" vertical="center" wrapText="1"/>
      <protection/>
    </xf>
    <xf numFmtId="3" fontId="0" fillId="4" borderId="118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3" fontId="0" fillId="37" borderId="99" xfId="0" applyNumberFormat="1" applyFill="1" applyBorder="1" applyAlignment="1">
      <alignment/>
    </xf>
    <xf numFmtId="0" fontId="0" fillId="0" borderId="119" xfId="0" applyBorder="1" applyAlignment="1">
      <alignment wrapText="1"/>
    </xf>
    <xf numFmtId="3" fontId="23" fillId="0" borderId="48" xfId="59" applyNumberFormat="1" applyFont="1" applyBorder="1" applyAlignment="1">
      <alignment/>
      <protection/>
    </xf>
    <xf numFmtId="3" fontId="20" fillId="36" borderId="117" xfId="59" applyNumberFormat="1" applyFont="1" applyFill="1" applyBorder="1" applyAlignment="1">
      <alignment vertical="center"/>
      <protection/>
    </xf>
    <xf numFmtId="3" fontId="20" fillId="36" borderId="138" xfId="59" applyNumberFormat="1" applyFont="1" applyFill="1" applyBorder="1" applyAlignment="1">
      <alignment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3" fontId="23" fillId="0" borderId="0" xfId="0" applyNumberFormat="1" applyFont="1" applyBorder="1" applyAlignment="1">
      <alignment/>
    </xf>
    <xf numFmtId="3" fontId="110" fillId="0" borderId="22" xfId="58" applyNumberFormat="1" applyFont="1" applyBorder="1">
      <alignment/>
      <protection/>
    </xf>
    <xf numFmtId="0" fontId="43" fillId="0" borderId="22" xfId="0" applyFont="1" applyBorder="1" applyAlignment="1">
      <alignment vertical="center"/>
    </xf>
    <xf numFmtId="0" fontId="48" fillId="35" borderId="22" xfId="58" applyFont="1" applyFill="1" applyBorder="1">
      <alignment/>
      <protection/>
    </xf>
    <xf numFmtId="0" fontId="48" fillId="35" borderId="22" xfId="58" applyFont="1" applyFill="1" applyBorder="1" applyAlignment="1">
      <alignment horizontal="left"/>
      <protection/>
    </xf>
    <xf numFmtId="0" fontId="48" fillId="35" borderId="14" xfId="58" applyFont="1" applyFill="1" applyBorder="1" applyAlignment="1">
      <alignment horizontal="left"/>
      <protection/>
    </xf>
    <xf numFmtId="0" fontId="48" fillId="35" borderId="17" xfId="58" applyFont="1" applyFill="1" applyBorder="1" applyAlignment="1">
      <alignment horizontal="left" vertical="center" wrapText="1"/>
      <protection/>
    </xf>
    <xf numFmtId="3" fontId="48" fillId="35" borderId="22" xfId="58" applyNumberFormat="1" applyFont="1" applyFill="1" applyBorder="1" applyAlignment="1">
      <alignment vertical="center"/>
      <protection/>
    </xf>
    <xf numFmtId="3" fontId="47" fillId="35" borderId="22" xfId="58" applyNumberFormat="1" applyFont="1" applyFill="1" applyBorder="1" applyAlignment="1">
      <alignment vertical="center"/>
      <protection/>
    </xf>
    <xf numFmtId="3" fontId="47" fillId="35" borderId="99" xfId="58" applyNumberFormat="1" applyFont="1" applyFill="1" applyBorder="1">
      <alignment/>
      <protection/>
    </xf>
    <xf numFmtId="0" fontId="19" fillId="35" borderId="0" xfId="0" applyFont="1" applyFill="1" applyAlignment="1">
      <alignment/>
    </xf>
    <xf numFmtId="49" fontId="42" fillId="35" borderId="2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3" fontId="43" fillId="0" borderId="139" xfId="60" applyNumberFormat="1" applyFont="1" applyFill="1" applyBorder="1" applyAlignment="1">
      <alignment vertical="center" wrapText="1"/>
      <protection/>
    </xf>
    <xf numFmtId="49" fontId="42" fillId="35" borderId="37" xfId="60" applyNumberFormat="1" applyFont="1" applyFill="1" applyBorder="1" applyAlignment="1">
      <alignment horizontal="center" vertical="center"/>
      <protection/>
    </xf>
    <xf numFmtId="3" fontId="60" fillId="0" borderId="132" xfId="59" applyNumberFormat="1" applyFont="1" applyBorder="1">
      <alignment/>
      <protection/>
    </xf>
    <xf numFmtId="3" fontId="60" fillId="0" borderId="140" xfId="59" applyNumberFormat="1" applyFont="1" applyBorder="1">
      <alignment/>
      <protection/>
    </xf>
    <xf numFmtId="3" fontId="60" fillId="0" borderId="18" xfId="59" applyNumberFormat="1" applyFont="1" applyBorder="1">
      <alignment/>
      <protection/>
    </xf>
    <xf numFmtId="3" fontId="0" fillId="4" borderId="35" xfId="0" applyNumberFormat="1" applyFill="1" applyBorder="1" applyAlignment="1">
      <alignment horizontal="right" vertical="center"/>
    </xf>
    <xf numFmtId="3" fontId="0" fillId="4" borderId="21" xfId="0" applyNumberFormat="1" applyFill="1" applyBorder="1" applyAlignment="1">
      <alignment horizontal="right" vertical="center"/>
    </xf>
    <xf numFmtId="3" fontId="0" fillId="4" borderId="29" xfId="0" applyNumberFormat="1" applyFill="1" applyBorder="1" applyAlignment="1">
      <alignment horizontal="right" vertical="center"/>
    </xf>
    <xf numFmtId="0" fontId="70" fillId="0" borderId="22" xfId="0" applyFont="1" applyBorder="1" applyAlignment="1">
      <alignment horizontal="right" vertical="center"/>
    </xf>
    <xf numFmtId="0" fontId="70" fillId="0" borderId="22" xfId="0" applyFont="1" applyBorder="1" applyAlignment="1">
      <alignment horizontal="right" vertical="center" wrapText="1"/>
    </xf>
    <xf numFmtId="166" fontId="70" fillId="0" borderId="22" xfId="0" applyNumberFormat="1" applyFont="1" applyBorder="1" applyAlignment="1">
      <alignment vertical="center"/>
    </xf>
    <xf numFmtId="166" fontId="111" fillId="0" borderId="22" xfId="0" applyNumberFormat="1" applyFont="1" applyBorder="1" applyAlignment="1">
      <alignment vertical="center"/>
    </xf>
    <xf numFmtId="0" fontId="23" fillId="36" borderId="93" xfId="59" applyFont="1" applyFill="1" applyBorder="1" applyAlignment="1">
      <alignment horizontal="left" vertical="center" wrapText="1"/>
      <protection/>
    </xf>
    <xf numFmtId="0" fontId="23" fillId="0" borderId="73" xfId="59" applyFont="1" applyBorder="1" applyAlignment="1">
      <alignment horizontal="left"/>
      <protection/>
    </xf>
    <xf numFmtId="0" fontId="62" fillId="0" borderId="52" xfId="59" applyFont="1" applyBorder="1" applyAlignment="1">
      <alignment/>
      <protection/>
    </xf>
    <xf numFmtId="0" fontId="62" fillId="0" borderId="0" xfId="59" applyFont="1" applyBorder="1" applyAlignment="1">
      <alignment/>
      <protection/>
    </xf>
    <xf numFmtId="0" fontId="62" fillId="0" borderId="60" xfId="59" applyFont="1" applyBorder="1" applyAlignment="1">
      <alignment/>
      <protection/>
    </xf>
    <xf numFmtId="0" fontId="62" fillId="0" borderId="89" xfId="59" applyFont="1" applyBorder="1" applyAlignment="1">
      <alignment/>
      <protection/>
    </xf>
    <xf numFmtId="0" fontId="62" fillId="0" borderId="33" xfId="59" applyFont="1" applyBorder="1" applyAlignment="1">
      <alignment/>
      <protection/>
    </xf>
    <xf numFmtId="0" fontId="62" fillId="0" borderId="48" xfId="59" applyFont="1" applyBorder="1" applyAlignment="1">
      <alignment/>
      <protection/>
    </xf>
    <xf numFmtId="3" fontId="22" fillId="37" borderId="36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11" xfId="0" applyBorder="1" applyAlignment="1">
      <alignment horizontal="left"/>
    </xf>
    <xf numFmtId="3" fontId="0" fillId="4" borderId="69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3" fontId="0" fillId="37" borderId="129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/>
    </xf>
    <xf numFmtId="3" fontId="22" fillId="37" borderId="98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37" borderId="44" xfId="0" applyNumberFormat="1" applyFill="1" applyBorder="1" applyAlignment="1">
      <alignment/>
    </xf>
    <xf numFmtId="3" fontId="0" fillId="37" borderId="43" xfId="0" applyNumberFormat="1" applyFill="1" applyBorder="1" applyAlignment="1">
      <alignment/>
    </xf>
    <xf numFmtId="3" fontId="0" fillId="4" borderId="45" xfId="0" applyNumberForma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16" fillId="0" borderId="0" xfId="60" applyFont="1" applyFill="1" applyAlignment="1">
      <alignment vertical="center" wrapText="1"/>
      <protection/>
    </xf>
    <xf numFmtId="3" fontId="23" fillId="0" borderId="48" xfId="59" applyNumberFormat="1" applyFont="1" applyBorder="1">
      <alignment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Fill="1" applyAlignment="1">
      <alignment vertical="center"/>
    </xf>
    <xf numFmtId="0" fontId="22" fillId="5" borderId="21" xfId="0" applyFont="1" applyFill="1" applyBorder="1" applyAlignment="1">
      <alignment vertical="center" wrapText="1"/>
    </xf>
    <xf numFmtId="0" fontId="19" fillId="0" borderId="141" xfId="0" applyFont="1" applyBorder="1" applyAlignment="1">
      <alignment horizontal="center"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0" fontId="0" fillId="0" borderId="45" xfId="0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119" xfId="0" applyBorder="1" applyAlignment="1">
      <alignment vertical="center" wrapText="1"/>
    </xf>
    <xf numFmtId="3" fontId="0" fillId="4" borderId="118" xfId="0" applyNumberFormat="1" applyFill="1" applyBorder="1" applyAlignment="1">
      <alignment vertical="center"/>
    </xf>
    <xf numFmtId="3" fontId="0" fillId="37" borderId="32" xfId="0" applyNumberFormat="1" applyFill="1" applyBorder="1" applyAlignment="1">
      <alignment vertical="center"/>
    </xf>
    <xf numFmtId="3" fontId="0" fillId="37" borderId="99" xfId="0" applyNumberFormat="1" applyFill="1" applyBorder="1" applyAlignment="1">
      <alignment vertical="center"/>
    </xf>
    <xf numFmtId="3" fontId="0" fillId="4" borderId="31" xfId="0" applyNumberFormat="1" applyFill="1" applyBorder="1" applyAlignment="1">
      <alignment vertical="center"/>
    </xf>
    <xf numFmtId="3" fontId="0" fillId="4" borderId="37" xfId="0" applyNumberFormat="1" applyFill="1" applyBorder="1" applyAlignment="1">
      <alignment vertical="center"/>
    </xf>
    <xf numFmtId="0" fontId="0" fillId="0" borderId="110" xfId="0" applyBorder="1" applyAlignment="1">
      <alignment vertical="center" wrapText="1"/>
    </xf>
    <xf numFmtId="3" fontId="0" fillId="4" borderId="35" xfId="0" applyNumberFormat="1" applyFill="1" applyBorder="1" applyAlignment="1">
      <alignment vertical="center"/>
    </xf>
    <xf numFmtId="3" fontId="22" fillId="37" borderId="142" xfId="0" applyNumberFormat="1" applyFont="1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115" xfId="0" applyNumberFormat="1" applyBorder="1" applyAlignment="1">
      <alignment vertical="center"/>
    </xf>
    <xf numFmtId="3" fontId="0" fillId="37" borderId="36" xfId="0" applyNumberFormat="1" applyFill="1" applyBorder="1" applyAlignment="1">
      <alignment vertical="center"/>
    </xf>
    <xf numFmtId="3" fontId="0" fillId="4" borderId="111" xfId="0" applyNumberFormat="1" applyFill="1" applyBorder="1" applyAlignment="1">
      <alignment vertical="center"/>
    </xf>
    <xf numFmtId="0" fontId="0" fillId="0" borderId="111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3" fontId="22" fillId="37" borderId="14" xfId="0" applyNumberFormat="1" applyFont="1" applyFill="1" applyBorder="1" applyAlignment="1">
      <alignment vertical="center"/>
    </xf>
    <xf numFmtId="3" fontId="0" fillId="37" borderId="143" xfId="0" applyNumberFormat="1" applyFill="1" applyBorder="1" applyAlignment="1">
      <alignment/>
    </xf>
    <xf numFmtId="3" fontId="0" fillId="37" borderId="47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vertical="center"/>
    </xf>
    <xf numFmtId="3" fontId="0" fillId="0" borderId="32" xfId="0" applyNumberFormat="1" applyBorder="1" applyAlignment="1">
      <alignment/>
    </xf>
    <xf numFmtId="0" fontId="0" fillId="0" borderId="37" xfId="0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0" xfId="0" applyBorder="1" applyAlignment="1">
      <alignment/>
    </xf>
    <xf numFmtId="3" fontId="0" fillId="35" borderId="115" xfId="0" applyNumberFormat="1" applyFill="1" applyBorder="1" applyAlignment="1">
      <alignment/>
    </xf>
    <xf numFmtId="3" fontId="0" fillId="35" borderId="144" xfId="0" applyNumberFormat="1" applyFill="1" applyBorder="1" applyAlignment="1">
      <alignment/>
    </xf>
    <xf numFmtId="0" fontId="19" fillId="0" borderId="145" xfId="0" applyFont="1" applyBorder="1" applyAlignment="1">
      <alignment horizontal="center" vertical="center"/>
    </xf>
    <xf numFmtId="0" fontId="23" fillId="0" borderId="52" xfId="59" applyFont="1" applyBorder="1" applyAlignment="1">
      <alignment horizontal="left" wrapText="1"/>
      <protection/>
    </xf>
    <xf numFmtId="0" fontId="6" fillId="0" borderId="17" xfId="0" applyFont="1" applyFill="1" applyBorder="1" applyAlignment="1">
      <alignment vertical="center" wrapText="1"/>
    </xf>
    <xf numFmtId="3" fontId="23" fillId="0" borderId="33" xfId="59" applyNumberFormat="1" applyFont="1" applyBorder="1" applyAlignment="1">
      <alignment vertical="center"/>
      <protection/>
    </xf>
    <xf numFmtId="3" fontId="23" fillId="0" borderId="24" xfId="59" applyNumberFormat="1" applyFont="1" applyBorder="1" applyAlignment="1">
      <alignment vertical="center"/>
      <protection/>
    </xf>
    <xf numFmtId="0" fontId="6" fillId="0" borderId="2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12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 wrapText="1"/>
    </xf>
    <xf numFmtId="166" fontId="6" fillId="0" borderId="12" xfId="0" applyNumberFormat="1" applyFont="1" applyFill="1" applyBorder="1" applyAlignment="1">
      <alignment vertical="center"/>
    </xf>
    <xf numFmtId="0" fontId="21" fillId="0" borderId="22" xfId="57" applyFont="1" applyBorder="1" applyAlignment="1">
      <alignment horizontal="center" vertical="center"/>
      <protection/>
    </xf>
    <xf numFmtId="3" fontId="43" fillId="0" borderId="22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3" fontId="48" fillId="0" borderId="22" xfId="58" applyNumberFormat="1" applyFont="1" applyBorder="1" applyAlignment="1">
      <alignment vertical="center"/>
      <protection/>
    </xf>
    <xf numFmtId="3" fontId="30" fillId="0" borderId="22" xfId="42" applyNumberFormat="1" applyFont="1" applyBorder="1" applyAlignment="1">
      <alignment horizontal="right" vertical="center"/>
    </xf>
    <xf numFmtId="0" fontId="30" fillId="0" borderId="22" xfId="57" applyFont="1" applyBorder="1" applyAlignment="1">
      <alignment vertical="center"/>
      <protection/>
    </xf>
    <xf numFmtId="0" fontId="42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49" fontId="21" fillId="0" borderId="136" xfId="0" applyNumberFormat="1" applyFont="1" applyFill="1" applyBorder="1" applyAlignment="1">
      <alignment horizontal="center" vertical="center"/>
    </xf>
    <xf numFmtId="49" fontId="21" fillId="0" borderId="118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4" fillId="0" borderId="134" xfId="0" applyFont="1" applyFill="1" applyBorder="1" applyAlignment="1">
      <alignment horizontal="center" vertical="center" wrapText="1"/>
    </xf>
    <xf numFmtId="0" fontId="64" fillId="0" borderId="99" xfId="0" applyFont="1" applyFill="1" applyBorder="1" applyAlignment="1">
      <alignment horizontal="center" vertical="center" wrapText="1"/>
    </xf>
    <xf numFmtId="0" fontId="64" fillId="0" borderId="9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1" fillId="0" borderId="142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39" xfId="0" applyFont="1" applyFill="1" applyBorder="1" applyAlignment="1">
      <alignment horizontal="center" vertical="center" wrapText="1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6" fillId="12" borderId="110" xfId="0" applyNumberFormat="1" applyFont="1" applyFill="1" applyBorder="1" applyAlignment="1">
      <alignment horizontal="left" vertical="center"/>
    </xf>
    <xf numFmtId="49" fontId="46" fillId="12" borderId="146" xfId="0" applyNumberFormat="1" applyFont="1" applyFill="1" applyBorder="1" applyAlignment="1">
      <alignment horizontal="left" vertical="center"/>
    </xf>
    <xf numFmtId="49" fontId="46" fillId="12" borderId="144" xfId="0" applyNumberFormat="1" applyFont="1" applyFill="1" applyBorder="1" applyAlignment="1">
      <alignment horizontal="left" vertical="center"/>
    </xf>
    <xf numFmtId="0" fontId="60" fillId="0" borderId="113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97" xfId="60" applyFont="1" applyFill="1" applyBorder="1" applyAlignment="1">
      <alignment horizontal="left" vertical="center"/>
      <protection/>
    </xf>
    <xf numFmtId="0" fontId="24" fillId="0" borderId="102" xfId="60" applyFont="1" applyFill="1" applyBorder="1" applyAlignment="1">
      <alignment horizontal="left" vertical="center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97" xfId="60" applyFont="1" applyFill="1" applyBorder="1" applyAlignment="1">
      <alignment horizontal="left" vertical="center" wrapText="1"/>
      <protection/>
    </xf>
    <xf numFmtId="0" fontId="24" fillId="0" borderId="102" xfId="60" applyFont="1" applyFill="1" applyBorder="1" applyAlignment="1">
      <alignment horizontal="left" vertical="center" wrapText="1"/>
      <protection/>
    </xf>
    <xf numFmtId="0" fontId="21" fillId="0" borderId="74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143" xfId="60" applyFont="1" applyFill="1" applyBorder="1" applyAlignment="1">
      <alignment horizontal="center" vertical="center"/>
      <protection/>
    </xf>
    <xf numFmtId="49" fontId="21" fillId="0" borderId="136" xfId="60" applyNumberFormat="1" applyFont="1" applyFill="1" applyBorder="1" applyAlignment="1">
      <alignment horizontal="center" vertical="center"/>
      <protection/>
    </xf>
    <xf numFmtId="49" fontId="21" fillId="0" borderId="118" xfId="60" applyNumberFormat="1" applyFont="1" applyFill="1" applyBorder="1" applyAlignment="1">
      <alignment horizontal="center" vertical="center"/>
      <protection/>
    </xf>
    <xf numFmtId="49" fontId="21" fillId="0" borderId="147" xfId="60" applyNumberFormat="1" applyFont="1" applyFill="1" applyBorder="1" applyAlignment="1">
      <alignment horizontal="center" vertical="center"/>
      <protection/>
    </xf>
    <xf numFmtId="0" fontId="16" fillId="0" borderId="97" xfId="60" applyFont="1" applyFill="1" applyBorder="1" applyAlignment="1">
      <alignment horizontal="center" vertical="center"/>
      <protection/>
    </xf>
    <xf numFmtId="0" fontId="16" fillId="0" borderId="102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8" xfId="60" applyFont="1" applyFill="1" applyBorder="1" applyAlignment="1">
      <alignment horizontal="center" vertical="center" wrapText="1"/>
      <protection/>
    </xf>
    <xf numFmtId="0" fontId="18" fillId="0" borderId="104" xfId="60" applyFont="1" applyFill="1" applyBorder="1" applyAlignment="1">
      <alignment horizontal="center" vertical="center" wrapText="1"/>
      <protection/>
    </xf>
    <xf numFmtId="0" fontId="18" fillId="0" borderId="145" xfId="60" applyFont="1" applyFill="1" applyBorder="1" applyAlignment="1">
      <alignment horizontal="center" vertical="center" wrapText="1"/>
      <protection/>
    </xf>
    <xf numFmtId="0" fontId="21" fillId="0" borderId="61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3" fontId="60" fillId="0" borderId="74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60" fillId="0" borderId="143" xfId="59" applyNumberFormat="1" applyFont="1" applyBorder="1" applyAlignment="1">
      <alignment horizontal="right" vertical="center"/>
      <protection/>
    </xf>
    <xf numFmtId="3" fontId="60" fillId="0" borderId="58" xfId="59" applyNumberFormat="1" applyFont="1" applyBorder="1" applyAlignment="1">
      <alignment horizontal="right" vertical="center"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149" xfId="59" applyNumberFormat="1" applyFont="1" applyBorder="1" applyAlignment="1">
      <alignment horizontal="right" vertical="center"/>
      <protection/>
    </xf>
    <xf numFmtId="3" fontId="16" fillId="0" borderId="150" xfId="59" applyNumberFormat="1" applyFont="1" applyBorder="1" applyAlignment="1">
      <alignment horizontal="right" vertical="center"/>
      <protection/>
    </xf>
    <xf numFmtId="3" fontId="16" fillId="0" borderId="151" xfId="59" applyNumberFormat="1" applyFont="1" applyBorder="1" applyAlignment="1">
      <alignment horizontal="right" vertical="center"/>
      <protection/>
    </xf>
    <xf numFmtId="3" fontId="16" fillId="0" borderId="152" xfId="59" applyNumberFormat="1" applyFont="1" applyBorder="1" applyAlignment="1">
      <alignment horizontal="right" vertical="center"/>
      <protection/>
    </xf>
    <xf numFmtId="3" fontId="60" fillId="0" borderId="126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127" xfId="59" applyNumberFormat="1" applyFont="1" applyBorder="1" applyAlignment="1">
      <alignment horizontal="right" vertical="center"/>
      <protection/>
    </xf>
    <xf numFmtId="0" fontId="23" fillId="0" borderId="83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23" fillId="0" borderId="153" xfId="59" applyFont="1" applyBorder="1" applyAlignment="1">
      <alignment horizontal="left" vertical="center"/>
      <protection/>
    </xf>
    <xf numFmtId="0" fontId="23" fillId="0" borderId="33" xfId="59" applyFont="1" applyBorder="1" applyAlignment="1">
      <alignment horizontal="left" vertical="center"/>
      <protection/>
    </xf>
    <xf numFmtId="3" fontId="23" fillId="0" borderId="61" xfId="59" applyNumberFormat="1" applyFont="1" applyBorder="1" applyAlignment="1">
      <alignment horizontal="right" vertical="center"/>
      <protection/>
    </xf>
    <xf numFmtId="3" fontId="23" fillId="0" borderId="48" xfId="59" applyNumberFormat="1" applyFont="1" applyBorder="1" applyAlignment="1">
      <alignment horizontal="right" vertical="center"/>
      <protection/>
    </xf>
    <xf numFmtId="3" fontId="60" fillId="0" borderId="68" xfId="59" applyNumberFormat="1" applyFont="1" applyBorder="1" applyAlignment="1">
      <alignment horizontal="right" vertical="center"/>
      <protection/>
    </xf>
    <xf numFmtId="3" fontId="60" fillId="0" borderId="154" xfId="59" applyNumberFormat="1" applyFont="1" applyBorder="1" applyAlignment="1">
      <alignment horizontal="right" vertical="center"/>
      <protection/>
    </xf>
    <xf numFmtId="3" fontId="60" fillId="0" borderId="77" xfId="59" applyNumberFormat="1" applyFont="1" applyBorder="1" applyAlignment="1">
      <alignment horizontal="right" vertical="center"/>
      <protection/>
    </xf>
    <xf numFmtId="3" fontId="20" fillId="0" borderId="74" xfId="59" applyNumberFormat="1" applyFont="1" applyBorder="1" applyAlignment="1">
      <alignment horizontal="right" vertical="center"/>
      <protection/>
    </xf>
    <xf numFmtId="3" fontId="20" fillId="0" borderId="143" xfId="59" applyNumberFormat="1" applyFont="1" applyBorder="1" applyAlignment="1">
      <alignment horizontal="right" vertical="center"/>
      <protection/>
    </xf>
    <xf numFmtId="3" fontId="20" fillId="0" borderId="58" xfId="59" applyNumberFormat="1" applyFont="1" applyBorder="1" applyAlignment="1">
      <alignment horizontal="right" vertical="center"/>
      <protection/>
    </xf>
    <xf numFmtId="3" fontId="20" fillId="0" borderId="149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center" vertical="center" wrapText="1"/>
      <protection/>
    </xf>
    <xf numFmtId="0" fontId="23" fillId="0" borderId="56" xfId="59" applyFont="1" applyBorder="1" applyAlignment="1">
      <alignment horizontal="center" vertical="center" wrapText="1"/>
      <protection/>
    </xf>
    <xf numFmtId="0" fontId="23" fillId="0" borderId="61" xfId="59" applyFont="1" applyBorder="1" applyAlignment="1">
      <alignment horizontal="center" vertical="center" wrapText="1"/>
      <protection/>
    </xf>
    <xf numFmtId="0" fontId="23" fillId="0" borderId="89" xfId="59" applyFont="1" applyBorder="1" applyAlignment="1">
      <alignment horizontal="center" vertical="center" wrapText="1"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48" xfId="59" applyFont="1" applyBorder="1" applyAlignment="1">
      <alignment horizontal="center" vertical="center" wrapText="1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16" fillId="0" borderId="145" xfId="59" applyNumberFormat="1" applyFont="1" applyBorder="1" applyAlignment="1">
      <alignment horizontal="right" vertical="center"/>
      <protection/>
    </xf>
    <xf numFmtId="3" fontId="16" fillId="0" borderId="83" xfId="59" applyNumberFormat="1" applyFont="1" applyBorder="1" applyAlignment="1">
      <alignment horizontal="right" vertical="center"/>
      <protection/>
    </xf>
    <xf numFmtId="3" fontId="16" fillId="0" borderId="153" xfId="59" applyNumberFormat="1" applyFont="1" applyBorder="1" applyAlignment="1">
      <alignment horizontal="right" vertical="center"/>
      <protection/>
    </xf>
    <xf numFmtId="3" fontId="16" fillId="0" borderId="155" xfId="59" applyNumberFormat="1" applyFont="1" applyBorder="1" applyAlignment="1">
      <alignment horizontal="right" vertical="center"/>
      <protection/>
    </xf>
    <xf numFmtId="3" fontId="16" fillId="0" borderId="104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53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23" fillId="0" borderId="69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79" xfId="59" applyFont="1" applyBorder="1" applyAlignment="1">
      <alignment horizontal="left" vertical="center"/>
      <protection/>
    </xf>
    <xf numFmtId="0" fontId="23" fillId="0" borderId="76" xfId="59" applyFont="1" applyBorder="1" applyAlignment="1">
      <alignment horizontal="left" vertical="center"/>
      <protection/>
    </xf>
    <xf numFmtId="3" fontId="16" fillId="0" borderId="78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3" fontId="23" fillId="0" borderId="60" xfId="59" applyNumberFormat="1" applyFont="1" applyBorder="1" applyAlignment="1">
      <alignment horizontal="right" vertical="center"/>
      <protection/>
    </xf>
    <xf numFmtId="0" fontId="23" fillId="0" borderId="83" xfId="59" applyFont="1" applyBorder="1" applyAlignment="1">
      <alignment horizontal="left" wrapText="1"/>
      <protection/>
    </xf>
    <xf numFmtId="0" fontId="23" fillId="0" borderId="56" xfId="59" applyFont="1" applyBorder="1" applyAlignment="1">
      <alignment horizontal="left" wrapText="1"/>
      <protection/>
    </xf>
    <xf numFmtId="0" fontId="60" fillId="36" borderId="93" xfId="59" applyFont="1" applyFill="1" applyBorder="1" applyAlignment="1">
      <alignment vertical="center"/>
      <protection/>
    </xf>
    <xf numFmtId="0" fontId="60" fillId="36" borderId="156" xfId="59" applyFont="1" applyFill="1" applyBorder="1" applyAlignment="1">
      <alignment vertical="center"/>
      <protection/>
    </xf>
    <xf numFmtId="0" fontId="23" fillId="0" borderId="119" xfId="59" applyFont="1" applyBorder="1" applyAlignment="1">
      <alignment horizontal="center" vertical="center" wrapText="1"/>
      <protection/>
    </xf>
    <xf numFmtId="0" fontId="23" fillId="0" borderId="27" xfId="59" applyFont="1" applyBorder="1" applyAlignment="1">
      <alignment horizontal="center" vertical="center" wrapText="1"/>
      <protection/>
    </xf>
    <xf numFmtId="0" fontId="60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153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48" xfId="0" applyFont="1" applyBorder="1" applyAlignment="1">
      <alignment/>
    </xf>
    <xf numFmtId="0" fontId="23" fillId="0" borderId="57" xfId="59" applyFont="1" applyBorder="1" applyAlignment="1">
      <alignment horizontal="left" wrapText="1"/>
      <protection/>
    </xf>
    <xf numFmtId="3" fontId="16" fillId="0" borderId="69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3" fillId="0" borderId="119" xfId="59" applyFont="1" applyBorder="1" applyAlignment="1">
      <alignment horizontal="left" vertical="center"/>
      <protection/>
    </xf>
    <xf numFmtId="0" fontId="23" fillId="0" borderId="27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/>
      <protection/>
    </xf>
    <xf numFmtId="0" fontId="23" fillId="0" borderId="69" xfId="59" applyFont="1" applyBorder="1" applyAlignment="1">
      <alignment horizontal="left"/>
      <protection/>
    </xf>
    <xf numFmtId="0" fontId="23" fillId="0" borderId="52" xfId="59" applyFont="1" applyBorder="1" applyAlignment="1">
      <alignment horizontal="left" wrapText="1"/>
      <protection/>
    </xf>
    <xf numFmtId="0" fontId="23" fillId="0" borderId="83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57" fillId="0" borderId="69" xfId="59" applyFont="1" applyBorder="1" applyAlignment="1">
      <alignment horizontal="left" vertical="center"/>
      <protection/>
    </xf>
    <xf numFmtId="0" fontId="57" fillId="0" borderId="0" xfId="59" applyFont="1" applyBorder="1" applyAlignment="1">
      <alignment horizontal="left" vertical="center"/>
      <protection/>
    </xf>
    <xf numFmtId="3" fontId="16" fillId="0" borderId="148" xfId="59" applyNumberFormat="1" applyFont="1" applyBorder="1" applyAlignment="1">
      <alignment horizontal="right" vertical="center" wrapText="1"/>
      <protection/>
    </xf>
    <xf numFmtId="3" fontId="16" fillId="0" borderId="104" xfId="59" applyNumberFormat="1" applyFont="1" applyBorder="1" applyAlignment="1">
      <alignment horizontal="right" vertical="center" wrapText="1"/>
      <protection/>
    </xf>
    <xf numFmtId="0" fontId="60" fillId="0" borderId="65" xfId="59" applyFont="1" applyBorder="1" applyAlignment="1">
      <alignment horizontal="center" vertical="center" wrapText="1"/>
      <protection/>
    </xf>
    <xf numFmtId="0" fontId="60" fillId="0" borderId="49" xfId="59" applyFont="1" applyBorder="1" applyAlignment="1">
      <alignment horizontal="center" vertical="center" wrapText="1"/>
      <protection/>
    </xf>
    <xf numFmtId="0" fontId="60" fillId="0" borderId="89" xfId="59" applyFont="1" applyBorder="1" applyAlignment="1">
      <alignment horizontal="center" vertical="center" wrapText="1"/>
      <protection/>
    </xf>
    <xf numFmtId="0" fontId="60" fillId="0" borderId="33" xfId="59" applyFont="1" applyBorder="1" applyAlignment="1">
      <alignment horizontal="center" vertical="center" wrapText="1"/>
      <protection/>
    </xf>
    <xf numFmtId="0" fontId="60" fillId="0" borderId="49" xfId="60" applyFont="1" applyFill="1" applyBorder="1" applyAlignment="1">
      <alignment horizontal="center" vertical="center" wrapText="1"/>
      <protection/>
    </xf>
    <xf numFmtId="0" fontId="60" fillId="0" borderId="96" xfId="60" applyFont="1" applyFill="1" applyBorder="1" applyAlignment="1">
      <alignment horizontal="center" vertical="center" wrapText="1"/>
      <protection/>
    </xf>
    <xf numFmtId="0" fontId="60" fillId="0" borderId="153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16" fillId="0" borderId="71" xfId="60" applyFont="1" applyFill="1" applyBorder="1" applyAlignment="1">
      <alignment horizontal="center" vertical="center" wrapText="1"/>
      <protection/>
    </xf>
    <xf numFmtId="0" fontId="19" fillId="0" borderId="67" xfId="0" applyFont="1" applyBorder="1" applyAlignment="1">
      <alignment/>
    </xf>
    <xf numFmtId="0" fontId="60" fillId="0" borderId="65" xfId="59" applyFont="1" applyBorder="1" applyAlignment="1">
      <alignment horizontal="center" vertical="center"/>
      <protection/>
    </xf>
    <xf numFmtId="0" fontId="19" fillId="0" borderId="49" xfId="59" applyFont="1" applyBorder="1" applyAlignment="1">
      <alignment horizontal="center" vertical="center"/>
      <protection/>
    </xf>
    <xf numFmtId="0" fontId="19" fillId="0" borderId="96" xfId="59" applyFont="1" applyBorder="1" applyAlignment="1">
      <alignment horizontal="center" vertical="center"/>
      <protection/>
    </xf>
    <xf numFmtId="0" fontId="19" fillId="0" borderId="89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65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 horizontal="center" vertical="center" wrapText="1"/>
    </xf>
    <xf numFmtId="0" fontId="16" fillId="0" borderId="157" xfId="60" applyFont="1" applyFill="1" applyBorder="1" applyAlignment="1">
      <alignment horizontal="center" vertical="center" wrapText="1"/>
      <protection/>
    </xf>
    <xf numFmtId="0" fontId="19" fillId="0" borderId="158" xfId="0" applyFont="1" applyBorder="1" applyAlignment="1">
      <alignment horizontal="center" vertical="center" wrapText="1"/>
    </xf>
    <xf numFmtId="0" fontId="19" fillId="0" borderId="159" xfId="0" applyFont="1" applyBorder="1" applyAlignment="1">
      <alignment horizontal="center" vertical="center" wrapText="1"/>
    </xf>
    <xf numFmtId="3" fontId="16" fillId="0" borderId="150" xfId="59" applyNumberFormat="1" applyFont="1" applyBorder="1" applyAlignment="1">
      <alignment horizontal="center" vertical="center"/>
      <protection/>
    </xf>
    <xf numFmtId="3" fontId="16" fillId="0" borderId="151" xfId="59" applyNumberFormat="1" applyFont="1" applyBorder="1" applyAlignment="1">
      <alignment horizontal="center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0" fontId="23" fillId="0" borderId="64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9" fillId="0" borderId="160" xfId="0" applyFont="1" applyBorder="1" applyAlignment="1">
      <alignment/>
    </xf>
    <xf numFmtId="0" fontId="16" fillId="0" borderId="64" xfId="60" applyFont="1" applyFill="1" applyBorder="1" applyAlignment="1">
      <alignment horizontal="center" vertical="center" wrapText="1"/>
      <protection/>
    </xf>
    <xf numFmtId="0" fontId="24" fillId="0" borderId="76" xfId="59" applyFont="1" applyBorder="1" applyAlignment="1">
      <alignment horizontal="right" vertical="center"/>
      <protection/>
    </xf>
    <xf numFmtId="0" fontId="24" fillId="0" borderId="161" xfId="59" applyFont="1" applyBorder="1" applyAlignment="1">
      <alignment horizontal="right" vertical="center"/>
      <protection/>
    </xf>
    <xf numFmtId="0" fontId="16" fillId="36" borderId="122" xfId="59" applyFont="1" applyFill="1" applyBorder="1" applyAlignment="1">
      <alignment horizontal="right" vertical="center" wrapText="1"/>
      <protection/>
    </xf>
    <xf numFmtId="0" fontId="19" fillId="36" borderId="93" xfId="0" applyFont="1" applyFill="1" applyBorder="1" applyAlignment="1">
      <alignment horizontal="right" vertical="center" wrapText="1"/>
    </xf>
    <xf numFmtId="0" fontId="19" fillId="36" borderId="138" xfId="0" applyFont="1" applyFill="1" applyBorder="1" applyAlignment="1">
      <alignment horizontal="right" vertical="center" wrapText="1"/>
    </xf>
    <xf numFmtId="0" fontId="16" fillId="36" borderId="93" xfId="59" applyFont="1" applyFill="1" applyBorder="1" applyAlignment="1">
      <alignment vertical="center"/>
      <protection/>
    </xf>
    <xf numFmtId="0" fontId="16" fillId="36" borderId="93" xfId="0" applyFont="1" applyFill="1" applyBorder="1" applyAlignment="1">
      <alignment vertical="center"/>
    </xf>
    <xf numFmtId="0" fontId="16" fillId="36" borderId="156" xfId="0" applyFont="1" applyFill="1" applyBorder="1" applyAlignment="1">
      <alignment vertical="center"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3" fontId="23" fillId="0" borderId="61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3" fillId="0" borderId="52" xfId="59" applyFont="1" applyBorder="1" applyAlignment="1">
      <alignment horizontal="left"/>
      <protection/>
    </xf>
    <xf numFmtId="0" fontId="24" fillId="0" borderId="140" xfId="59" applyFont="1" applyBorder="1" applyAlignment="1">
      <alignment horizontal="right"/>
      <protection/>
    </xf>
    <xf numFmtId="0" fontId="24" fillId="0" borderId="28" xfId="59" applyFont="1" applyBorder="1" applyAlignment="1">
      <alignment horizontal="right"/>
      <protection/>
    </xf>
    <xf numFmtId="0" fontId="24" fillId="0" borderId="20" xfId="59" applyFont="1" applyBorder="1" applyAlignment="1">
      <alignment horizontal="right"/>
      <protection/>
    </xf>
    <xf numFmtId="0" fontId="16" fillId="0" borderId="76" xfId="59" applyFont="1" applyBorder="1" applyAlignment="1">
      <alignment/>
      <protection/>
    </xf>
    <xf numFmtId="0" fontId="16" fillId="0" borderId="76" xfId="0" applyFont="1" applyBorder="1" applyAlignment="1">
      <alignment/>
    </xf>
    <xf numFmtId="0" fontId="16" fillId="0" borderId="121" xfId="0" applyFont="1" applyBorder="1" applyAlignment="1">
      <alignment/>
    </xf>
    <xf numFmtId="0" fontId="19" fillId="0" borderId="49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89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83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vertical="center" wrapText="1"/>
      <protection/>
    </xf>
    <xf numFmtId="3" fontId="16" fillId="0" borderId="55" xfId="59" applyNumberFormat="1" applyFont="1" applyBorder="1" applyAlignment="1">
      <alignment horizontal="center"/>
      <protection/>
    </xf>
    <xf numFmtId="3" fontId="16" fillId="0" borderId="149" xfId="59" applyNumberFormat="1" applyFont="1" applyBorder="1" applyAlignment="1">
      <alignment horizontal="center"/>
      <protection/>
    </xf>
    <xf numFmtId="0" fontId="46" fillId="0" borderId="162" xfId="59" applyFont="1" applyBorder="1" applyAlignment="1">
      <alignment horizontal="center"/>
      <protection/>
    </xf>
    <xf numFmtId="0" fontId="19" fillId="0" borderId="73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46" fillId="0" borderId="49" xfId="59" applyFont="1" applyBorder="1" applyAlignment="1">
      <alignment horizontal="center"/>
      <protection/>
    </xf>
    <xf numFmtId="0" fontId="19" fillId="0" borderId="49" xfId="0" applyFont="1" applyBorder="1" applyAlignment="1">
      <alignment horizontal="center"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52" xfId="59" applyFon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60" fillId="36" borderId="122" xfId="59" applyFont="1" applyFill="1" applyBorder="1" applyAlignment="1">
      <alignment vertical="center" wrapText="1"/>
      <protection/>
    </xf>
    <xf numFmtId="0" fontId="15" fillId="36" borderId="93" xfId="0" applyFont="1" applyFill="1" applyBorder="1" applyAlignment="1">
      <alignment vertical="center" wrapText="1"/>
    </xf>
    <xf numFmtId="0" fontId="15" fillId="36" borderId="138" xfId="0" applyFont="1" applyFill="1" applyBorder="1" applyAlignment="1">
      <alignment vertical="center" wrapText="1"/>
    </xf>
    <xf numFmtId="0" fontId="24" fillId="0" borderId="57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 vertical="center"/>
      <protection/>
    </xf>
    <xf numFmtId="0" fontId="24" fillId="0" borderId="53" xfId="59" applyFont="1" applyBorder="1" applyAlignment="1">
      <alignment horizontal="right" vertical="center"/>
      <protection/>
    </xf>
    <xf numFmtId="0" fontId="24" fillId="0" borderId="89" xfId="59" applyFont="1" applyBorder="1" applyAlignment="1">
      <alignment horizontal="right" vertical="center"/>
      <protection/>
    </xf>
    <xf numFmtId="0" fontId="24" fillId="0" borderId="33" xfId="59" applyFont="1" applyBorder="1" applyAlignment="1">
      <alignment horizontal="right" vertical="center"/>
      <protection/>
    </xf>
    <xf numFmtId="0" fontId="24" fillId="0" borderId="26" xfId="59" applyFont="1" applyBorder="1" applyAlignment="1">
      <alignment horizontal="right" vertical="center"/>
      <protection/>
    </xf>
    <xf numFmtId="0" fontId="60" fillId="0" borderId="49" xfId="59" applyFont="1" applyBorder="1" applyAlignment="1">
      <alignment horizontal="center" vertical="center"/>
      <protection/>
    </xf>
    <xf numFmtId="0" fontId="60" fillId="0" borderId="96" xfId="59" applyFont="1" applyBorder="1" applyAlignment="1">
      <alignment horizontal="center" vertical="center"/>
      <protection/>
    </xf>
    <xf numFmtId="0" fontId="60" fillId="0" borderId="89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89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60" fillId="0" borderId="76" xfId="59" applyFont="1" applyBorder="1" applyAlignment="1">
      <alignment/>
      <protection/>
    </xf>
    <xf numFmtId="0" fontId="60" fillId="0" borderId="121" xfId="59" applyFont="1" applyBorder="1" applyAlignment="1">
      <alignment/>
      <protection/>
    </xf>
    <xf numFmtId="3" fontId="16" fillId="0" borderId="148" xfId="59" applyNumberFormat="1" applyFont="1" applyBorder="1" applyAlignment="1">
      <alignment horizontal="center" vertical="center"/>
      <protection/>
    </xf>
    <xf numFmtId="3" fontId="16" fillId="0" borderId="104" xfId="59" applyNumberFormat="1" applyFont="1" applyBorder="1" applyAlignment="1">
      <alignment horizontal="center" vertical="center"/>
      <protection/>
    </xf>
    <xf numFmtId="0" fontId="19" fillId="0" borderId="0" xfId="59" applyFont="1" applyAlignment="1">
      <alignment horizontal="center"/>
      <protection/>
    </xf>
    <xf numFmtId="0" fontId="23" fillId="0" borderId="57" xfId="59" applyFont="1" applyBorder="1" applyAlignment="1">
      <alignment horizontal="left"/>
      <protection/>
    </xf>
    <xf numFmtId="0" fontId="60" fillId="0" borderId="67" xfId="60" applyFont="1" applyFill="1" applyBorder="1" applyAlignment="1">
      <alignment horizontal="center" vertical="center" wrapText="1"/>
      <protection/>
    </xf>
    <xf numFmtId="0" fontId="60" fillId="0" borderId="160" xfId="60" applyFont="1" applyFill="1" applyBorder="1" applyAlignment="1">
      <alignment horizontal="center" vertical="center" wrapText="1"/>
      <protection/>
    </xf>
    <xf numFmtId="0" fontId="61" fillId="0" borderId="69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3" fontId="23" fillId="0" borderId="61" xfId="59" applyNumberFormat="1" applyFont="1" applyBorder="1" applyAlignment="1">
      <alignment horizontal="right"/>
      <protection/>
    </xf>
    <xf numFmtId="3" fontId="23" fillId="0" borderId="60" xfId="59" applyNumberFormat="1" applyFont="1" applyBorder="1" applyAlignment="1">
      <alignment horizontal="right"/>
      <protection/>
    </xf>
    <xf numFmtId="0" fontId="23" fillId="0" borderId="65" xfId="59" applyFont="1" applyBorder="1" applyAlignment="1">
      <alignment horizontal="left"/>
      <protection/>
    </xf>
    <xf numFmtId="0" fontId="23" fillId="0" borderId="49" xfId="59" applyFont="1" applyBorder="1" applyAlignment="1">
      <alignment horizontal="left"/>
      <protection/>
    </xf>
    <xf numFmtId="0" fontId="61" fillId="0" borderId="75" xfId="59" applyFont="1" applyBorder="1" applyAlignment="1">
      <alignment horizontal="left" vertical="center"/>
      <protection/>
    </xf>
    <xf numFmtId="0" fontId="61" fillId="0" borderId="76" xfId="59" applyFont="1" applyBorder="1" applyAlignment="1">
      <alignment horizontal="left" vertical="center"/>
      <protection/>
    </xf>
    <xf numFmtId="0" fontId="22" fillId="0" borderId="0" xfId="0" applyFont="1" applyAlignment="1">
      <alignment horizontal="center"/>
    </xf>
    <xf numFmtId="0" fontId="22" fillId="35" borderId="112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horizontal="center" wrapText="1"/>
    </xf>
    <xf numFmtId="0" fontId="22" fillId="32" borderId="112" xfId="0" applyFont="1" applyFill="1" applyBorder="1" applyAlignment="1">
      <alignment horizontal="left" vertical="center"/>
    </xf>
    <xf numFmtId="0" fontId="22" fillId="32" borderId="16" xfId="0" applyFont="1" applyFill="1" applyBorder="1" applyAlignment="1">
      <alignment horizontal="left" vertical="center"/>
    </xf>
    <xf numFmtId="0" fontId="22" fillId="32" borderId="17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48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42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15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69" fillId="0" borderId="163" xfId="0" applyFont="1" applyBorder="1" applyAlignment="1">
      <alignment horizontal="left" vertical="center" wrapText="1"/>
    </xf>
    <xf numFmtId="0" fontId="69" fillId="0" borderId="164" xfId="0" applyFont="1" applyBorder="1" applyAlignment="1">
      <alignment horizontal="left" vertical="center" wrapText="1"/>
    </xf>
    <xf numFmtId="0" fontId="69" fillId="0" borderId="165" xfId="0" applyFont="1" applyBorder="1" applyAlignment="1">
      <alignment horizontal="left" vertical="center" wrapText="1"/>
    </xf>
    <xf numFmtId="3" fontId="0" fillId="37" borderId="148" xfId="0" applyNumberFormat="1" applyFill="1" applyBorder="1" applyAlignment="1">
      <alignment horizontal="center"/>
    </xf>
    <xf numFmtId="3" fontId="0" fillId="37" borderId="104" xfId="0" applyNumberFormat="1" applyFill="1" applyBorder="1" applyAlignment="1">
      <alignment horizontal="center"/>
    </xf>
    <xf numFmtId="3" fontId="0" fillId="37" borderId="145" xfId="0" applyNumberFormat="1" applyFill="1" applyBorder="1" applyAlignment="1">
      <alignment horizontal="center"/>
    </xf>
    <xf numFmtId="3" fontId="0" fillId="37" borderId="78" xfId="0" applyNumberFormat="1" applyFill="1" applyBorder="1" applyAlignment="1">
      <alignment horizontal="center"/>
    </xf>
    <xf numFmtId="3" fontId="22" fillId="35" borderId="85" xfId="0" applyNumberFormat="1" applyFont="1" applyFill="1" applyBorder="1" applyAlignment="1">
      <alignment horizontal="center"/>
    </xf>
    <xf numFmtId="3" fontId="22" fillId="35" borderId="73" xfId="0" applyNumberFormat="1" applyFont="1" applyFill="1" applyBorder="1" applyAlignment="1">
      <alignment horizontal="center"/>
    </xf>
    <xf numFmtId="3" fontId="22" fillId="35" borderId="166" xfId="0" applyNumberFormat="1" applyFont="1" applyFill="1" applyBorder="1" applyAlignment="1">
      <alignment horizontal="center"/>
    </xf>
    <xf numFmtId="0" fontId="69" fillId="0" borderId="64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96" xfId="0" applyFont="1" applyBorder="1" applyAlignment="1">
      <alignment horizontal="left" vertical="center" wrapText="1"/>
    </xf>
    <xf numFmtId="3" fontId="0" fillId="4" borderId="136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0" fontId="68" fillId="40" borderId="85" xfId="0" applyFont="1" applyFill="1" applyBorder="1" applyAlignment="1">
      <alignment horizontal="center" vertical="center"/>
    </xf>
    <xf numFmtId="0" fontId="68" fillId="40" borderId="73" xfId="0" applyFont="1" applyFill="1" applyBorder="1" applyAlignment="1">
      <alignment horizontal="center" vertical="center"/>
    </xf>
    <xf numFmtId="0" fontId="68" fillId="40" borderId="166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69" fillId="0" borderId="163" xfId="0" applyFont="1" applyBorder="1" applyAlignment="1">
      <alignment horizontal="left" vertical="center"/>
    </xf>
    <xf numFmtId="0" fontId="69" fillId="0" borderId="164" xfId="0" applyFont="1" applyBorder="1" applyAlignment="1">
      <alignment horizontal="left" vertical="center"/>
    </xf>
    <xf numFmtId="0" fontId="69" fillId="0" borderId="165" xfId="0" applyFont="1" applyBorder="1" applyAlignment="1">
      <alignment horizontal="left" vertical="center"/>
    </xf>
    <xf numFmtId="0" fontId="69" fillId="0" borderId="167" xfId="0" applyFont="1" applyBorder="1" applyAlignment="1">
      <alignment horizontal="left" vertical="center" wrapText="1"/>
    </xf>
    <xf numFmtId="0" fontId="69" fillId="0" borderId="158" xfId="0" applyFont="1" applyBorder="1" applyAlignment="1">
      <alignment horizontal="left" vertical="center" wrapText="1"/>
    </xf>
    <xf numFmtId="3" fontId="0" fillId="37" borderId="61" xfId="0" applyNumberFormat="1" applyFill="1" applyBorder="1" applyAlignment="1">
      <alignment horizontal="center"/>
    </xf>
    <xf numFmtId="3" fontId="0" fillId="37" borderId="60" xfId="0" applyNumberFormat="1" applyFill="1" applyBorder="1" applyAlignment="1">
      <alignment horizontal="center"/>
    </xf>
    <xf numFmtId="0" fontId="69" fillId="0" borderId="147" xfId="0" applyFont="1" applyBorder="1" applyAlignment="1">
      <alignment horizontal="left" vertical="center"/>
    </xf>
    <xf numFmtId="0" fontId="69" fillId="0" borderId="143" xfId="0" applyFont="1" applyBorder="1" applyAlignment="1">
      <alignment horizontal="left" vertical="center"/>
    </xf>
    <xf numFmtId="0" fontId="69" fillId="0" borderId="168" xfId="0" applyFont="1" applyBorder="1" applyAlignment="1">
      <alignment horizontal="left" vertical="center"/>
    </xf>
    <xf numFmtId="0" fontId="67" fillId="0" borderId="148" xfId="0" applyFont="1" applyBorder="1" applyAlignment="1">
      <alignment horizontal="center" vertical="center" wrapText="1"/>
    </xf>
    <xf numFmtId="0" fontId="67" fillId="0" borderId="104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148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6" fillId="0" borderId="83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119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186" customWidth="1"/>
    <col min="2" max="3" width="9.125" style="186" customWidth="1"/>
    <col min="4" max="4" width="5.875" style="186" customWidth="1"/>
    <col min="5" max="5" width="49.875" style="186" customWidth="1"/>
    <col min="6" max="6" width="16.125" style="186" bestFit="1" customWidth="1"/>
    <col min="7" max="7" width="13.625" style="186" customWidth="1"/>
    <col min="8" max="9" width="15.125" style="186" customWidth="1"/>
    <col min="10" max="10" width="15.875" style="186" bestFit="1" customWidth="1"/>
    <col min="11" max="11" width="9.125" style="321" customWidth="1"/>
    <col min="12" max="16384" width="9.125" style="186" customWidth="1"/>
  </cols>
  <sheetData>
    <row r="1" spans="1:10" ht="12.75">
      <c r="A1" s="92"/>
      <c r="B1" s="213"/>
      <c r="C1" s="213"/>
      <c r="D1" s="213"/>
      <c r="E1" s="214"/>
      <c r="F1" s="976" t="s">
        <v>1177</v>
      </c>
      <c r="G1" s="977"/>
      <c r="H1" s="977"/>
      <c r="I1" s="977"/>
      <c r="J1" s="977"/>
    </row>
    <row r="2" spans="1:10" ht="15.75">
      <c r="A2" s="981" t="s">
        <v>864</v>
      </c>
      <c r="B2" s="981"/>
      <c r="C2" s="981"/>
      <c r="D2" s="981"/>
      <c r="E2" s="981"/>
      <c r="F2" s="981"/>
      <c r="G2" s="981"/>
      <c r="H2" s="981"/>
      <c r="I2" s="981"/>
      <c r="J2" s="981"/>
    </row>
    <row r="3" spans="1:10" ht="12.75">
      <c r="A3" s="92"/>
      <c r="B3" s="92"/>
      <c r="C3" s="92"/>
      <c r="D3" s="92"/>
      <c r="E3" s="92"/>
      <c r="F3" s="213"/>
      <c r="G3" s="213"/>
      <c r="H3" s="213"/>
      <c r="I3" s="213"/>
      <c r="J3" s="213"/>
    </row>
    <row r="4" spans="1:10" ht="12.75">
      <c r="A4" s="92"/>
      <c r="B4" s="213"/>
      <c r="C4" s="213"/>
      <c r="D4" s="213"/>
      <c r="E4" s="213"/>
      <c r="F4" s="213"/>
      <c r="G4" s="213"/>
      <c r="H4" s="213"/>
      <c r="I4" s="213"/>
      <c r="J4" s="214" t="s">
        <v>642</v>
      </c>
    </row>
    <row r="5" spans="1:10" ht="60">
      <c r="A5" s="988" t="s">
        <v>0</v>
      </c>
      <c r="B5" s="989"/>
      <c r="C5" s="989"/>
      <c r="D5" s="989"/>
      <c r="E5" s="990"/>
      <c r="F5" s="193" t="s">
        <v>87</v>
      </c>
      <c r="G5" s="193" t="s">
        <v>377</v>
      </c>
      <c r="H5" s="193" t="s">
        <v>768</v>
      </c>
      <c r="I5" s="193" t="s">
        <v>833</v>
      </c>
      <c r="J5" s="193" t="s">
        <v>370</v>
      </c>
    </row>
    <row r="6" spans="1:11" s="197" customFormat="1" ht="15">
      <c r="A6" s="215" t="s">
        <v>439</v>
      </c>
      <c r="B6" s="978" t="s">
        <v>440</v>
      </c>
      <c r="C6" s="979"/>
      <c r="D6" s="979"/>
      <c r="E6" s="980"/>
      <c r="F6" s="216" t="s">
        <v>441</v>
      </c>
      <c r="G6" s="216" t="s">
        <v>442</v>
      </c>
      <c r="H6" s="216" t="s">
        <v>443</v>
      </c>
      <c r="I6" s="216" t="s">
        <v>444</v>
      </c>
      <c r="J6" s="216" t="s">
        <v>446</v>
      </c>
      <c r="K6" s="612"/>
    </row>
    <row r="7" spans="1:11" s="219" customFormat="1" ht="12.75">
      <c r="A7" s="217" t="s">
        <v>211</v>
      </c>
      <c r="B7" s="983" t="s">
        <v>212</v>
      </c>
      <c r="C7" s="983"/>
      <c r="D7" s="983"/>
      <c r="E7" s="983"/>
      <c r="F7" s="218">
        <f>SUM(F8+F15+F16+F17+F28+F29)</f>
        <v>681525200</v>
      </c>
      <c r="G7" s="218">
        <f>SUM(G8+G15+G16+G17+G28+G29)</f>
        <v>4598901</v>
      </c>
      <c r="H7" s="218">
        <f>SUM(H8+H15+H16+H17+H28+H29)</f>
        <v>1444366</v>
      </c>
      <c r="I7" s="218">
        <f>SUM(I8+I15+I16+I17+I28+I29)</f>
        <v>22765512</v>
      </c>
      <c r="J7" s="218">
        <f>SUM(F7:I7)</f>
        <v>710333979</v>
      </c>
      <c r="K7" s="613"/>
    </row>
    <row r="8" spans="1:11" ht="12.75">
      <c r="A8" s="220"/>
      <c r="B8" s="220" t="s">
        <v>213</v>
      </c>
      <c r="C8" s="975" t="s">
        <v>214</v>
      </c>
      <c r="D8" s="975"/>
      <c r="E8" s="975"/>
      <c r="F8" s="221">
        <f>SUM(F9:F14)</f>
        <v>517621524</v>
      </c>
      <c r="G8" s="221">
        <f>SUM(G9:G14)</f>
        <v>0</v>
      </c>
      <c r="H8" s="221">
        <f>SUM(H9:H14)</f>
        <v>0</v>
      </c>
      <c r="I8" s="221">
        <f>SUM(I9:I14)</f>
        <v>0</v>
      </c>
      <c r="J8" s="222">
        <f aca="true" t="shared" si="0" ref="J8:J73">SUM(F8:I8)</f>
        <v>517621524</v>
      </c>
      <c r="K8" s="614"/>
    </row>
    <row r="9" spans="1:11" ht="12.75">
      <c r="A9" s="223"/>
      <c r="B9" s="223"/>
      <c r="C9" s="223" t="s">
        <v>215</v>
      </c>
      <c r="D9" s="223"/>
      <c r="E9" s="223" t="s">
        <v>662</v>
      </c>
      <c r="F9" s="224">
        <f>187405500+593921+81261+3401000-38709</f>
        <v>191442973</v>
      </c>
      <c r="G9" s="224">
        <v>0</v>
      </c>
      <c r="H9" s="224">
        <v>0</v>
      </c>
      <c r="I9" s="224">
        <v>0</v>
      </c>
      <c r="J9" s="225">
        <f t="shared" si="0"/>
        <v>191442973</v>
      </c>
      <c r="K9" s="615"/>
    </row>
    <row r="10" spans="1:11" ht="12.75">
      <c r="A10" s="223"/>
      <c r="B10" s="226"/>
      <c r="C10" s="223" t="s">
        <v>216</v>
      </c>
      <c r="D10" s="223"/>
      <c r="E10" s="223" t="s">
        <v>668</v>
      </c>
      <c r="F10" s="224">
        <f>113053183+2145000+2948333</f>
        <v>118146516</v>
      </c>
      <c r="G10" s="224">
        <v>0</v>
      </c>
      <c r="H10" s="224">
        <v>0</v>
      </c>
      <c r="I10" s="224">
        <v>0</v>
      </c>
      <c r="J10" s="225">
        <f t="shared" si="0"/>
        <v>118146516</v>
      </c>
      <c r="K10" s="615"/>
    </row>
    <row r="11" spans="1:11" ht="12.75">
      <c r="A11" s="223"/>
      <c r="B11" s="223"/>
      <c r="C11" s="223" t="s">
        <v>217</v>
      </c>
      <c r="D11" s="223"/>
      <c r="E11" s="223" t="s">
        <v>643</v>
      </c>
      <c r="F11" s="224">
        <f>163358480+10844656+2556000+2554017-3775427-463855</f>
        <v>175073871</v>
      </c>
      <c r="G11" s="224">
        <v>0</v>
      </c>
      <c r="H11" s="224">
        <v>0</v>
      </c>
      <c r="I11" s="224">
        <v>0</v>
      </c>
      <c r="J11" s="225">
        <f t="shared" si="0"/>
        <v>175073871</v>
      </c>
      <c r="K11" s="615"/>
    </row>
    <row r="12" spans="1:11" ht="12.75">
      <c r="A12" s="223"/>
      <c r="B12" s="223"/>
      <c r="C12" s="223" t="s">
        <v>218</v>
      </c>
      <c r="D12" s="223"/>
      <c r="E12" s="223" t="s">
        <v>669</v>
      </c>
      <c r="F12" s="224">
        <f>10507640+862312+356000-90634</f>
        <v>11635318</v>
      </c>
      <c r="G12" s="224">
        <v>0</v>
      </c>
      <c r="H12" s="224">
        <v>0</v>
      </c>
      <c r="I12" s="224">
        <v>0</v>
      </c>
      <c r="J12" s="225">
        <f t="shared" si="0"/>
        <v>11635318</v>
      </c>
      <c r="K12" s="615"/>
    </row>
    <row r="13" spans="1:11" ht="11.25" customHeight="1">
      <c r="A13" s="223"/>
      <c r="B13" s="223"/>
      <c r="C13" s="223" t="s">
        <v>219</v>
      </c>
      <c r="D13" s="223"/>
      <c r="E13" s="223" t="s">
        <v>663</v>
      </c>
      <c r="F13" s="224">
        <f>10464000+10858846</f>
        <v>21322846</v>
      </c>
      <c r="G13" s="224">
        <v>0</v>
      </c>
      <c r="H13" s="224">
        <v>0</v>
      </c>
      <c r="I13" s="224">
        <v>0</v>
      </c>
      <c r="J13" s="225">
        <f t="shared" si="0"/>
        <v>21322846</v>
      </c>
      <c r="K13" s="615"/>
    </row>
    <row r="14" spans="1:11" ht="0.75" customHeight="1" hidden="1">
      <c r="A14" s="227"/>
      <c r="B14" s="227"/>
      <c r="C14" s="223" t="s">
        <v>220</v>
      </c>
      <c r="D14" s="227"/>
      <c r="E14" s="223" t="s">
        <v>554</v>
      </c>
      <c r="F14" s="224">
        <v>0</v>
      </c>
      <c r="G14" s="224">
        <v>0</v>
      </c>
      <c r="H14" s="224">
        <v>0</v>
      </c>
      <c r="I14" s="224">
        <v>0</v>
      </c>
      <c r="J14" s="225">
        <f t="shared" si="0"/>
        <v>0</v>
      </c>
      <c r="K14" s="615"/>
    </row>
    <row r="15" spans="1:11" ht="12.75">
      <c r="A15" s="220"/>
      <c r="B15" s="220" t="s">
        <v>221</v>
      </c>
      <c r="C15" s="975" t="s">
        <v>222</v>
      </c>
      <c r="D15" s="975"/>
      <c r="E15" s="975"/>
      <c r="F15" s="221">
        <v>0</v>
      </c>
      <c r="G15" s="221">
        <v>0</v>
      </c>
      <c r="H15" s="221">
        <v>0</v>
      </c>
      <c r="I15" s="221">
        <v>0</v>
      </c>
      <c r="J15" s="222">
        <f t="shared" si="0"/>
        <v>0</v>
      </c>
      <c r="K15" s="614"/>
    </row>
    <row r="16" spans="1:11" ht="12.75">
      <c r="A16" s="220"/>
      <c r="B16" s="220" t="s">
        <v>223</v>
      </c>
      <c r="C16" s="975" t="s">
        <v>664</v>
      </c>
      <c r="D16" s="975"/>
      <c r="E16" s="975"/>
      <c r="F16" s="221">
        <v>0</v>
      </c>
      <c r="G16" s="221">
        <v>0</v>
      </c>
      <c r="H16" s="221">
        <v>0</v>
      </c>
      <c r="I16" s="221">
        <v>0</v>
      </c>
      <c r="J16" s="222">
        <f t="shared" si="0"/>
        <v>0</v>
      </c>
      <c r="K16" s="614"/>
    </row>
    <row r="17" spans="1:11" ht="12.75">
      <c r="A17" s="220"/>
      <c r="B17" s="220" t="s">
        <v>224</v>
      </c>
      <c r="C17" s="975" t="s">
        <v>665</v>
      </c>
      <c r="D17" s="975"/>
      <c r="E17" s="975"/>
      <c r="F17" s="221">
        <f>SUM(F18:F27)</f>
        <v>0</v>
      </c>
      <c r="G17" s="221">
        <f>SUM(G18:G27)</f>
        <v>0</v>
      </c>
      <c r="H17" s="221">
        <f>SUM(H18:H27)</f>
        <v>0</v>
      </c>
      <c r="I17" s="221">
        <f>SUM(I18:I27)</f>
        <v>0</v>
      </c>
      <c r="J17" s="222">
        <f t="shared" si="0"/>
        <v>0</v>
      </c>
      <c r="K17" s="614"/>
    </row>
    <row r="18" spans="1:11" ht="12.75" hidden="1">
      <c r="A18" s="228"/>
      <c r="B18" s="228"/>
      <c r="C18" s="229" t="s">
        <v>2</v>
      </c>
      <c r="D18" s="229" t="s">
        <v>149</v>
      </c>
      <c r="E18" s="229" t="s">
        <v>150</v>
      </c>
      <c r="F18" s="230">
        <v>0</v>
      </c>
      <c r="G18" s="230">
        <v>0</v>
      </c>
      <c r="H18" s="230">
        <v>0</v>
      </c>
      <c r="I18" s="230">
        <v>0</v>
      </c>
      <c r="J18" s="231">
        <f t="shared" si="0"/>
        <v>0</v>
      </c>
      <c r="K18" s="616"/>
    </row>
    <row r="19" spans="1:11" ht="12.75" hidden="1">
      <c r="A19" s="228"/>
      <c r="B19" s="228"/>
      <c r="C19" s="229"/>
      <c r="D19" s="229" t="s">
        <v>151</v>
      </c>
      <c r="E19" s="229" t="s">
        <v>152</v>
      </c>
      <c r="F19" s="230">
        <v>0</v>
      </c>
      <c r="G19" s="230">
        <v>0</v>
      </c>
      <c r="H19" s="230">
        <v>0</v>
      </c>
      <c r="I19" s="230">
        <v>0</v>
      </c>
      <c r="J19" s="231">
        <f t="shared" si="0"/>
        <v>0</v>
      </c>
      <c r="K19" s="616"/>
    </row>
    <row r="20" spans="1:11" ht="12.75" hidden="1">
      <c r="A20" s="228"/>
      <c r="B20" s="228"/>
      <c r="C20" s="229"/>
      <c r="D20" s="229" t="s">
        <v>153</v>
      </c>
      <c r="E20" s="229" t="s">
        <v>225</v>
      </c>
      <c r="F20" s="230">
        <v>0</v>
      </c>
      <c r="G20" s="230">
        <v>0</v>
      </c>
      <c r="H20" s="230">
        <v>0</v>
      </c>
      <c r="I20" s="230">
        <v>0</v>
      </c>
      <c r="J20" s="231">
        <f t="shared" si="0"/>
        <v>0</v>
      </c>
      <c r="K20" s="616"/>
    </row>
    <row r="21" spans="1:11" ht="12.75" hidden="1">
      <c r="A21" s="228"/>
      <c r="B21" s="228"/>
      <c r="C21" s="229"/>
      <c r="D21" s="229" t="s">
        <v>155</v>
      </c>
      <c r="E21" s="229" t="s">
        <v>156</v>
      </c>
      <c r="F21" s="230">
        <v>0</v>
      </c>
      <c r="G21" s="230">
        <v>0</v>
      </c>
      <c r="H21" s="230">
        <v>0</v>
      </c>
      <c r="I21" s="230">
        <v>0</v>
      </c>
      <c r="J21" s="231">
        <f t="shared" si="0"/>
        <v>0</v>
      </c>
      <c r="K21" s="616"/>
    </row>
    <row r="22" spans="1:11" ht="12.75" hidden="1">
      <c r="A22" s="228"/>
      <c r="B22" s="228"/>
      <c r="C22" s="229"/>
      <c r="D22" s="229" t="s">
        <v>157</v>
      </c>
      <c r="E22" s="229" t="s">
        <v>158</v>
      </c>
      <c r="F22" s="230">
        <v>0</v>
      </c>
      <c r="G22" s="230">
        <v>0</v>
      </c>
      <c r="H22" s="230">
        <v>0</v>
      </c>
      <c r="I22" s="230">
        <v>0</v>
      </c>
      <c r="J22" s="231">
        <f t="shared" si="0"/>
        <v>0</v>
      </c>
      <c r="K22" s="616"/>
    </row>
    <row r="23" spans="1:11" ht="12.75" hidden="1">
      <c r="A23" s="228"/>
      <c r="B23" s="228"/>
      <c r="C23" s="229"/>
      <c r="D23" s="229" t="s">
        <v>159</v>
      </c>
      <c r="E23" s="229" t="s">
        <v>160</v>
      </c>
      <c r="F23" s="230">
        <v>0</v>
      </c>
      <c r="G23" s="230">
        <v>0</v>
      </c>
      <c r="H23" s="230">
        <v>0</v>
      </c>
      <c r="I23" s="230">
        <v>0</v>
      </c>
      <c r="J23" s="231">
        <f t="shared" si="0"/>
        <v>0</v>
      </c>
      <c r="K23" s="616"/>
    </row>
    <row r="24" spans="1:11" ht="12.75" hidden="1">
      <c r="A24" s="228"/>
      <c r="B24" s="228"/>
      <c r="C24" s="229"/>
      <c r="D24" s="229" t="s">
        <v>161</v>
      </c>
      <c r="E24" s="229" t="s">
        <v>162</v>
      </c>
      <c r="F24" s="230">
        <v>0</v>
      </c>
      <c r="G24" s="230">
        <v>0</v>
      </c>
      <c r="H24" s="230">
        <v>0</v>
      </c>
      <c r="I24" s="230">
        <v>0</v>
      </c>
      <c r="J24" s="231">
        <f t="shared" si="0"/>
        <v>0</v>
      </c>
      <c r="K24" s="616"/>
    </row>
    <row r="25" spans="1:11" ht="12.75" hidden="1">
      <c r="A25" s="228"/>
      <c r="B25" s="228"/>
      <c r="C25" s="229"/>
      <c r="D25" s="229" t="s">
        <v>163</v>
      </c>
      <c r="E25" s="229" t="s">
        <v>164</v>
      </c>
      <c r="F25" s="230"/>
      <c r="G25" s="230">
        <v>0</v>
      </c>
      <c r="H25" s="230">
        <v>0</v>
      </c>
      <c r="I25" s="230">
        <v>0</v>
      </c>
      <c r="J25" s="231">
        <f t="shared" si="0"/>
        <v>0</v>
      </c>
      <c r="K25" s="616"/>
    </row>
    <row r="26" spans="1:11" ht="12.75" hidden="1">
      <c r="A26" s="228"/>
      <c r="B26" s="228"/>
      <c r="C26" s="229"/>
      <c r="D26" s="229" t="s">
        <v>165</v>
      </c>
      <c r="E26" s="229" t="s">
        <v>166</v>
      </c>
      <c r="F26" s="230">
        <v>0</v>
      </c>
      <c r="G26" s="230">
        <v>0</v>
      </c>
      <c r="H26" s="230">
        <v>0</v>
      </c>
      <c r="I26" s="230">
        <v>0</v>
      </c>
      <c r="J26" s="231">
        <f t="shared" si="0"/>
        <v>0</v>
      </c>
      <c r="K26" s="616"/>
    </row>
    <row r="27" spans="1:11" ht="12.75" hidden="1">
      <c r="A27" s="228"/>
      <c r="B27" s="228"/>
      <c r="C27" s="229"/>
      <c r="D27" s="229" t="s">
        <v>167</v>
      </c>
      <c r="E27" s="229" t="s">
        <v>168</v>
      </c>
      <c r="F27" s="230">
        <v>0</v>
      </c>
      <c r="G27" s="230">
        <v>0</v>
      </c>
      <c r="H27" s="230">
        <v>0</v>
      </c>
      <c r="I27" s="230">
        <v>0</v>
      </c>
      <c r="J27" s="231">
        <f t="shared" si="0"/>
        <v>0</v>
      </c>
      <c r="K27" s="616"/>
    </row>
    <row r="28" spans="1:11" ht="12.75">
      <c r="A28" s="220"/>
      <c r="B28" s="220" t="s">
        <v>226</v>
      </c>
      <c r="C28" s="975" t="s">
        <v>666</v>
      </c>
      <c r="D28" s="975"/>
      <c r="E28" s="975"/>
      <c r="F28" s="221">
        <v>0</v>
      </c>
      <c r="G28" s="221">
        <v>0</v>
      </c>
      <c r="H28" s="221">
        <v>0</v>
      </c>
      <c r="I28" s="221">
        <v>0</v>
      </c>
      <c r="J28" s="222">
        <f t="shared" si="0"/>
        <v>0</v>
      </c>
      <c r="K28" s="614"/>
    </row>
    <row r="29" spans="1:11" ht="12.75">
      <c r="A29" s="220"/>
      <c r="B29" s="220" t="s">
        <v>227</v>
      </c>
      <c r="C29" s="975" t="s">
        <v>667</v>
      </c>
      <c r="D29" s="975"/>
      <c r="E29" s="975"/>
      <c r="F29" s="221">
        <f>SUM(F30:F39)</f>
        <v>163903676</v>
      </c>
      <c r="G29" s="221">
        <f>SUM(G30:G39)</f>
        <v>4598901</v>
      </c>
      <c r="H29" s="221">
        <f>SUM(H30:H39)</f>
        <v>1444366</v>
      </c>
      <c r="I29" s="221">
        <f>SUM(I30:I39)</f>
        <v>22765512</v>
      </c>
      <c r="J29" s="222">
        <f t="shared" si="0"/>
        <v>192712455</v>
      </c>
      <c r="K29" s="614"/>
    </row>
    <row r="30" spans="1:11" ht="12.75" hidden="1">
      <c r="A30" s="228"/>
      <c r="B30" s="228"/>
      <c r="C30" s="229" t="s">
        <v>2</v>
      </c>
      <c r="D30" s="229" t="s">
        <v>149</v>
      </c>
      <c r="E30" s="229" t="s">
        <v>150</v>
      </c>
      <c r="F30" s="230">
        <v>0</v>
      </c>
      <c r="G30" s="230">
        <v>0</v>
      </c>
      <c r="H30" s="230">
        <v>0</v>
      </c>
      <c r="I30" s="230">
        <v>0</v>
      </c>
      <c r="J30" s="231">
        <f t="shared" si="0"/>
        <v>0</v>
      </c>
      <c r="K30" s="616"/>
    </row>
    <row r="31" spans="1:11" ht="12.75" hidden="1">
      <c r="A31" s="228"/>
      <c r="B31" s="228"/>
      <c r="C31" s="229"/>
      <c r="D31" s="229" t="s">
        <v>151</v>
      </c>
      <c r="E31" s="229" t="s">
        <v>152</v>
      </c>
      <c r="F31" s="230">
        <v>0</v>
      </c>
      <c r="G31" s="230">
        <v>0</v>
      </c>
      <c r="H31" s="230">
        <v>0</v>
      </c>
      <c r="I31" s="230">
        <v>0</v>
      </c>
      <c r="J31" s="231">
        <f t="shared" si="0"/>
        <v>0</v>
      </c>
      <c r="K31" s="616"/>
    </row>
    <row r="32" spans="1:11" ht="12.75">
      <c r="A32" s="232"/>
      <c r="B32" s="232"/>
      <c r="C32" s="229" t="s">
        <v>2</v>
      </c>
      <c r="D32" s="233"/>
      <c r="E32" s="233" t="s">
        <v>670</v>
      </c>
      <c r="F32" s="230">
        <f>52411853+3303941+2000000</f>
        <v>57715794</v>
      </c>
      <c r="G32" s="230">
        <v>0</v>
      </c>
      <c r="H32" s="230">
        <v>0</v>
      </c>
      <c r="I32" s="230">
        <v>22502900</v>
      </c>
      <c r="J32" s="231">
        <f t="shared" si="0"/>
        <v>80218694</v>
      </c>
      <c r="K32" s="616"/>
    </row>
    <row r="33" spans="1:11" ht="12.75">
      <c r="A33" s="228"/>
      <c r="B33" s="228"/>
      <c r="C33" s="229"/>
      <c r="D33" s="229"/>
      <c r="E33" s="229" t="s">
        <v>156</v>
      </c>
      <c r="F33" s="230">
        <f>15675115-2000000+1166000-7430000</f>
        <v>7411115</v>
      </c>
      <c r="G33" s="230">
        <f>1960719+47334+2156000+434848</f>
        <v>4598901</v>
      </c>
      <c r="H33" s="230">
        <v>0</v>
      </c>
      <c r="I33" s="230">
        <v>0</v>
      </c>
      <c r="J33" s="231">
        <f t="shared" si="0"/>
        <v>12010016</v>
      </c>
      <c r="K33" s="616"/>
    </row>
    <row r="34" spans="1:11" ht="12.75">
      <c r="A34" s="228"/>
      <c r="B34" s="228"/>
      <c r="C34" s="229"/>
      <c r="D34" s="229"/>
      <c r="E34" s="229" t="s">
        <v>158</v>
      </c>
      <c r="F34" s="230">
        <f>21228000+2577831</f>
        <v>23805831</v>
      </c>
      <c r="G34" s="230">
        <v>0</v>
      </c>
      <c r="H34" s="230">
        <v>0</v>
      </c>
      <c r="I34" s="230">
        <v>0</v>
      </c>
      <c r="J34" s="231">
        <f t="shared" si="0"/>
        <v>23805831</v>
      </c>
      <c r="K34" s="616"/>
    </row>
    <row r="35" spans="1:11" ht="12.75">
      <c r="A35" s="228"/>
      <c r="B35" s="228"/>
      <c r="C35" s="229"/>
      <c r="D35" s="229"/>
      <c r="E35" s="229" t="s">
        <v>160</v>
      </c>
      <c r="F35" s="230">
        <f>23113977-6854236-6737965+42621100+16507503+1152632+3457896</f>
        <v>73260907</v>
      </c>
      <c r="G35" s="230">
        <v>0</v>
      </c>
      <c r="H35" s="230">
        <f>1444366</f>
        <v>1444366</v>
      </c>
      <c r="I35" s="230">
        <f>262612</f>
        <v>262612</v>
      </c>
      <c r="J35" s="231">
        <f t="shared" si="0"/>
        <v>74967885</v>
      </c>
      <c r="K35" s="616"/>
    </row>
    <row r="36" spans="1:11" ht="12.75">
      <c r="A36" s="228"/>
      <c r="B36" s="228"/>
      <c r="C36" s="229"/>
      <c r="D36" s="229"/>
      <c r="E36" s="229" t="s">
        <v>162</v>
      </c>
      <c r="F36" s="230">
        <v>1710029</v>
      </c>
      <c r="G36" s="230">
        <v>0</v>
      </c>
      <c r="H36" s="230">
        <v>0</v>
      </c>
      <c r="I36" s="230">
        <v>0</v>
      </c>
      <c r="J36" s="231">
        <f t="shared" si="0"/>
        <v>1710029</v>
      </c>
      <c r="K36" s="616"/>
    </row>
    <row r="37" spans="1:11" ht="12.75" hidden="1">
      <c r="A37" s="228"/>
      <c r="B37" s="228"/>
      <c r="C37" s="229"/>
      <c r="D37" s="229"/>
      <c r="E37" s="229" t="s">
        <v>164</v>
      </c>
      <c r="F37" s="230">
        <v>0</v>
      </c>
      <c r="G37" s="230">
        <v>0</v>
      </c>
      <c r="H37" s="230">
        <v>0</v>
      </c>
      <c r="I37" s="230">
        <v>0</v>
      </c>
      <c r="J37" s="231">
        <f t="shared" si="0"/>
        <v>0</v>
      </c>
      <c r="K37" s="616"/>
    </row>
    <row r="38" spans="1:11" ht="12.75" hidden="1">
      <c r="A38" s="228"/>
      <c r="B38" s="228"/>
      <c r="C38" s="229"/>
      <c r="D38" s="229"/>
      <c r="E38" s="229" t="s">
        <v>671</v>
      </c>
      <c r="F38" s="230">
        <v>0</v>
      </c>
      <c r="G38" s="230">
        <v>0</v>
      </c>
      <c r="H38" s="230">
        <v>0</v>
      </c>
      <c r="I38" s="230">
        <v>0</v>
      </c>
      <c r="J38" s="231">
        <f t="shared" si="0"/>
        <v>0</v>
      </c>
      <c r="K38" s="616"/>
    </row>
    <row r="39" spans="1:11" ht="12.75" hidden="1">
      <c r="A39" s="228"/>
      <c r="B39" s="228"/>
      <c r="C39" s="229"/>
      <c r="D39" s="229"/>
      <c r="E39" s="229" t="s">
        <v>672</v>
      </c>
      <c r="F39" s="230">
        <v>0</v>
      </c>
      <c r="G39" s="230">
        <v>0</v>
      </c>
      <c r="H39" s="230">
        <v>0</v>
      </c>
      <c r="I39" s="230">
        <v>0</v>
      </c>
      <c r="J39" s="231">
        <f t="shared" si="0"/>
        <v>0</v>
      </c>
      <c r="K39" s="616"/>
    </row>
    <row r="40" spans="1:11" s="219" customFormat="1" ht="12.75">
      <c r="A40" s="217" t="s">
        <v>228</v>
      </c>
      <c r="B40" s="983" t="s">
        <v>678</v>
      </c>
      <c r="C40" s="983"/>
      <c r="D40" s="983"/>
      <c r="E40" s="983"/>
      <c r="F40" s="218">
        <f>SUM(F41:F45)</f>
        <v>92049185</v>
      </c>
      <c r="G40" s="218">
        <f>SUM(G41:G45)</f>
        <v>0</v>
      </c>
      <c r="H40" s="218">
        <f>SUM(H41:H45)</f>
        <v>0</v>
      </c>
      <c r="I40" s="218">
        <f>SUM(I41:I45)</f>
        <v>2497100</v>
      </c>
      <c r="J40" s="218">
        <f t="shared" si="0"/>
        <v>94546285</v>
      </c>
      <c r="K40" s="613"/>
    </row>
    <row r="41" spans="1:11" ht="12" customHeight="1">
      <c r="A41" s="220"/>
      <c r="B41" s="220" t="s">
        <v>229</v>
      </c>
      <c r="C41" s="975" t="s">
        <v>673</v>
      </c>
      <c r="D41" s="975"/>
      <c r="E41" s="975"/>
      <c r="F41" s="221">
        <f>29999998</f>
        <v>29999998</v>
      </c>
      <c r="G41" s="221">
        <v>0</v>
      </c>
      <c r="H41" s="221">
        <v>0</v>
      </c>
      <c r="I41" s="221">
        <v>0</v>
      </c>
      <c r="J41" s="222">
        <f t="shared" si="0"/>
        <v>29999998</v>
      </c>
      <c r="K41" s="614"/>
    </row>
    <row r="42" spans="1:11" ht="12.75" hidden="1">
      <c r="A42" s="220"/>
      <c r="B42" s="220" t="s">
        <v>230</v>
      </c>
      <c r="C42" s="975" t="s">
        <v>674</v>
      </c>
      <c r="D42" s="975"/>
      <c r="E42" s="975"/>
      <c r="F42" s="221">
        <v>0</v>
      </c>
      <c r="G42" s="221">
        <v>0</v>
      </c>
      <c r="H42" s="221">
        <v>0</v>
      </c>
      <c r="I42" s="221">
        <v>0</v>
      </c>
      <c r="J42" s="222">
        <f t="shared" si="0"/>
        <v>0</v>
      </c>
      <c r="K42" s="614"/>
    </row>
    <row r="43" spans="1:11" ht="12.75" hidden="1">
      <c r="A43" s="220"/>
      <c r="B43" s="220" t="s">
        <v>231</v>
      </c>
      <c r="C43" s="975" t="s">
        <v>675</v>
      </c>
      <c r="D43" s="975"/>
      <c r="E43" s="975"/>
      <c r="F43" s="221">
        <v>0</v>
      </c>
      <c r="G43" s="221">
        <v>0</v>
      </c>
      <c r="H43" s="221">
        <v>0</v>
      </c>
      <c r="I43" s="221">
        <v>0</v>
      </c>
      <c r="J43" s="222">
        <f t="shared" si="0"/>
        <v>0</v>
      </c>
      <c r="K43" s="614"/>
    </row>
    <row r="44" spans="1:11" ht="12.75" hidden="1">
      <c r="A44" s="220"/>
      <c r="B44" s="220" t="s">
        <v>232</v>
      </c>
      <c r="C44" s="975" t="s">
        <v>676</v>
      </c>
      <c r="D44" s="975"/>
      <c r="E44" s="975"/>
      <c r="F44" s="221">
        <v>0</v>
      </c>
      <c r="G44" s="221">
        <v>0</v>
      </c>
      <c r="H44" s="221">
        <v>0</v>
      </c>
      <c r="I44" s="221">
        <v>0</v>
      </c>
      <c r="J44" s="222">
        <f t="shared" si="0"/>
        <v>0</v>
      </c>
      <c r="K44" s="614"/>
    </row>
    <row r="45" spans="1:11" ht="12.75">
      <c r="A45" s="220"/>
      <c r="B45" s="220" t="s">
        <v>233</v>
      </c>
      <c r="C45" s="975" t="s">
        <v>677</v>
      </c>
      <c r="D45" s="975"/>
      <c r="E45" s="975"/>
      <c r="F45" s="221">
        <f>SUM(F46:F57)</f>
        <v>62049187</v>
      </c>
      <c r="G45" s="221">
        <f>SUM(G46:G57)</f>
        <v>0</v>
      </c>
      <c r="H45" s="221">
        <f>SUM(H46:H57)</f>
        <v>0</v>
      </c>
      <c r="I45" s="221">
        <f>SUM(I46:I57)</f>
        <v>2497100</v>
      </c>
      <c r="J45" s="222">
        <f t="shared" si="0"/>
        <v>64546287</v>
      </c>
      <c r="K45" s="614"/>
    </row>
    <row r="46" spans="1:11" ht="12.75" hidden="1">
      <c r="A46" s="228"/>
      <c r="B46" s="228"/>
      <c r="C46" s="229" t="s">
        <v>2</v>
      </c>
      <c r="D46" s="229" t="s">
        <v>149</v>
      </c>
      <c r="E46" s="229" t="s">
        <v>150</v>
      </c>
      <c r="F46" s="230">
        <v>0</v>
      </c>
      <c r="G46" s="230">
        <v>0</v>
      </c>
      <c r="H46" s="230">
        <v>0</v>
      </c>
      <c r="I46" s="230">
        <v>0</v>
      </c>
      <c r="J46" s="231">
        <f t="shared" si="0"/>
        <v>0</v>
      </c>
      <c r="K46" s="616"/>
    </row>
    <row r="47" spans="1:11" ht="12.75" hidden="1">
      <c r="A47" s="228"/>
      <c r="B47" s="228"/>
      <c r="C47" s="229"/>
      <c r="D47" s="229" t="s">
        <v>151</v>
      </c>
      <c r="E47" s="229" t="s">
        <v>152</v>
      </c>
      <c r="F47" s="230">
        <v>0</v>
      </c>
      <c r="G47" s="230">
        <v>0</v>
      </c>
      <c r="H47" s="230">
        <v>0</v>
      </c>
      <c r="I47" s="230">
        <v>0</v>
      </c>
      <c r="J47" s="231">
        <f t="shared" si="0"/>
        <v>0</v>
      </c>
      <c r="K47" s="616"/>
    </row>
    <row r="48" spans="1:11" ht="12" customHeight="1">
      <c r="A48" s="232"/>
      <c r="B48" s="232"/>
      <c r="C48" s="229" t="s">
        <v>2</v>
      </c>
      <c r="D48" s="233"/>
      <c r="E48" s="233" t="s">
        <v>225</v>
      </c>
      <c r="F48" s="230">
        <f>24880301+779383+1499099</f>
        <v>27158783</v>
      </c>
      <c r="G48" s="230">
        <v>0</v>
      </c>
      <c r="H48" s="230">
        <v>0</v>
      </c>
      <c r="I48" s="230">
        <v>2497100</v>
      </c>
      <c r="J48" s="231">
        <f t="shared" si="0"/>
        <v>29655883</v>
      </c>
      <c r="K48" s="616"/>
    </row>
    <row r="49" spans="1:11" ht="12.75" hidden="1">
      <c r="A49" s="228"/>
      <c r="B49" s="228"/>
      <c r="C49" s="229"/>
      <c r="D49" s="229" t="s">
        <v>155</v>
      </c>
      <c r="E49" s="229" t="s">
        <v>156</v>
      </c>
      <c r="F49" s="230">
        <v>0</v>
      </c>
      <c r="G49" s="230">
        <v>0</v>
      </c>
      <c r="H49" s="230">
        <v>0</v>
      </c>
      <c r="I49" s="230">
        <v>0</v>
      </c>
      <c r="J49" s="231">
        <f t="shared" si="0"/>
        <v>0</v>
      </c>
      <c r="K49" s="616"/>
    </row>
    <row r="50" spans="1:11" ht="12.75" hidden="1">
      <c r="A50" s="228"/>
      <c r="B50" s="228"/>
      <c r="C50" s="229"/>
      <c r="D50" s="229" t="s">
        <v>157</v>
      </c>
      <c r="E50" s="229" t="s">
        <v>158</v>
      </c>
      <c r="F50" s="230">
        <v>0</v>
      </c>
      <c r="G50" s="230">
        <v>0</v>
      </c>
      <c r="H50" s="230">
        <v>0</v>
      </c>
      <c r="I50" s="230">
        <v>0</v>
      </c>
      <c r="J50" s="231">
        <f t="shared" si="0"/>
        <v>0</v>
      </c>
      <c r="K50" s="616"/>
    </row>
    <row r="51" spans="1:11" ht="12.75" hidden="1">
      <c r="A51" s="228"/>
      <c r="B51" s="228"/>
      <c r="C51" s="229"/>
      <c r="D51" s="229" t="s">
        <v>159</v>
      </c>
      <c r="E51" s="229" t="s">
        <v>160</v>
      </c>
      <c r="F51" s="230"/>
      <c r="G51" s="230">
        <v>0</v>
      </c>
      <c r="H51" s="230">
        <v>0</v>
      </c>
      <c r="I51" s="230">
        <v>0</v>
      </c>
      <c r="J51" s="231">
        <f t="shared" si="0"/>
        <v>0</v>
      </c>
      <c r="K51" s="616"/>
    </row>
    <row r="52" spans="1:11" ht="12.75" hidden="1">
      <c r="A52" s="228"/>
      <c r="B52" s="228"/>
      <c r="C52" s="229"/>
      <c r="D52" s="229" t="s">
        <v>161</v>
      </c>
      <c r="E52" s="229" t="s">
        <v>162</v>
      </c>
      <c r="F52" s="230">
        <v>0</v>
      </c>
      <c r="G52" s="230">
        <v>0</v>
      </c>
      <c r="H52" s="230">
        <v>0</v>
      </c>
      <c r="I52" s="230">
        <v>0</v>
      </c>
      <c r="J52" s="231">
        <f t="shared" si="0"/>
        <v>0</v>
      </c>
      <c r="K52" s="616"/>
    </row>
    <row r="53" spans="1:11" ht="12.75" hidden="1">
      <c r="A53" s="228"/>
      <c r="B53" s="228"/>
      <c r="C53" s="229"/>
      <c r="D53" s="229" t="s">
        <v>163</v>
      </c>
      <c r="E53" s="229" t="s">
        <v>164</v>
      </c>
      <c r="F53" s="230">
        <v>0</v>
      </c>
      <c r="G53" s="230">
        <v>0</v>
      </c>
      <c r="H53" s="230">
        <v>0</v>
      </c>
      <c r="I53" s="230">
        <v>0</v>
      </c>
      <c r="J53" s="231">
        <f t="shared" si="0"/>
        <v>0</v>
      </c>
      <c r="K53" s="616"/>
    </row>
    <row r="54" spans="1:11" ht="12.75" hidden="1">
      <c r="A54" s="228"/>
      <c r="B54" s="228"/>
      <c r="C54" s="229"/>
      <c r="D54" s="229" t="s">
        <v>165</v>
      </c>
      <c r="E54" s="229" t="s">
        <v>166</v>
      </c>
      <c r="F54" s="230">
        <v>0</v>
      </c>
      <c r="G54" s="230">
        <v>0</v>
      </c>
      <c r="H54" s="230">
        <v>0</v>
      </c>
      <c r="I54" s="230">
        <v>0</v>
      </c>
      <c r="J54" s="231">
        <f t="shared" si="0"/>
        <v>0</v>
      </c>
      <c r="K54" s="616"/>
    </row>
    <row r="55" spans="1:11" ht="12.75" hidden="1">
      <c r="A55" s="228"/>
      <c r="B55" s="228"/>
      <c r="C55" s="229"/>
      <c r="D55" s="229" t="s">
        <v>167</v>
      </c>
      <c r="E55" s="229" t="s">
        <v>168</v>
      </c>
      <c r="F55" s="230">
        <v>0</v>
      </c>
      <c r="G55" s="230">
        <v>0</v>
      </c>
      <c r="H55" s="230">
        <v>0</v>
      </c>
      <c r="I55" s="230">
        <v>0</v>
      </c>
      <c r="J55" s="231">
        <f t="shared" si="0"/>
        <v>0</v>
      </c>
      <c r="K55" s="616"/>
    </row>
    <row r="56" spans="1:11" ht="12.75">
      <c r="A56" s="228"/>
      <c r="B56" s="228"/>
      <c r="C56" s="229"/>
      <c r="D56" s="229"/>
      <c r="E56" s="229" t="s">
        <v>160</v>
      </c>
      <c r="F56" s="230">
        <f>289870-39360+138684+900000</f>
        <v>1289194</v>
      </c>
      <c r="G56" s="230">
        <v>0</v>
      </c>
      <c r="H56" s="230">
        <v>0</v>
      </c>
      <c r="I56" s="230">
        <v>0</v>
      </c>
      <c r="J56" s="231">
        <f>SUM(F56:I56)</f>
        <v>1289194</v>
      </c>
      <c r="K56" s="616"/>
    </row>
    <row r="57" spans="1:11" ht="12.75">
      <c r="A57" s="228"/>
      <c r="B57" s="228"/>
      <c r="C57" s="229"/>
      <c r="D57" s="229"/>
      <c r="E57" s="229" t="s">
        <v>164</v>
      </c>
      <c r="F57" s="230">
        <f>16000000+1331031+401078+764084+50000+15055017</f>
        <v>33601210</v>
      </c>
      <c r="G57" s="230">
        <v>0</v>
      </c>
      <c r="H57" s="230">
        <v>0</v>
      </c>
      <c r="I57" s="230">
        <v>0</v>
      </c>
      <c r="J57" s="231">
        <f t="shared" si="0"/>
        <v>33601210</v>
      </c>
      <c r="K57" s="616"/>
    </row>
    <row r="58" spans="1:11" s="219" customFormat="1" ht="12.75">
      <c r="A58" s="217" t="s">
        <v>234</v>
      </c>
      <c r="B58" s="983" t="s">
        <v>235</v>
      </c>
      <c r="C58" s="983"/>
      <c r="D58" s="983"/>
      <c r="E58" s="983"/>
      <c r="F58" s="218">
        <f>SUM(F59+F60+F61+F62+F65+F76)</f>
        <v>256215142</v>
      </c>
      <c r="G58" s="218">
        <f>SUM(G59+G60+G61+G62+G65+G76)</f>
        <v>0</v>
      </c>
      <c r="H58" s="218">
        <f>SUM(H59+H60+H61+H62+H65+H76)</f>
        <v>0</v>
      </c>
      <c r="I58" s="218">
        <f>SUM(I59+I60+I61+I62+I65+I76)</f>
        <v>0</v>
      </c>
      <c r="J58" s="218">
        <f t="shared" si="0"/>
        <v>256215142</v>
      </c>
      <c r="K58" s="613"/>
    </row>
    <row r="59" spans="1:11" ht="12.75">
      <c r="A59" s="220"/>
      <c r="B59" s="220" t="s">
        <v>236</v>
      </c>
      <c r="C59" s="975" t="s">
        <v>237</v>
      </c>
      <c r="D59" s="975"/>
      <c r="E59" s="975"/>
      <c r="F59" s="221">
        <v>50000</v>
      </c>
      <c r="G59" s="221">
        <v>0</v>
      </c>
      <c r="H59" s="221">
        <v>0</v>
      </c>
      <c r="I59" s="221">
        <v>0</v>
      </c>
      <c r="J59" s="222">
        <f t="shared" si="0"/>
        <v>50000</v>
      </c>
      <c r="K59" s="614"/>
    </row>
    <row r="60" spans="1:11" ht="12.75">
      <c r="A60" s="220"/>
      <c r="B60" s="220" t="s">
        <v>238</v>
      </c>
      <c r="C60" s="975" t="s">
        <v>239</v>
      </c>
      <c r="D60" s="975"/>
      <c r="E60" s="975"/>
      <c r="F60" s="221">
        <v>0</v>
      </c>
      <c r="G60" s="221">
        <v>0</v>
      </c>
      <c r="H60" s="221">
        <v>0</v>
      </c>
      <c r="I60" s="221">
        <v>0</v>
      </c>
      <c r="J60" s="222">
        <f t="shared" si="0"/>
        <v>0</v>
      </c>
      <c r="K60" s="614"/>
    </row>
    <row r="61" spans="1:11" ht="12.75">
      <c r="A61" s="220"/>
      <c r="B61" s="220" t="s">
        <v>240</v>
      </c>
      <c r="C61" s="975" t="s">
        <v>241</v>
      </c>
      <c r="D61" s="975"/>
      <c r="E61" s="975"/>
      <c r="F61" s="221">
        <v>0</v>
      </c>
      <c r="G61" s="221">
        <v>0</v>
      </c>
      <c r="H61" s="221">
        <v>0</v>
      </c>
      <c r="I61" s="221">
        <v>0</v>
      </c>
      <c r="J61" s="222">
        <f t="shared" si="0"/>
        <v>0</v>
      </c>
      <c r="K61" s="614"/>
    </row>
    <row r="62" spans="1:11" ht="12.75">
      <c r="A62" s="220"/>
      <c r="B62" s="220" t="s">
        <v>242</v>
      </c>
      <c r="C62" s="975" t="s">
        <v>243</v>
      </c>
      <c r="D62" s="975"/>
      <c r="E62" s="975"/>
      <c r="F62" s="221">
        <f>SUM(F63:F64)</f>
        <v>38930000</v>
      </c>
      <c r="G62" s="221">
        <f>SUM(G63:G64)</f>
        <v>0</v>
      </c>
      <c r="H62" s="221">
        <v>0</v>
      </c>
      <c r="I62" s="221">
        <v>0</v>
      </c>
      <c r="J62" s="222">
        <f t="shared" si="0"/>
        <v>38930000</v>
      </c>
      <c r="K62" s="614"/>
    </row>
    <row r="63" spans="1:11" ht="12.75">
      <c r="A63" s="228"/>
      <c r="B63" s="228"/>
      <c r="C63" s="229"/>
      <c r="D63" s="229"/>
      <c r="E63" s="229" t="s">
        <v>244</v>
      </c>
      <c r="F63" s="230">
        <v>38000000</v>
      </c>
      <c r="G63" s="230">
        <v>0</v>
      </c>
      <c r="H63" s="230">
        <v>0</v>
      </c>
      <c r="I63" s="230">
        <v>0</v>
      </c>
      <c r="J63" s="231">
        <f t="shared" si="0"/>
        <v>38000000</v>
      </c>
      <c r="K63" s="616"/>
    </row>
    <row r="64" spans="1:11" ht="12.75">
      <c r="A64" s="228"/>
      <c r="B64" s="228"/>
      <c r="C64" s="229"/>
      <c r="D64" s="229"/>
      <c r="E64" s="229" t="s">
        <v>245</v>
      </c>
      <c r="F64" s="230">
        <v>930000</v>
      </c>
      <c r="G64" s="230">
        <v>0</v>
      </c>
      <c r="H64" s="230">
        <v>0</v>
      </c>
      <c r="I64" s="230">
        <v>0</v>
      </c>
      <c r="J64" s="231">
        <f t="shared" si="0"/>
        <v>930000</v>
      </c>
      <c r="K64" s="616"/>
    </row>
    <row r="65" spans="1:11" ht="12.75">
      <c r="A65" s="220"/>
      <c r="B65" s="220" t="s">
        <v>246</v>
      </c>
      <c r="C65" s="975" t="s">
        <v>247</v>
      </c>
      <c r="D65" s="975"/>
      <c r="E65" s="975"/>
      <c r="F65" s="221">
        <f>SUM(F66+F69+F71+F72+F74)</f>
        <v>216635142</v>
      </c>
      <c r="G65" s="221">
        <f>SUM(G66+G69+G71+G72+G74)</f>
        <v>0</v>
      </c>
      <c r="H65" s="221">
        <v>0</v>
      </c>
      <c r="I65" s="221">
        <v>0</v>
      </c>
      <c r="J65" s="222">
        <f t="shared" si="0"/>
        <v>216635142</v>
      </c>
      <c r="K65" s="614"/>
    </row>
    <row r="66" spans="1:11" ht="12.75">
      <c r="A66" s="223"/>
      <c r="B66" s="223"/>
      <c r="C66" s="223" t="s">
        <v>248</v>
      </c>
      <c r="D66" s="223" t="s">
        <v>249</v>
      </c>
      <c r="E66" s="223"/>
      <c r="F66" s="224">
        <f>SUM(F67:F68)</f>
        <v>194635142</v>
      </c>
      <c r="G66" s="224">
        <f>SUM(G67:G68)</f>
        <v>0</v>
      </c>
      <c r="H66" s="224">
        <v>0</v>
      </c>
      <c r="I66" s="224">
        <v>0</v>
      </c>
      <c r="J66" s="225">
        <f t="shared" si="0"/>
        <v>194635142</v>
      </c>
      <c r="K66" s="615"/>
    </row>
    <row r="67" spans="1:11" ht="12.75">
      <c r="A67" s="228"/>
      <c r="B67" s="228"/>
      <c r="C67" s="229"/>
      <c r="D67" s="229"/>
      <c r="E67" s="229" t="s">
        <v>679</v>
      </c>
      <c r="F67" s="230">
        <f>193000000+432632+127765+874745</f>
        <v>194435142</v>
      </c>
      <c r="G67" s="230">
        <v>0</v>
      </c>
      <c r="H67" s="230">
        <v>0</v>
      </c>
      <c r="I67" s="230">
        <v>0</v>
      </c>
      <c r="J67" s="231">
        <f t="shared" si="0"/>
        <v>194435142</v>
      </c>
      <c r="K67" s="616"/>
    </row>
    <row r="68" spans="1:11" ht="12.75">
      <c r="A68" s="228"/>
      <c r="B68" s="228"/>
      <c r="C68" s="229"/>
      <c r="D68" s="229"/>
      <c r="E68" s="229" t="s">
        <v>680</v>
      </c>
      <c r="F68" s="230">
        <v>200000</v>
      </c>
      <c r="G68" s="230">
        <v>0</v>
      </c>
      <c r="H68" s="230">
        <v>0</v>
      </c>
      <c r="I68" s="230">
        <v>0</v>
      </c>
      <c r="J68" s="231">
        <f t="shared" si="0"/>
        <v>200000</v>
      </c>
      <c r="K68" s="616"/>
    </row>
    <row r="69" spans="1:11" ht="12.75">
      <c r="A69" s="223"/>
      <c r="B69" s="223"/>
      <c r="C69" s="223" t="s">
        <v>250</v>
      </c>
      <c r="D69" s="223" t="s">
        <v>597</v>
      </c>
      <c r="E69" s="223"/>
      <c r="F69" s="224">
        <f>SUM(F70)</f>
        <v>0</v>
      </c>
      <c r="G69" s="224">
        <f>SUM(G70)</f>
        <v>0</v>
      </c>
      <c r="H69" s="224">
        <f>SUM(H70)</f>
        <v>0</v>
      </c>
      <c r="I69" s="224">
        <f>SUM(I70)</f>
        <v>0</v>
      </c>
      <c r="J69" s="225">
        <f t="shared" si="0"/>
        <v>0</v>
      </c>
      <c r="K69" s="615"/>
    </row>
    <row r="70" spans="1:11" ht="12.75" hidden="1">
      <c r="A70" s="223"/>
      <c r="B70" s="223"/>
      <c r="C70" s="223"/>
      <c r="D70" s="223"/>
      <c r="E70" s="229" t="s">
        <v>598</v>
      </c>
      <c r="F70" s="224">
        <v>0</v>
      </c>
      <c r="G70" s="224">
        <v>0</v>
      </c>
      <c r="H70" s="224">
        <v>0</v>
      </c>
      <c r="I70" s="224">
        <v>0</v>
      </c>
      <c r="J70" s="225">
        <f t="shared" si="0"/>
        <v>0</v>
      </c>
      <c r="K70" s="615"/>
    </row>
    <row r="71" spans="1:11" ht="12.75">
      <c r="A71" s="223"/>
      <c r="B71" s="223"/>
      <c r="C71" s="223" t="s">
        <v>251</v>
      </c>
      <c r="D71" s="223" t="s">
        <v>252</v>
      </c>
      <c r="E71" s="223"/>
      <c r="F71" s="224">
        <v>0</v>
      </c>
      <c r="G71" s="224">
        <v>0</v>
      </c>
      <c r="H71" s="224">
        <v>0</v>
      </c>
      <c r="I71" s="224">
        <v>0</v>
      </c>
      <c r="J71" s="225">
        <f t="shared" si="0"/>
        <v>0</v>
      </c>
      <c r="K71" s="615"/>
    </row>
    <row r="72" spans="1:11" ht="12.75">
      <c r="A72" s="223"/>
      <c r="B72" s="223"/>
      <c r="C72" s="223" t="s">
        <v>253</v>
      </c>
      <c r="D72" s="223" t="s">
        <v>254</v>
      </c>
      <c r="E72" s="223"/>
      <c r="F72" s="224">
        <f>SUM(F73)</f>
        <v>22000000</v>
      </c>
      <c r="G72" s="224">
        <f>SUM(G73:G73)</f>
        <v>0</v>
      </c>
      <c r="H72" s="224">
        <v>0</v>
      </c>
      <c r="I72" s="224">
        <v>0</v>
      </c>
      <c r="J72" s="225">
        <f t="shared" si="0"/>
        <v>22000000</v>
      </c>
      <c r="K72" s="615"/>
    </row>
    <row r="73" spans="1:11" ht="12.75">
      <c r="A73" s="228"/>
      <c r="B73" s="228"/>
      <c r="C73" s="228"/>
      <c r="D73" s="229"/>
      <c r="E73" s="229" t="s">
        <v>681</v>
      </c>
      <c r="F73" s="230">
        <v>22000000</v>
      </c>
      <c r="G73" s="230">
        <v>0</v>
      </c>
      <c r="H73" s="230">
        <v>0</v>
      </c>
      <c r="I73" s="230">
        <v>0</v>
      </c>
      <c r="J73" s="231">
        <f t="shared" si="0"/>
        <v>22000000</v>
      </c>
      <c r="K73" s="616"/>
    </row>
    <row r="74" spans="1:11" ht="12.75">
      <c r="A74" s="223"/>
      <c r="B74" s="223"/>
      <c r="C74" s="223" t="s">
        <v>255</v>
      </c>
      <c r="D74" s="223" t="s">
        <v>256</v>
      </c>
      <c r="E74" s="223"/>
      <c r="F74" s="224">
        <f>SUM(F75:F75)</f>
        <v>0</v>
      </c>
      <c r="G74" s="224">
        <v>0</v>
      </c>
      <c r="H74" s="224">
        <v>0</v>
      </c>
      <c r="I74" s="224">
        <v>0</v>
      </c>
      <c r="J74" s="225">
        <f aca="true" t="shared" si="1" ref="J74:J137">SUM(F74:I74)</f>
        <v>0</v>
      </c>
      <c r="K74" s="615"/>
    </row>
    <row r="75" spans="1:11" ht="12.75" hidden="1">
      <c r="A75" s="228"/>
      <c r="B75" s="228"/>
      <c r="C75" s="228"/>
      <c r="D75" s="229"/>
      <c r="E75" s="229" t="s">
        <v>258</v>
      </c>
      <c r="F75" s="230">
        <v>0</v>
      </c>
      <c r="G75" s="230">
        <v>0</v>
      </c>
      <c r="H75" s="230">
        <v>0</v>
      </c>
      <c r="I75" s="230">
        <v>0</v>
      </c>
      <c r="J75" s="231">
        <f t="shared" si="1"/>
        <v>0</v>
      </c>
      <c r="K75" s="616"/>
    </row>
    <row r="76" spans="1:11" ht="12.75">
      <c r="A76" s="220"/>
      <c r="B76" s="220" t="s">
        <v>259</v>
      </c>
      <c r="C76" s="975" t="s">
        <v>260</v>
      </c>
      <c r="D76" s="975"/>
      <c r="E76" s="975"/>
      <c r="F76" s="221">
        <f>SUM(F77:F86)</f>
        <v>600000</v>
      </c>
      <c r="G76" s="221">
        <f>SUM(G77:G86)</f>
        <v>0</v>
      </c>
      <c r="H76" s="221">
        <f>SUM(H77:H86)</f>
        <v>0</v>
      </c>
      <c r="I76" s="221">
        <f>SUM(I77:I86)</f>
        <v>0</v>
      </c>
      <c r="J76" s="222">
        <f t="shared" si="1"/>
        <v>600000</v>
      </c>
      <c r="K76" s="614"/>
    </row>
    <row r="77" spans="1:11" ht="12.75" hidden="1">
      <c r="A77" s="234"/>
      <c r="B77" s="234"/>
      <c r="C77" s="234"/>
      <c r="D77" s="229"/>
      <c r="E77" s="229" t="s">
        <v>261</v>
      </c>
      <c r="F77" s="230">
        <v>0</v>
      </c>
      <c r="G77" s="230">
        <v>0</v>
      </c>
      <c r="H77" s="230">
        <v>0</v>
      </c>
      <c r="I77" s="230">
        <v>0</v>
      </c>
      <c r="J77" s="231">
        <f t="shared" si="1"/>
        <v>0</v>
      </c>
      <c r="K77" s="616"/>
    </row>
    <row r="78" spans="1:11" ht="12.75" hidden="1">
      <c r="A78" s="228"/>
      <c r="B78" s="228"/>
      <c r="C78" s="228"/>
      <c r="D78" s="229"/>
      <c r="E78" s="229" t="s">
        <v>262</v>
      </c>
      <c r="F78" s="230">
        <v>0</v>
      </c>
      <c r="G78" s="230"/>
      <c r="H78" s="230">
        <v>0</v>
      </c>
      <c r="I78" s="230">
        <v>0</v>
      </c>
      <c r="J78" s="231">
        <f t="shared" si="1"/>
        <v>0</v>
      </c>
      <c r="K78" s="616"/>
    </row>
    <row r="79" spans="1:11" ht="12.75" hidden="1">
      <c r="A79" s="234"/>
      <c r="B79" s="234"/>
      <c r="C79" s="234"/>
      <c r="D79" s="229"/>
      <c r="E79" s="229" t="s">
        <v>263</v>
      </c>
      <c r="F79" s="230">
        <v>0</v>
      </c>
      <c r="G79" s="230">
        <v>0</v>
      </c>
      <c r="H79" s="230">
        <v>0</v>
      </c>
      <c r="I79" s="230">
        <v>0</v>
      </c>
      <c r="J79" s="231">
        <f t="shared" si="1"/>
        <v>0</v>
      </c>
      <c r="K79" s="616"/>
    </row>
    <row r="80" spans="1:11" ht="12.75" customHeight="1">
      <c r="A80" s="234"/>
      <c r="B80" s="234"/>
      <c r="C80" s="234"/>
      <c r="D80" s="229"/>
      <c r="E80" s="229" t="s">
        <v>257</v>
      </c>
      <c r="F80" s="230">
        <v>350000</v>
      </c>
      <c r="G80" s="230">
        <v>0</v>
      </c>
      <c r="H80" s="230">
        <v>0</v>
      </c>
      <c r="I80" s="230">
        <v>0</v>
      </c>
      <c r="J80" s="231">
        <f t="shared" si="1"/>
        <v>350000</v>
      </c>
      <c r="K80" s="616"/>
    </row>
    <row r="81" spans="1:11" ht="0.75" customHeight="1" hidden="1">
      <c r="A81" s="234"/>
      <c r="B81" s="234"/>
      <c r="C81" s="234"/>
      <c r="D81" s="229"/>
      <c r="E81" s="229" t="s">
        <v>264</v>
      </c>
      <c r="F81" s="230"/>
      <c r="G81" s="230">
        <v>0</v>
      </c>
      <c r="H81" s="230">
        <v>0</v>
      </c>
      <c r="I81" s="230">
        <v>0</v>
      </c>
      <c r="J81" s="231">
        <f t="shared" si="1"/>
        <v>0</v>
      </c>
      <c r="K81" s="616"/>
    </row>
    <row r="82" spans="1:11" ht="12.75" hidden="1">
      <c r="A82" s="234"/>
      <c r="B82" s="234"/>
      <c r="C82" s="234"/>
      <c r="D82" s="229"/>
      <c r="E82" s="229" t="s">
        <v>265</v>
      </c>
      <c r="F82" s="230"/>
      <c r="G82" s="230">
        <v>0</v>
      </c>
      <c r="H82" s="230">
        <v>0</v>
      </c>
      <c r="I82" s="230">
        <v>0</v>
      </c>
      <c r="J82" s="231">
        <f t="shared" si="1"/>
        <v>0</v>
      </c>
      <c r="K82" s="616"/>
    </row>
    <row r="83" spans="1:11" ht="12.75" hidden="1">
      <c r="A83" s="234"/>
      <c r="B83" s="234"/>
      <c r="C83" s="234"/>
      <c r="D83" s="229"/>
      <c r="E83" s="229" t="s">
        <v>644</v>
      </c>
      <c r="F83" s="230"/>
      <c r="G83" s="230">
        <v>0</v>
      </c>
      <c r="H83" s="230">
        <v>0</v>
      </c>
      <c r="I83" s="230">
        <v>0</v>
      </c>
      <c r="J83" s="231">
        <f t="shared" si="1"/>
        <v>0</v>
      </c>
      <c r="K83" s="616"/>
    </row>
    <row r="84" spans="1:11" ht="30" customHeight="1" hidden="1">
      <c r="A84" s="228"/>
      <c r="B84" s="228"/>
      <c r="C84" s="228"/>
      <c r="D84" s="228"/>
      <c r="E84" s="235" t="s">
        <v>682</v>
      </c>
      <c r="F84" s="230"/>
      <c r="G84" s="230">
        <v>0</v>
      </c>
      <c r="H84" s="230">
        <v>0</v>
      </c>
      <c r="I84" s="230">
        <v>0</v>
      </c>
      <c r="J84" s="231">
        <f t="shared" si="1"/>
        <v>0</v>
      </c>
      <c r="K84" s="616"/>
    </row>
    <row r="85" spans="1:11" ht="12.75" hidden="1">
      <c r="A85" s="234"/>
      <c r="B85" s="234"/>
      <c r="C85" s="234"/>
      <c r="D85" s="234"/>
      <c r="E85" s="229" t="s">
        <v>266</v>
      </c>
      <c r="F85" s="230"/>
      <c r="G85" s="230">
        <v>0</v>
      </c>
      <c r="H85" s="230">
        <v>0</v>
      </c>
      <c r="I85" s="230">
        <v>0</v>
      </c>
      <c r="J85" s="231">
        <f t="shared" si="1"/>
        <v>0</v>
      </c>
      <c r="K85" s="616"/>
    </row>
    <row r="86" spans="1:11" ht="12.75">
      <c r="A86" s="228"/>
      <c r="B86" s="228"/>
      <c r="C86" s="228"/>
      <c r="D86" s="228"/>
      <c r="E86" s="233" t="s">
        <v>267</v>
      </c>
      <c r="F86" s="230">
        <v>250000</v>
      </c>
      <c r="G86" s="230">
        <v>0</v>
      </c>
      <c r="H86" s="230">
        <v>0</v>
      </c>
      <c r="I86" s="230">
        <v>0</v>
      </c>
      <c r="J86" s="231">
        <f t="shared" si="1"/>
        <v>250000</v>
      </c>
      <c r="K86" s="616"/>
    </row>
    <row r="87" spans="1:11" s="219" customFormat="1" ht="12.75">
      <c r="A87" s="217" t="s">
        <v>268</v>
      </c>
      <c r="B87" s="983" t="s">
        <v>269</v>
      </c>
      <c r="C87" s="983"/>
      <c r="D87" s="983"/>
      <c r="E87" s="983"/>
      <c r="F87" s="218">
        <f>SUM(F88+F89+F92+F94+F101+F102+F103+F104+F111+F119+F120)</f>
        <v>46711864</v>
      </c>
      <c r="G87" s="218">
        <f>SUM(G88+G89+G92+G94+G101+G102+G103+G104+G111+G119+G120)</f>
        <v>7049209</v>
      </c>
      <c r="H87" s="218">
        <f>SUM(H88+H89+H92+H94+H101+H102+H103+H104+H111+H119+H120)</f>
        <v>2850693</v>
      </c>
      <c r="I87" s="218">
        <f>SUM(I88+I89+I92+I94+I101+I102+I103+I104+I111+I119+I120)</f>
        <v>20519192</v>
      </c>
      <c r="J87" s="218">
        <f t="shared" si="1"/>
        <v>77130958</v>
      </c>
      <c r="K87" s="613"/>
    </row>
    <row r="88" spans="1:11" ht="12.75">
      <c r="A88" s="223"/>
      <c r="B88" s="223"/>
      <c r="C88" s="223" t="s">
        <v>270</v>
      </c>
      <c r="D88" s="223" t="s">
        <v>555</v>
      </c>
      <c r="E88" s="223"/>
      <c r="F88" s="224">
        <f>8000000+2794000+920000</f>
        <v>11714000</v>
      </c>
      <c r="G88" s="224">
        <v>0</v>
      </c>
      <c r="H88" s="224">
        <v>0</v>
      </c>
      <c r="I88" s="224">
        <v>0</v>
      </c>
      <c r="J88" s="225">
        <f t="shared" si="1"/>
        <v>11714000</v>
      </c>
      <c r="K88" s="615"/>
    </row>
    <row r="89" spans="1:11" ht="12.75">
      <c r="A89" s="223"/>
      <c r="B89" s="223"/>
      <c r="C89" s="223" t="s">
        <v>271</v>
      </c>
      <c r="D89" s="223" t="s">
        <v>343</v>
      </c>
      <c r="E89" s="223"/>
      <c r="F89" s="224">
        <f>13971380+540000+3110236</f>
        <v>17621616</v>
      </c>
      <c r="G89" s="224">
        <v>250000</v>
      </c>
      <c r="H89" s="224">
        <v>0</v>
      </c>
      <c r="I89" s="224">
        <f>3596300+1080000+8076772+300000+440000+160000+2112000+32790+808568+7356</f>
        <v>16613786</v>
      </c>
      <c r="J89" s="225">
        <f t="shared" si="1"/>
        <v>34485402</v>
      </c>
      <c r="K89" s="615"/>
    </row>
    <row r="90" spans="1:11" ht="12.75">
      <c r="A90" s="228"/>
      <c r="B90" s="228"/>
      <c r="C90" s="229" t="s">
        <v>2</v>
      </c>
      <c r="D90" s="229"/>
      <c r="E90" s="229" t="s">
        <v>272</v>
      </c>
      <c r="F90" s="236">
        <f>9471380+540000</f>
        <v>10011380</v>
      </c>
      <c r="G90" s="236">
        <v>0</v>
      </c>
      <c r="H90" s="230">
        <v>0</v>
      </c>
      <c r="I90" s="230">
        <f>990000+1080000</f>
        <v>2070000</v>
      </c>
      <c r="J90" s="231">
        <f t="shared" si="1"/>
        <v>12081380</v>
      </c>
      <c r="K90" s="616"/>
    </row>
    <row r="91" spans="1:11" ht="12.75" hidden="1">
      <c r="A91" s="228"/>
      <c r="B91" s="228"/>
      <c r="C91" s="229"/>
      <c r="D91" s="229"/>
      <c r="E91" s="229" t="s">
        <v>1012</v>
      </c>
      <c r="F91" s="230">
        <v>0</v>
      </c>
      <c r="G91" s="230">
        <v>0</v>
      </c>
      <c r="H91" s="230">
        <v>0</v>
      </c>
      <c r="I91" s="230">
        <v>0</v>
      </c>
      <c r="J91" s="231">
        <f t="shared" si="1"/>
        <v>0</v>
      </c>
      <c r="K91" s="616"/>
    </row>
    <row r="92" spans="1:11" ht="12.75">
      <c r="A92" s="223"/>
      <c r="B92" s="223"/>
      <c r="C92" s="223" t="s">
        <v>273</v>
      </c>
      <c r="D92" s="223" t="s">
        <v>274</v>
      </c>
      <c r="E92" s="223"/>
      <c r="F92" s="224">
        <v>3613803</v>
      </c>
      <c r="G92" s="224">
        <v>5516975</v>
      </c>
      <c r="H92" s="224">
        <v>0</v>
      </c>
      <c r="I92" s="224"/>
      <c r="J92" s="225">
        <f t="shared" si="1"/>
        <v>9130778</v>
      </c>
      <c r="K92" s="615"/>
    </row>
    <row r="93" spans="1:11" ht="12.75">
      <c r="A93" s="228"/>
      <c r="B93" s="228"/>
      <c r="C93" s="229" t="s">
        <v>2</v>
      </c>
      <c r="D93" s="229"/>
      <c r="E93" s="229" t="s">
        <v>7</v>
      </c>
      <c r="F93" s="230">
        <v>2532447</v>
      </c>
      <c r="G93" s="230">
        <v>1749167</v>
      </c>
      <c r="H93" s="230">
        <v>0</v>
      </c>
      <c r="I93" s="230">
        <v>0</v>
      </c>
      <c r="J93" s="231">
        <f t="shared" si="1"/>
        <v>4281614</v>
      </c>
      <c r="K93" s="616"/>
    </row>
    <row r="94" spans="1:11" ht="12.75">
      <c r="A94" s="223"/>
      <c r="B94" s="223"/>
      <c r="C94" s="223" t="s">
        <v>275</v>
      </c>
      <c r="D94" s="223" t="s">
        <v>276</v>
      </c>
      <c r="E94" s="223"/>
      <c r="F94" s="224">
        <f>721000+25000</f>
        <v>746000</v>
      </c>
      <c r="G94" s="224">
        <v>0</v>
      </c>
      <c r="H94" s="224">
        <v>0</v>
      </c>
      <c r="I94" s="224">
        <v>0</v>
      </c>
      <c r="J94" s="225">
        <f t="shared" si="1"/>
        <v>746000</v>
      </c>
      <c r="K94" s="615"/>
    </row>
    <row r="95" spans="1:11" ht="12.75" hidden="1">
      <c r="A95" s="228"/>
      <c r="B95" s="228"/>
      <c r="C95" s="229" t="s">
        <v>2</v>
      </c>
      <c r="D95" s="229"/>
      <c r="E95" s="229" t="s">
        <v>277</v>
      </c>
      <c r="F95" s="230">
        <v>0</v>
      </c>
      <c r="G95" s="230">
        <v>0</v>
      </c>
      <c r="H95" s="230">
        <v>0</v>
      </c>
      <c r="I95" s="230">
        <v>0</v>
      </c>
      <c r="J95" s="231">
        <f t="shared" si="1"/>
        <v>0</v>
      </c>
      <c r="K95" s="616"/>
    </row>
    <row r="96" spans="1:11" ht="12.75" hidden="1">
      <c r="A96" s="228"/>
      <c r="B96" s="228"/>
      <c r="C96" s="229"/>
      <c r="D96" s="229"/>
      <c r="E96" s="229" t="s">
        <v>683</v>
      </c>
      <c r="F96" s="230">
        <v>0</v>
      </c>
      <c r="G96" s="230">
        <v>0</v>
      </c>
      <c r="H96" s="230">
        <v>0</v>
      </c>
      <c r="I96" s="230">
        <v>0</v>
      </c>
      <c r="J96" s="231">
        <f t="shared" si="1"/>
        <v>0</v>
      </c>
      <c r="K96" s="616"/>
    </row>
    <row r="97" spans="1:11" ht="12" customHeight="1">
      <c r="A97" s="228"/>
      <c r="B97" s="228"/>
      <c r="C97" s="229" t="s">
        <v>2</v>
      </c>
      <c r="D97" s="229"/>
      <c r="E97" s="229" t="s">
        <v>684</v>
      </c>
      <c r="F97" s="230">
        <f>721000+25000</f>
        <v>746000</v>
      </c>
      <c r="G97" s="230">
        <v>0</v>
      </c>
      <c r="H97" s="230">
        <v>0</v>
      </c>
      <c r="I97" s="230">
        <v>0</v>
      </c>
      <c r="J97" s="231">
        <f t="shared" si="1"/>
        <v>746000</v>
      </c>
      <c r="K97" s="616"/>
    </row>
    <row r="98" spans="1:11" ht="12.75" hidden="1">
      <c r="A98" s="228"/>
      <c r="B98" s="228"/>
      <c r="C98" s="229"/>
      <c r="D98" s="229"/>
      <c r="E98" s="229" t="s">
        <v>685</v>
      </c>
      <c r="F98" s="230">
        <v>0</v>
      </c>
      <c r="G98" s="230">
        <v>0</v>
      </c>
      <c r="H98" s="230">
        <v>0</v>
      </c>
      <c r="I98" s="230">
        <v>0</v>
      </c>
      <c r="J98" s="231">
        <f t="shared" si="1"/>
        <v>0</v>
      </c>
      <c r="K98" s="616"/>
    </row>
    <row r="99" spans="1:11" ht="12.75" hidden="1">
      <c r="A99" s="228"/>
      <c r="B99" s="228"/>
      <c r="C99" s="229"/>
      <c r="D99" s="229"/>
      <c r="E99" s="229" t="s">
        <v>686</v>
      </c>
      <c r="F99" s="230">
        <v>0</v>
      </c>
      <c r="G99" s="230">
        <v>0</v>
      </c>
      <c r="H99" s="230">
        <v>0</v>
      </c>
      <c r="I99" s="230">
        <v>0</v>
      </c>
      <c r="J99" s="231">
        <f t="shared" si="1"/>
        <v>0</v>
      </c>
      <c r="K99" s="616"/>
    </row>
    <row r="100" spans="1:11" ht="12.75" hidden="1">
      <c r="A100" s="228"/>
      <c r="B100" s="228"/>
      <c r="C100" s="229"/>
      <c r="D100" s="229"/>
      <c r="E100" s="229" t="s">
        <v>556</v>
      </c>
      <c r="F100" s="230">
        <v>0</v>
      </c>
      <c r="G100" s="230">
        <v>0</v>
      </c>
      <c r="H100" s="230">
        <v>0</v>
      </c>
      <c r="I100" s="230">
        <v>0</v>
      </c>
      <c r="J100" s="231">
        <f t="shared" si="1"/>
        <v>0</v>
      </c>
      <c r="K100" s="616"/>
    </row>
    <row r="101" spans="1:11" ht="12.75">
      <c r="A101" s="223"/>
      <c r="B101" s="223"/>
      <c r="C101" s="223" t="s">
        <v>278</v>
      </c>
      <c r="D101" s="223" t="s">
        <v>279</v>
      </c>
      <c r="E101" s="223"/>
      <c r="F101" s="224">
        <v>5191313</v>
      </c>
      <c r="G101" s="224">
        <v>0</v>
      </c>
      <c r="H101" s="224">
        <f>851551+323495+81402</f>
        <v>1256448</v>
      </c>
      <c r="I101" s="224">
        <v>0</v>
      </c>
      <c r="J101" s="225">
        <f t="shared" si="1"/>
        <v>6447761</v>
      </c>
      <c r="K101" s="615"/>
    </row>
    <row r="102" spans="1:11" ht="12.75">
      <c r="A102" s="223"/>
      <c r="B102" s="223"/>
      <c r="C102" s="223" t="s">
        <v>280</v>
      </c>
      <c r="D102" s="223" t="s">
        <v>281</v>
      </c>
      <c r="E102" s="223"/>
      <c r="F102" s="224">
        <f>3474439+754380+248400+839764+6750</f>
        <v>5323733</v>
      </c>
      <c r="G102" s="224">
        <v>1282234</v>
      </c>
      <c r="H102" s="224">
        <f>229919+87348+21978</f>
        <v>339245</v>
      </c>
      <c r="I102" s="224">
        <f>703700+2180728+81000+118800+43200+567021+218313-7356</f>
        <v>3905406</v>
      </c>
      <c r="J102" s="225">
        <f t="shared" si="1"/>
        <v>10850618</v>
      </c>
      <c r="K102" s="615"/>
    </row>
    <row r="103" spans="1:11" ht="12.75">
      <c r="A103" s="223"/>
      <c r="B103" s="223"/>
      <c r="C103" s="223" t="s">
        <v>282</v>
      </c>
      <c r="D103" s="223" t="s">
        <v>283</v>
      </c>
      <c r="E103" s="223"/>
      <c r="F103" s="224">
        <f>30000+664721+78901+516434+128723+109120+216600</f>
        <v>1744499</v>
      </c>
      <c r="G103" s="224">
        <v>0</v>
      </c>
      <c r="H103" s="224">
        <f>1100000+155000</f>
        <v>1255000</v>
      </c>
      <c r="I103" s="224">
        <v>0</v>
      </c>
      <c r="J103" s="225">
        <f t="shared" si="1"/>
        <v>2999499</v>
      </c>
      <c r="K103" s="615"/>
    </row>
    <row r="104" spans="1:11" ht="12" customHeight="1">
      <c r="A104" s="223"/>
      <c r="B104" s="223"/>
      <c r="C104" s="223" t="s">
        <v>284</v>
      </c>
      <c r="D104" s="223" t="s">
        <v>599</v>
      </c>
      <c r="E104" s="223"/>
      <c r="F104" s="224">
        <f>SUM(F105,F108)</f>
        <v>500</v>
      </c>
      <c r="G104" s="224">
        <f>SUM(G105+G108)</f>
        <v>0</v>
      </c>
      <c r="H104" s="224">
        <f>SUM(H105+H108)</f>
        <v>0</v>
      </c>
      <c r="I104" s="224">
        <f>SUM(I105+I108)</f>
        <v>0</v>
      </c>
      <c r="J104" s="225">
        <f t="shared" si="1"/>
        <v>500</v>
      </c>
      <c r="K104" s="615"/>
    </row>
    <row r="105" spans="1:11" ht="12.75" hidden="1">
      <c r="A105" s="223"/>
      <c r="B105" s="223"/>
      <c r="C105" s="229"/>
      <c r="D105" s="986" t="s">
        <v>687</v>
      </c>
      <c r="E105" s="987"/>
      <c r="F105" s="230">
        <v>0</v>
      </c>
      <c r="G105" s="230">
        <v>0</v>
      </c>
      <c r="H105" s="230">
        <v>0</v>
      </c>
      <c r="I105" s="230">
        <v>0</v>
      </c>
      <c r="J105" s="231">
        <f t="shared" si="1"/>
        <v>0</v>
      </c>
      <c r="K105" s="616"/>
    </row>
    <row r="106" spans="1:11" ht="12.75" hidden="1">
      <c r="A106" s="223"/>
      <c r="B106" s="223"/>
      <c r="C106" s="223" t="s">
        <v>2</v>
      </c>
      <c r="D106" s="223"/>
      <c r="E106" s="229" t="s">
        <v>7</v>
      </c>
      <c r="F106" s="230">
        <v>0</v>
      </c>
      <c r="G106" s="230">
        <v>0</v>
      </c>
      <c r="H106" s="230">
        <v>0</v>
      </c>
      <c r="I106" s="230">
        <v>0</v>
      </c>
      <c r="J106" s="231">
        <f t="shared" si="1"/>
        <v>0</v>
      </c>
      <c r="K106" s="616"/>
    </row>
    <row r="107" spans="1:11" ht="12.75" hidden="1">
      <c r="A107" s="223"/>
      <c r="B107" s="223"/>
      <c r="C107" s="223"/>
      <c r="D107" s="223"/>
      <c r="E107" s="229" t="s">
        <v>688</v>
      </c>
      <c r="F107" s="230">
        <v>0</v>
      </c>
      <c r="G107" s="230">
        <v>0</v>
      </c>
      <c r="H107" s="230">
        <v>0</v>
      </c>
      <c r="I107" s="230">
        <v>0</v>
      </c>
      <c r="J107" s="231">
        <f t="shared" si="1"/>
        <v>0</v>
      </c>
      <c r="K107" s="616"/>
    </row>
    <row r="108" spans="1:11" ht="12.75">
      <c r="A108" s="223"/>
      <c r="B108" s="223"/>
      <c r="C108" s="223" t="s">
        <v>2</v>
      </c>
      <c r="D108" s="986" t="s">
        <v>601</v>
      </c>
      <c r="E108" s="987"/>
      <c r="F108" s="230">
        <v>500</v>
      </c>
      <c r="G108" s="230">
        <v>0</v>
      </c>
      <c r="H108" s="230">
        <v>0</v>
      </c>
      <c r="I108" s="230">
        <v>0</v>
      </c>
      <c r="J108" s="231">
        <f t="shared" si="1"/>
        <v>500</v>
      </c>
      <c r="K108" s="616"/>
    </row>
    <row r="109" spans="1:11" ht="12.75" hidden="1">
      <c r="A109" s="223"/>
      <c r="B109" s="223"/>
      <c r="C109" s="223"/>
      <c r="D109" s="223"/>
      <c r="E109" s="229" t="s">
        <v>7</v>
      </c>
      <c r="F109" s="230">
        <v>0</v>
      </c>
      <c r="G109" s="230">
        <v>0</v>
      </c>
      <c r="H109" s="230">
        <v>0</v>
      </c>
      <c r="I109" s="230">
        <v>0</v>
      </c>
      <c r="J109" s="231">
        <f t="shared" si="1"/>
        <v>0</v>
      </c>
      <c r="K109" s="616"/>
    </row>
    <row r="110" spans="1:11" ht="12.75" hidden="1">
      <c r="A110" s="223"/>
      <c r="B110" s="223"/>
      <c r="C110" s="223"/>
      <c r="D110" s="223"/>
      <c r="E110" s="229" t="s">
        <v>557</v>
      </c>
      <c r="F110" s="230">
        <v>0</v>
      </c>
      <c r="G110" s="230">
        <v>0</v>
      </c>
      <c r="H110" s="230">
        <v>0</v>
      </c>
      <c r="I110" s="230">
        <v>0</v>
      </c>
      <c r="J110" s="231">
        <f t="shared" si="1"/>
        <v>0</v>
      </c>
      <c r="K110" s="616"/>
    </row>
    <row r="111" spans="1:11" ht="12.75">
      <c r="A111" s="223"/>
      <c r="B111" s="223"/>
      <c r="C111" s="223" t="s">
        <v>285</v>
      </c>
      <c r="D111" s="223" t="s">
        <v>604</v>
      </c>
      <c r="E111" s="223"/>
      <c r="F111" s="224">
        <f>SUM(F112:F113)</f>
        <v>0</v>
      </c>
      <c r="G111" s="224">
        <f>SUM(G112:G113)</f>
        <v>0</v>
      </c>
      <c r="H111" s="224">
        <f>SUM(H112:H113)</f>
        <v>0</v>
      </c>
      <c r="I111" s="224">
        <f>SUM(I112:I113)</f>
        <v>0</v>
      </c>
      <c r="J111" s="225">
        <f t="shared" si="1"/>
        <v>0</v>
      </c>
      <c r="K111" s="615"/>
    </row>
    <row r="112" spans="1:11" ht="12.75" hidden="1">
      <c r="A112" s="223"/>
      <c r="B112" s="223"/>
      <c r="C112" s="223"/>
      <c r="D112" s="986" t="s">
        <v>602</v>
      </c>
      <c r="E112" s="987"/>
      <c r="F112" s="224">
        <v>0</v>
      </c>
      <c r="G112" s="224">
        <v>0</v>
      </c>
      <c r="H112" s="224">
        <v>0</v>
      </c>
      <c r="I112" s="224">
        <v>0</v>
      </c>
      <c r="J112" s="225">
        <f t="shared" si="1"/>
        <v>0</v>
      </c>
      <c r="K112" s="615"/>
    </row>
    <row r="113" spans="1:11" ht="12.75" hidden="1">
      <c r="A113" s="223"/>
      <c r="B113" s="223"/>
      <c r="C113" s="223"/>
      <c r="D113" s="986" t="s">
        <v>603</v>
      </c>
      <c r="E113" s="987"/>
      <c r="F113" s="224">
        <v>0</v>
      </c>
      <c r="G113" s="224">
        <v>0</v>
      </c>
      <c r="H113" s="224">
        <v>0</v>
      </c>
      <c r="I113" s="224">
        <v>0</v>
      </c>
      <c r="J113" s="225">
        <f t="shared" si="1"/>
        <v>0</v>
      </c>
      <c r="K113" s="615"/>
    </row>
    <row r="114" spans="1:11" ht="12.75" hidden="1">
      <c r="A114" s="223"/>
      <c r="B114" s="223"/>
      <c r="C114" s="223" t="s">
        <v>2</v>
      </c>
      <c r="D114" s="223"/>
      <c r="E114" s="229" t="s">
        <v>605</v>
      </c>
      <c r="F114" s="224">
        <v>0</v>
      </c>
      <c r="G114" s="224">
        <v>0</v>
      </c>
      <c r="H114" s="224">
        <v>0</v>
      </c>
      <c r="I114" s="224">
        <v>0</v>
      </c>
      <c r="J114" s="225">
        <f t="shared" si="1"/>
        <v>0</v>
      </c>
      <c r="K114" s="615"/>
    </row>
    <row r="115" spans="1:11" ht="12.75" hidden="1">
      <c r="A115" s="223"/>
      <c r="B115" s="223"/>
      <c r="C115" s="223"/>
      <c r="D115" s="223"/>
      <c r="E115" s="229" t="s">
        <v>600</v>
      </c>
      <c r="F115" s="224">
        <v>0</v>
      </c>
      <c r="G115" s="224">
        <v>0</v>
      </c>
      <c r="H115" s="224">
        <v>0</v>
      </c>
      <c r="I115" s="224">
        <v>0</v>
      </c>
      <c r="J115" s="225">
        <f t="shared" si="1"/>
        <v>0</v>
      </c>
      <c r="K115" s="615"/>
    </row>
    <row r="116" spans="1:11" ht="12.75" hidden="1">
      <c r="A116" s="223"/>
      <c r="B116" s="223"/>
      <c r="C116" s="223"/>
      <c r="D116" s="223"/>
      <c r="E116" s="229" t="s">
        <v>606</v>
      </c>
      <c r="F116" s="224">
        <v>0</v>
      </c>
      <c r="G116" s="224">
        <v>0</v>
      </c>
      <c r="H116" s="224">
        <v>0</v>
      </c>
      <c r="I116" s="224">
        <v>0</v>
      </c>
      <c r="J116" s="225">
        <f t="shared" si="1"/>
        <v>0</v>
      </c>
      <c r="K116" s="615"/>
    </row>
    <row r="117" spans="1:11" ht="12.75" hidden="1">
      <c r="A117" s="223"/>
      <c r="B117" s="223"/>
      <c r="C117" s="223"/>
      <c r="D117" s="223"/>
      <c r="E117" s="229" t="s">
        <v>607</v>
      </c>
      <c r="F117" s="224">
        <v>0</v>
      </c>
      <c r="G117" s="224">
        <v>0</v>
      </c>
      <c r="H117" s="224">
        <v>0</v>
      </c>
      <c r="I117" s="224">
        <v>0</v>
      </c>
      <c r="J117" s="225">
        <f t="shared" si="1"/>
        <v>0</v>
      </c>
      <c r="K117" s="615"/>
    </row>
    <row r="118" spans="1:11" ht="12.75" hidden="1">
      <c r="A118" s="223"/>
      <c r="B118" s="223"/>
      <c r="C118" s="223"/>
      <c r="D118" s="223"/>
      <c r="E118" s="229" t="s">
        <v>608</v>
      </c>
      <c r="F118" s="224">
        <v>0</v>
      </c>
      <c r="G118" s="224">
        <v>0</v>
      </c>
      <c r="H118" s="224">
        <v>0</v>
      </c>
      <c r="I118" s="224">
        <v>0</v>
      </c>
      <c r="J118" s="225">
        <f t="shared" si="1"/>
        <v>0</v>
      </c>
      <c r="K118" s="615"/>
    </row>
    <row r="119" spans="1:11" ht="12.75">
      <c r="A119" s="223"/>
      <c r="B119" s="223"/>
      <c r="C119" s="223" t="s">
        <v>286</v>
      </c>
      <c r="D119" s="223" t="s">
        <v>558</v>
      </c>
      <c r="E119" s="223"/>
      <c r="F119" s="224">
        <v>0</v>
      </c>
      <c r="G119" s="224">
        <v>0</v>
      </c>
      <c r="H119" s="224">
        <v>0</v>
      </c>
      <c r="I119" s="224">
        <v>0</v>
      </c>
      <c r="J119" s="225">
        <f t="shared" si="1"/>
        <v>0</v>
      </c>
      <c r="K119" s="615"/>
    </row>
    <row r="120" spans="1:11" ht="22.5" customHeight="1">
      <c r="A120" s="223"/>
      <c r="B120" s="223"/>
      <c r="C120" s="870" t="s">
        <v>559</v>
      </c>
      <c r="D120" s="985" t="s">
        <v>560</v>
      </c>
      <c r="E120" s="985"/>
      <c r="F120" s="970">
        <f>12081400-233171+10464000-22252229+696400</f>
        <v>756400</v>
      </c>
      <c r="G120" s="970">
        <v>0</v>
      </c>
      <c r="H120" s="970">
        <v>0</v>
      </c>
      <c r="I120" s="970">
        <v>0</v>
      </c>
      <c r="J120" s="971">
        <f t="shared" si="1"/>
        <v>756400</v>
      </c>
      <c r="K120" s="615"/>
    </row>
    <row r="121" spans="1:11" ht="45.75" customHeight="1" hidden="1">
      <c r="A121" s="227"/>
      <c r="B121" s="227"/>
      <c r="C121" s="237" t="s">
        <v>2</v>
      </c>
      <c r="D121" s="235" t="s">
        <v>451</v>
      </c>
      <c r="E121" s="235" t="s">
        <v>582</v>
      </c>
      <c r="F121" s="230">
        <v>0</v>
      </c>
      <c r="G121" s="230">
        <v>0</v>
      </c>
      <c r="H121" s="230">
        <v>0</v>
      </c>
      <c r="I121" s="230">
        <v>0</v>
      </c>
      <c r="J121" s="231">
        <f t="shared" si="1"/>
        <v>0</v>
      </c>
      <c r="K121" s="616"/>
    </row>
    <row r="122" spans="1:11" ht="13.5" customHeight="1" hidden="1">
      <c r="A122" s="228"/>
      <c r="B122" s="228"/>
      <c r="C122" s="228"/>
      <c r="D122" s="229" t="s">
        <v>451</v>
      </c>
      <c r="E122" s="238" t="s">
        <v>609</v>
      </c>
      <c r="F122" s="230"/>
      <c r="G122" s="230">
        <v>0</v>
      </c>
      <c r="H122" s="230">
        <v>0</v>
      </c>
      <c r="I122" s="230">
        <v>0</v>
      </c>
      <c r="J122" s="231">
        <f t="shared" si="1"/>
        <v>0</v>
      </c>
      <c r="K122" s="616"/>
    </row>
    <row r="123" spans="1:11" s="219" customFormat="1" ht="12.75">
      <c r="A123" s="217" t="s">
        <v>287</v>
      </c>
      <c r="B123" s="983" t="s">
        <v>288</v>
      </c>
      <c r="C123" s="983"/>
      <c r="D123" s="983"/>
      <c r="E123" s="983"/>
      <c r="F123" s="218">
        <f>SUM(F124+F126+F128+F129+F130)</f>
        <v>41978784</v>
      </c>
      <c r="G123" s="218">
        <f>SUM(G124+G126+G128+G129+G130)</f>
        <v>0</v>
      </c>
      <c r="H123" s="218">
        <f>SUM(H124+H126+H128+H129+H130)</f>
        <v>0</v>
      </c>
      <c r="I123" s="218">
        <f>SUM(I124+I126+I128+I129+I130)</f>
        <v>0</v>
      </c>
      <c r="J123" s="218">
        <f t="shared" si="1"/>
        <v>41978784</v>
      </c>
      <c r="K123" s="613"/>
    </row>
    <row r="124" spans="1:11" ht="12.75">
      <c r="A124" s="220"/>
      <c r="B124" s="220" t="s">
        <v>289</v>
      </c>
      <c r="C124" s="975" t="s">
        <v>344</v>
      </c>
      <c r="D124" s="975"/>
      <c r="E124" s="975"/>
      <c r="F124" s="221">
        <v>0</v>
      </c>
      <c r="G124" s="221">
        <v>0</v>
      </c>
      <c r="H124" s="221">
        <v>0</v>
      </c>
      <c r="I124" s="221">
        <v>0</v>
      </c>
      <c r="J124" s="222">
        <f t="shared" si="1"/>
        <v>0</v>
      </c>
      <c r="K124" s="614"/>
    </row>
    <row r="125" spans="1:11" ht="12.75" hidden="1">
      <c r="A125" s="228"/>
      <c r="B125" s="228"/>
      <c r="C125" s="229" t="s">
        <v>2</v>
      </c>
      <c r="D125" s="229" t="s">
        <v>451</v>
      </c>
      <c r="E125" s="229" t="s">
        <v>660</v>
      </c>
      <c r="F125" s="230">
        <v>0</v>
      </c>
      <c r="G125" s="230">
        <v>0</v>
      </c>
      <c r="H125" s="230">
        <v>0</v>
      </c>
      <c r="I125" s="230">
        <v>0</v>
      </c>
      <c r="J125" s="231">
        <f t="shared" si="1"/>
        <v>0</v>
      </c>
      <c r="K125" s="616"/>
    </row>
    <row r="126" spans="1:11" ht="12.75">
      <c r="A126" s="220"/>
      <c r="B126" s="220" t="s">
        <v>290</v>
      </c>
      <c r="C126" s="975" t="s">
        <v>291</v>
      </c>
      <c r="D126" s="975"/>
      <c r="E126" s="975"/>
      <c r="F126" s="221">
        <f>118591616+254000-540000-34818+1000000+233171+45000+27436735-68144196+140105-900000+88787+200000-8458000-2581377-1300460-13206949-9632064-1212766</f>
        <v>41978784</v>
      </c>
      <c r="G126" s="221">
        <v>0</v>
      </c>
      <c r="H126" s="221">
        <v>0</v>
      </c>
      <c r="I126" s="221">
        <v>0</v>
      </c>
      <c r="J126" s="222">
        <f t="shared" si="1"/>
        <v>41978784</v>
      </c>
      <c r="K126" s="614"/>
    </row>
    <row r="127" spans="1:11" ht="12.75" hidden="1">
      <c r="A127" s="228"/>
      <c r="B127" s="228"/>
      <c r="C127" s="229" t="s">
        <v>2</v>
      </c>
      <c r="D127" s="229" t="s">
        <v>451</v>
      </c>
      <c r="E127" s="229" t="s">
        <v>292</v>
      </c>
      <c r="F127" s="230">
        <v>0</v>
      </c>
      <c r="G127" s="230">
        <v>0</v>
      </c>
      <c r="H127" s="230">
        <v>0</v>
      </c>
      <c r="I127" s="230">
        <v>0</v>
      </c>
      <c r="J127" s="231">
        <f t="shared" si="1"/>
        <v>0</v>
      </c>
      <c r="K127" s="616"/>
    </row>
    <row r="128" spans="1:11" ht="12.75" hidden="1">
      <c r="A128" s="220"/>
      <c r="B128" s="220" t="s">
        <v>293</v>
      </c>
      <c r="C128" s="975" t="s">
        <v>294</v>
      </c>
      <c r="D128" s="975"/>
      <c r="E128" s="975"/>
      <c r="F128" s="221">
        <v>0</v>
      </c>
      <c r="G128" s="221">
        <v>0</v>
      </c>
      <c r="H128" s="221">
        <v>0</v>
      </c>
      <c r="I128" s="221">
        <v>0</v>
      </c>
      <c r="J128" s="222">
        <f t="shared" si="1"/>
        <v>0</v>
      </c>
      <c r="K128" s="614"/>
    </row>
    <row r="129" spans="1:11" ht="12.75" hidden="1">
      <c r="A129" s="220"/>
      <c r="B129" s="220" t="s">
        <v>295</v>
      </c>
      <c r="C129" s="975" t="s">
        <v>296</v>
      </c>
      <c r="D129" s="975"/>
      <c r="E129" s="975"/>
      <c r="F129" s="221">
        <v>0</v>
      </c>
      <c r="G129" s="221">
        <v>0</v>
      </c>
      <c r="H129" s="221">
        <v>0</v>
      </c>
      <c r="I129" s="221">
        <v>0</v>
      </c>
      <c r="J129" s="222">
        <f t="shared" si="1"/>
        <v>0</v>
      </c>
      <c r="K129" s="614"/>
    </row>
    <row r="130" spans="1:11" ht="12.75" hidden="1">
      <c r="A130" s="220"/>
      <c r="B130" s="220" t="s">
        <v>297</v>
      </c>
      <c r="C130" s="975" t="s">
        <v>298</v>
      </c>
      <c r="D130" s="975"/>
      <c r="E130" s="975"/>
      <c r="F130" s="221">
        <v>0</v>
      </c>
      <c r="G130" s="221">
        <v>0</v>
      </c>
      <c r="H130" s="221">
        <v>0</v>
      </c>
      <c r="I130" s="221">
        <v>0</v>
      </c>
      <c r="J130" s="222">
        <f t="shared" si="1"/>
        <v>0</v>
      </c>
      <c r="K130" s="614"/>
    </row>
    <row r="131" spans="1:11" s="219" customFormat="1" ht="12.75">
      <c r="A131" s="217" t="s">
        <v>299</v>
      </c>
      <c r="B131" s="983" t="s">
        <v>300</v>
      </c>
      <c r="C131" s="983"/>
      <c r="D131" s="983"/>
      <c r="E131" s="983"/>
      <c r="F131" s="218">
        <f>SUM(F132+F133+F134+F135+F145)</f>
        <v>6019800</v>
      </c>
      <c r="G131" s="218">
        <f>SUM(G132+G133+G134+G135+G145)</f>
        <v>0</v>
      </c>
      <c r="H131" s="218">
        <f>SUM(H132+H133+H134+H135+H145)</f>
        <v>0</v>
      </c>
      <c r="I131" s="218">
        <f>SUM(I132+I133+I134+I135+I145)</f>
        <v>0</v>
      </c>
      <c r="J131" s="218">
        <f t="shared" si="1"/>
        <v>6019800</v>
      </c>
      <c r="K131" s="613"/>
    </row>
    <row r="132" spans="1:11" ht="12.75" hidden="1">
      <c r="A132" s="220"/>
      <c r="B132" s="220" t="s">
        <v>301</v>
      </c>
      <c r="C132" s="975" t="s">
        <v>689</v>
      </c>
      <c r="D132" s="975"/>
      <c r="E132" s="975"/>
      <c r="F132" s="221">
        <v>0</v>
      </c>
      <c r="G132" s="221">
        <v>0</v>
      </c>
      <c r="H132" s="221">
        <v>0</v>
      </c>
      <c r="I132" s="221">
        <v>0</v>
      </c>
      <c r="J132" s="222">
        <f t="shared" si="1"/>
        <v>0</v>
      </c>
      <c r="K132" s="614"/>
    </row>
    <row r="133" spans="1:11" ht="12.75" hidden="1">
      <c r="A133" s="220"/>
      <c r="B133" s="220" t="s">
        <v>302</v>
      </c>
      <c r="C133" s="975" t="s">
        <v>690</v>
      </c>
      <c r="D133" s="975"/>
      <c r="E133" s="975"/>
      <c r="F133" s="221">
        <v>0</v>
      </c>
      <c r="G133" s="221">
        <v>0</v>
      </c>
      <c r="H133" s="221">
        <v>0</v>
      </c>
      <c r="I133" s="221">
        <v>0</v>
      </c>
      <c r="J133" s="222">
        <f t="shared" si="1"/>
        <v>0</v>
      </c>
      <c r="K133" s="614"/>
    </row>
    <row r="134" spans="1:11" ht="26.25" customHeight="1" hidden="1">
      <c r="A134" s="220"/>
      <c r="B134" s="220" t="s">
        <v>304</v>
      </c>
      <c r="C134" s="984" t="s">
        <v>691</v>
      </c>
      <c r="D134" s="984"/>
      <c r="E134" s="984"/>
      <c r="F134" s="221">
        <v>0</v>
      </c>
      <c r="G134" s="221">
        <v>0</v>
      </c>
      <c r="H134" s="221">
        <v>0</v>
      </c>
      <c r="I134" s="221">
        <v>0</v>
      </c>
      <c r="J134" s="222">
        <f t="shared" si="1"/>
        <v>0</v>
      </c>
      <c r="K134" s="614"/>
    </row>
    <row r="135" spans="1:11" ht="12.75" hidden="1">
      <c r="A135" s="220"/>
      <c r="B135" s="220" t="s">
        <v>561</v>
      </c>
      <c r="C135" s="975" t="s">
        <v>692</v>
      </c>
      <c r="D135" s="975"/>
      <c r="E135" s="975"/>
      <c r="F135" s="221">
        <f>SUM(F136:F144)</f>
        <v>0</v>
      </c>
      <c r="G135" s="221">
        <v>0</v>
      </c>
      <c r="H135" s="221">
        <v>0</v>
      </c>
      <c r="I135" s="221">
        <v>0</v>
      </c>
      <c r="J135" s="222">
        <f t="shared" si="1"/>
        <v>0</v>
      </c>
      <c r="K135" s="614"/>
    </row>
    <row r="136" spans="1:11" ht="12.75" hidden="1">
      <c r="A136" s="227"/>
      <c r="B136" s="227"/>
      <c r="C136" s="229" t="s">
        <v>2</v>
      </c>
      <c r="D136" s="229" t="s">
        <v>149</v>
      </c>
      <c r="E136" s="229" t="s">
        <v>176</v>
      </c>
      <c r="F136" s="230">
        <v>0</v>
      </c>
      <c r="G136" s="230">
        <v>0</v>
      </c>
      <c r="H136" s="230">
        <v>0</v>
      </c>
      <c r="I136" s="230">
        <v>0</v>
      </c>
      <c r="J136" s="231">
        <f t="shared" si="1"/>
        <v>0</v>
      </c>
      <c r="K136" s="616"/>
    </row>
    <row r="137" spans="1:11" ht="12.75" hidden="1">
      <c r="A137" s="227"/>
      <c r="B137" s="227"/>
      <c r="C137" s="229"/>
      <c r="D137" s="229" t="s">
        <v>151</v>
      </c>
      <c r="E137" s="229" t="s">
        <v>583</v>
      </c>
      <c r="F137" s="230">
        <v>0</v>
      </c>
      <c r="G137" s="230">
        <v>0</v>
      </c>
      <c r="H137" s="230">
        <v>0</v>
      </c>
      <c r="I137" s="230">
        <v>0</v>
      </c>
      <c r="J137" s="231">
        <f t="shared" si="1"/>
        <v>0</v>
      </c>
      <c r="K137" s="616"/>
    </row>
    <row r="138" spans="1:11" ht="12.75" hidden="1">
      <c r="A138" s="227"/>
      <c r="B138" s="227"/>
      <c r="C138" s="229"/>
      <c r="D138" s="229" t="s">
        <v>153</v>
      </c>
      <c r="E138" s="229" t="s">
        <v>177</v>
      </c>
      <c r="F138" s="230">
        <v>0</v>
      </c>
      <c r="G138" s="230">
        <v>0</v>
      </c>
      <c r="H138" s="230">
        <v>0</v>
      </c>
      <c r="I138" s="230">
        <v>0</v>
      </c>
      <c r="J138" s="231">
        <f aca="true" t="shared" si="2" ref="J138:J201">SUM(F138:I138)</f>
        <v>0</v>
      </c>
      <c r="K138" s="616"/>
    </row>
    <row r="139" spans="1:11" ht="12.75" hidden="1">
      <c r="A139" s="227"/>
      <c r="B139" s="227"/>
      <c r="C139" s="229"/>
      <c r="D139" s="229" t="s">
        <v>155</v>
      </c>
      <c r="E139" s="229" t="s">
        <v>178</v>
      </c>
      <c r="F139" s="230">
        <v>0</v>
      </c>
      <c r="G139" s="230">
        <v>0</v>
      </c>
      <c r="H139" s="230">
        <v>0</v>
      </c>
      <c r="I139" s="230">
        <v>0</v>
      </c>
      <c r="J139" s="231">
        <f t="shared" si="2"/>
        <v>0</v>
      </c>
      <c r="K139" s="616"/>
    </row>
    <row r="140" spans="1:11" ht="12.75" hidden="1">
      <c r="A140" s="227"/>
      <c r="B140" s="227"/>
      <c r="C140" s="229"/>
      <c r="D140" s="229" t="s">
        <v>157</v>
      </c>
      <c r="E140" s="229" t="s">
        <v>179</v>
      </c>
      <c r="F140" s="230">
        <v>0</v>
      </c>
      <c r="G140" s="230">
        <v>0</v>
      </c>
      <c r="H140" s="230">
        <v>0</v>
      </c>
      <c r="I140" s="230">
        <v>0</v>
      </c>
      <c r="J140" s="231">
        <f t="shared" si="2"/>
        <v>0</v>
      </c>
      <c r="K140" s="616"/>
    </row>
    <row r="141" spans="1:11" ht="12.75" hidden="1">
      <c r="A141" s="227"/>
      <c r="B141" s="227"/>
      <c r="C141" s="229"/>
      <c r="D141" s="229" t="s">
        <v>159</v>
      </c>
      <c r="E141" s="229" t="s">
        <v>545</v>
      </c>
      <c r="F141" s="230">
        <v>0</v>
      </c>
      <c r="G141" s="230">
        <v>0</v>
      </c>
      <c r="H141" s="230">
        <v>0</v>
      </c>
      <c r="I141" s="230">
        <v>0</v>
      </c>
      <c r="J141" s="231">
        <f t="shared" si="2"/>
        <v>0</v>
      </c>
      <c r="K141" s="616"/>
    </row>
    <row r="142" spans="1:11" ht="12.75" hidden="1">
      <c r="A142" s="227"/>
      <c r="B142" s="227"/>
      <c r="C142" s="229"/>
      <c r="D142" s="229" t="s">
        <v>161</v>
      </c>
      <c r="E142" s="229" t="s">
        <v>544</v>
      </c>
      <c r="F142" s="239">
        <v>0</v>
      </c>
      <c r="G142" s="230">
        <v>0</v>
      </c>
      <c r="H142" s="230">
        <v>0</v>
      </c>
      <c r="I142" s="230">
        <v>0</v>
      </c>
      <c r="J142" s="231">
        <f t="shared" si="2"/>
        <v>0</v>
      </c>
      <c r="K142" s="616"/>
    </row>
    <row r="143" spans="1:11" ht="12.75" hidden="1">
      <c r="A143" s="227"/>
      <c r="B143" s="227"/>
      <c r="C143" s="229"/>
      <c r="D143" s="229" t="s">
        <v>163</v>
      </c>
      <c r="E143" s="229" t="s">
        <v>182</v>
      </c>
      <c r="F143" s="230"/>
      <c r="G143" s="230">
        <v>0</v>
      </c>
      <c r="H143" s="230">
        <v>0</v>
      </c>
      <c r="I143" s="230">
        <v>0</v>
      </c>
      <c r="J143" s="231">
        <f t="shared" si="2"/>
        <v>0</v>
      </c>
      <c r="K143" s="616"/>
    </row>
    <row r="144" spans="1:11" ht="12.75" hidden="1">
      <c r="A144" s="227"/>
      <c r="B144" s="227"/>
      <c r="C144" s="229"/>
      <c r="D144" s="229" t="s">
        <v>165</v>
      </c>
      <c r="E144" s="229" t="s">
        <v>584</v>
      </c>
      <c r="F144" s="230">
        <v>0</v>
      </c>
      <c r="G144" s="230">
        <v>0</v>
      </c>
      <c r="H144" s="230">
        <v>0</v>
      </c>
      <c r="I144" s="230">
        <v>0</v>
      </c>
      <c r="J144" s="231">
        <f t="shared" si="2"/>
        <v>0</v>
      </c>
      <c r="K144" s="616"/>
    </row>
    <row r="145" spans="1:11" ht="12.75">
      <c r="A145" s="220"/>
      <c r="B145" s="220" t="s">
        <v>562</v>
      </c>
      <c r="C145" s="975" t="s">
        <v>661</v>
      </c>
      <c r="D145" s="975"/>
      <c r="E145" s="975"/>
      <c r="F145" s="221">
        <f>SUM(F146)</f>
        <v>6019800</v>
      </c>
      <c r="G145" s="221">
        <v>0</v>
      </c>
      <c r="H145" s="221">
        <v>0</v>
      </c>
      <c r="I145" s="221">
        <v>0</v>
      </c>
      <c r="J145" s="222">
        <f t="shared" si="2"/>
        <v>6019800</v>
      </c>
      <c r="K145" s="614"/>
    </row>
    <row r="146" spans="1:11" ht="12.75">
      <c r="A146" s="220"/>
      <c r="B146" s="220"/>
      <c r="C146" s="229" t="s">
        <v>2</v>
      </c>
      <c r="D146" s="607"/>
      <c r="E146" s="229" t="s">
        <v>177</v>
      </c>
      <c r="F146" s="230">
        <v>6019800</v>
      </c>
      <c r="G146" s="230">
        <v>0</v>
      </c>
      <c r="H146" s="230">
        <v>0</v>
      </c>
      <c r="I146" s="230">
        <v>0</v>
      </c>
      <c r="J146" s="231">
        <f>SUM(F146:I146)</f>
        <v>6019800</v>
      </c>
      <c r="K146" s="614"/>
    </row>
    <row r="147" spans="1:11" s="219" customFormat="1" ht="12.75">
      <c r="A147" s="217" t="s">
        <v>305</v>
      </c>
      <c r="B147" s="983" t="s">
        <v>306</v>
      </c>
      <c r="C147" s="983"/>
      <c r="D147" s="983"/>
      <c r="E147" s="983"/>
      <c r="F147" s="218">
        <f>SUM(F148+F149+F150+F151+F161)</f>
        <v>0</v>
      </c>
      <c r="G147" s="218">
        <f>SUM(G148+G149+G150+G151+G161)</f>
        <v>0</v>
      </c>
      <c r="H147" s="218">
        <f>SUM(H148+H149+H150+H151+H161)</f>
        <v>0</v>
      </c>
      <c r="I147" s="218">
        <f>SUM(I148+I149+I150+I151+I161)</f>
        <v>0</v>
      </c>
      <c r="J147" s="218">
        <f t="shared" si="2"/>
        <v>0</v>
      </c>
      <c r="K147" s="613"/>
    </row>
    <row r="148" spans="1:11" ht="12.75" hidden="1">
      <c r="A148" s="220"/>
      <c r="B148" s="220" t="s">
        <v>307</v>
      </c>
      <c r="C148" s="975" t="s">
        <v>693</v>
      </c>
      <c r="D148" s="975"/>
      <c r="E148" s="975"/>
      <c r="F148" s="221">
        <v>0</v>
      </c>
      <c r="G148" s="221">
        <v>0</v>
      </c>
      <c r="H148" s="221">
        <v>0</v>
      </c>
      <c r="I148" s="221">
        <v>0</v>
      </c>
      <c r="J148" s="222">
        <f t="shared" si="2"/>
        <v>0</v>
      </c>
      <c r="K148" s="614"/>
    </row>
    <row r="149" spans="1:11" ht="12.75" hidden="1">
      <c r="A149" s="220"/>
      <c r="B149" s="220" t="s">
        <v>308</v>
      </c>
      <c r="C149" s="975" t="s">
        <v>694</v>
      </c>
      <c r="D149" s="975"/>
      <c r="E149" s="975"/>
      <c r="F149" s="221">
        <v>0</v>
      </c>
      <c r="G149" s="221">
        <v>0</v>
      </c>
      <c r="H149" s="221">
        <v>0</v>
      </c>
      <c r="I149" s="221">
        <v>0</v>
      </c>
      <c r="J149" s="222">
        <f t="shared" si="2"/>
        <v>0</v>
      </c>
      <c r="K149" s="614"/>
    </row>
    <row r="150" spans="1:11" ht="25.5" customHeight="1" hidden="1">
      <c r="A150" s="220"/>
      <c r="B150" s="220" t="s">
        <v>309</v>
      </c>
      <c r="C150" s="984" t="s">
        <v>695</v>
      </c>
      <c r="D150" s="984"/>
      <c r="E150" s="984"/>
      <c r="F150" s="221">
        <v>0</v>
      </c>
      <c r="G150" s="221">
        <v>0</v>
      </c>
      <c r="H150" s="221">
        <v>0</v>
      </c>
      <c r="I150" s="221">
        <v>0</v>
      </c>
      <c r="J150" s="222">
        <f t="shared" si="2"/>
        <v>0</v>
      </c>
      <c r="K150" s="614"/>
    </row>
    <row r="151" spans="1:11" ht="12.75" hidden="1">
      <c r="A151" s="227"/>
      <c r="B151" s="220" t="s">
        <v>563</v>
      </c>
      <c r="C151" s="975" t="s">
        <v>696</v>
      </c>
      <c r="D151" s="975"/>
      <c r="E151" s="975"/>
      <c r="F151" s="221">
        <f>SUM(F152:F160)</f>
        <v>0</v>
      </c>
      <c r="G151" s="221">
        <f>SUM(G152:G160)</f>
        <v>0</v>
      </c>
      <c r="H151" s="221">
        <f>SUM(H152:H160)</f>
        <v>0</v>
      </c>
      <c r="I151" s="221">
        <f>SUM(I152:I160)</f>
        <v>0</v>
      </c>
      <c r="J151" s="222">
        <f t="shared" si="2"/>
        <v>0</v>
      </c>
      <c r="K151" s="614"/>
    </row>
    <row r="152" spans="1:11" ht="12.75" hidden="1">
      <c r="A152" s="227"/>
      <c r="B152" s="227"/>
      <c r="C152" s="229" t="s">
        <v>2</v>
      </c>
      <c r="D152" s="229" t="s">
        <v>149</v>
      </c>
      <c r="E152" s="229" t="s">
        <v>176</v>
      </c>
      <c r="F152" s="230">
        <v>0</v>
      </c>
      <c r="G152" s="230">
        <v>0</v>
      </c>
      <c r="H152" s="230">
        <v>0</v>
      </c>
      <c r="I152" s="230">
        <v>0</v>
      </c>
      <c r="J152" s="231">
        <f t="shared" si="2"/>
        <v>0</v>
      </c>
      <c r="K152" s="616"/>
    </row>
    <row r="153" spans="1:11" ht="12.75" hidden="1">
      <c r="A153" s="227"/>
      <c r="B153" s="227"/>
      <c r="C153" s="229"/>
      <c r="D153" s="229" t="s">
        <v>151</v>
      </c>
      <c r="E153" s="229" t="s">
        <v>583</v>
      </c>
      <c r="F153" s="230">
        <v>0</v>
      </c>
      <c r="G153" s="230">
        <v>0</v>
      </c>
      <c r="H153" s="230">
        <v>0</v>
      </c>
      <c r="I153" s="230">
        <v>0</v>
      </c>
      <c r="J153" s="231">
        <f t="shared" si="2"/>
        <v>0</v>
      </c>
      <c r="K153" s="616"/>
    </row>
    <row r="154" spans="1:11" ht="12.75" hidden="1">
      <c r="A154" s="227"/>
      <c r="B154" s="227"/>
      <c r="C154" s="229"/>
      <c r="D154" s="229" t="s">
        <v>153</v>
      </c>
      <c r="E154" s="229" t="s">
        <v>177</v>
      </c>
      <c r="F154" s="230">
        <v>0</v>
      </c>
      <c r="G154" s="230">
        <v>0</v>
      </c>
      <c r="H154" s="230">
        <v>0</v>
      </c>
      <c r="I154" s="230">
        <v>0</v>
      </c>
      <c r="J154" s="231">
        <f t="shared" si="2"/>
        <v>0</v>
      </c>
      <c r="K154" s="616"/>
    </row>
    <row r="155" spans="1:11" ht="12.75" hidden="1">
      <c r="A155" s="227"/>
      <c r="B155" s="227"/>
      <c r="C155" s="229"/>
      <c r="D155" s="229" t="s">
        <v>155</v>
      </c>
      <c r="E155" s="229" t="s">
        <v>178</v>
      </c>
      <c r="F155" s="230">
        <v>0</v>
      </c>
      <c r="G155" s="230">
        <v>0</v>
      </c>
      <c r="H155" s="230">
        <v>0</v>
      </c>
      <c r="I155" s="230">
        <v>0</v>
      </c>
      <c r="J155" s="231">
        <f t="shared" si="2"/>
        <v>0</v>
      </c>
      <c r="K155" s="616"/>
    </row>
    <row r="156" spans="1:11" ht="12.75" hidden="1">
      <c r="A156" s="227"/>
      <c r="B156" s="227"/>
      <c r="C156" s="229"/>
      <c r="D156" s="229" t="s">
        <v>157</v>
      </c>
      <c r="E156" s="229" t="s">
        <v>179</v>
      </c>
      <c r="F156" s="230">
        <v>0</v>
      </c>
      <c r="G156" s="230">
        <v>0</v>
      </c>
      <c r="H156" s="230">
        <v>0</v>
      </c>
      <c r="I156" s="230">
        <v>0</v>
      </c>
      <c r="J156" s="231">
        <f t="shared" si="2"/>
        <v>0</v>
      </c>
      <c r="K156" s="616"/>
    </row>
    <row r="157" spans="1:11" ht="12.75" hidden="1">
      <c r="A157" s="227"/>
      <c r="B157" s="227"/>
      <c r="C157" s="229"/>
      <c r="D157" s="229" t="s">
        <v>159</v>
      </c>
      <c r="E157" s="229" t="s">
        <v>545</v>
      </c>
      <c r="F157" s="230">
        <v>0</v>
      </c>
      <c r="G157" s="230">
        <v>0</v>
      </c>
      <c r="H157" s="230">
        <v>0</v>
      </c>
      <c r="I157" s="230">
        <v>0</v>
      </c>
      <c r="J157" s="231">
        <f t="shared" si="2"/>
        <v>0</v>
      </c>
      <c r="K157" s="616"/>
    </row>
    <row r="158" spans="1:11" ht="12.75" hidden="1">
      <c r="A158" s="227"/>
      <c r="B158" s="227"/>
      <c r="C158" s="229"/>
      <c r="D158" s="229" t="s">
        <v>161</v>
      </c>
      <c r="E158" s="229" t="s">
        <v>544</v>
      </c>
      <c r="F158" s="239">
        <v>0</v>
      </c>
      <c r="G158" s="230">
        <v>0</v>
      </c>
      <c r="H158" s="230">
        <v>0</v>
      </c>
      <c r="I158" s="230">
        <v>0</v>
      </c>
      <c r="J158" s="231">
        <f t="shared" si="2"/>
        <v>0</v>
      </c>
      <c r="K158" s="616"/>
    </row>
    <row r="159" spans="1:11" ht="12.75" hidden="1">
      <c r="A159" s="227"/>
      <c r="B159" s="227"/>
      <c r="C159" s="229"/>
      <c r="D159" s="229" t="s">
        <v>163</v>
      </c>
      <c r="E159" s="229" t="s">
        <v>182</v>
      </c>
      <c r="F159" s="230">
        <v>0</v>
      </c>
      <c r="G159" s="230">
        <v>0</v>
      </c>
      <c r="H159" s="230">
        <v>0</v>
      </c>
      <c r="I159" s="230">
        <v>0</v>
      </c>
      <c r="J159" s="231">
        <f t="shared" si="2"/>
        <v>0</v>
      </c>
      <c r="K159" s="616"/>
    </row>
    <row r="160" spans="1:11" ht="12.75" hidden="1">
      <c r="A160" s="227"/>
      <c r="B160" s="227"/>
      <c r="C160" s="229"/>
      <c r="D160" s="229" t="s">
        <v>165</v>
      </c>
      <c r="E160" s="229" t="s">
        <v>584</v>
      </c>
      <c r="F160" s="230">
        <v>0</v>
      </c>
      <c r="G160" s="230">
        <v>0</v>
      </c>
      <c r="H160" s="230">
        <v>0</v>
      </c>
      <c r="I160" s="230">
        <v>0</v>
      </c>
      <c r="J160" s="231">
        <f t="shared" si="2"/>
        <v>0</v>
      </c>
      <c r="K160" s="616"/>
    </row>
    <row r="161" spans="1:11" ht="12.75" hidden="1">
      <c r="A161" s="227"/>
      <c r="B161" s="220" t="s">
        <v>564</v>
      </c>
      <c r="C161" s="975" t="s">
        <v>645</v>
      </c>
      <c r="D161" s="975"/>
      <c r="E161" s="975"/>
      <c r="F161" s="221">
        <f>SUM(F162:F172)</f>
        <v>0</v>
      </c>
      <c r="G161" s="221">
        <f>SUM(G162:G172)</f>
        <v>0</v>
      </c>
      <c r="H161" s="221">
        <f>SUM(H162:H172)</f>
        <v>0</v>
      </c>
      <c r="I161" s="221">
        <f>SUM(I162:I172)</f>
        <v>0</v>
      </c>
      <c r="J161" s="222">
        <f t="shared" si="2"/>
        <v>0</v>
      </c>
      <c r="K161" s="614"/>
    </row>
    <row r="162" spans="1:11" ht="12" customHeight="1" hidden="1">
      <c r="A162" s="227"/>
      <c r="B162" s="227"/>
      <c r="C162" s="229" t="s">
        <v>2</v>
      </c>
      <c r="D162" s="229" t="s">
        <v>149</v>
      </c>
      <c r="E162" s="229" t="s">
        <v>176</v>
      </c>
      <c r="F162" s="230"/>
      <c r="G162" s="230">
        <v>0</v>
      </c>
      <c r="H162" s="230">
        <v>0</v>
      </c>
      <c r="I162" s="230">
        <v>0</v>
      </c>
      <c r="J162" s="231">
        <f t="shared" si="2"/>
        <v>0</v>
      </c>
      <c r="K162" s="616"/>
    </row>
    <row r="163" spans="1:11" ht="12.75" hidden="1">
      <c r="A163" s="227"/>
      <c r="B163" s="227"/>
      <c r="C163" s="229"/>
      <c r="D163" s="229" t="s">
        <v>151</v>
      </c>
      <c r="E163" s="229" t="s">
        <v>583</v>
      </c>
      <c r="F163" s="230">
        <v>0</v>
      </c>
      <c r="G163" s="230">
        <v>0</v>
      </c>
      <c r="H163" s="230">
        <v>0</v>
      </c>
      <c r="I163" s="230">
        <v>0</v>
      </c>
      <c r="J163" s="231">
        <f t="shared" si="2"/>
        <v>0</v>
      </c>
      <c r="K163" s="616"/>
    </row>
    <row r="164" spans="1:11" ht="12.75" hidden="1">
      <c r="A164" s="227"/>
      <c r="B164" s="227"/>
      <c r="C164" s="229"/>
      <c r="D164" s="229" t="s">
        <v>153</v>
      </c>
      <c r="E164" s="229" t="s">
        <v>177</v>
      </c>
      <c r="F164" s="230">
        <v>0</v>
      </c>
      <c r="G164" s="230">
        <v>0</v>
      </c>
      <c r="H164" s="230">
        <v>0</v>
      </c>
      <c r="I164" s="230">
        <v>0</v>
      </c>
      <c r="J164" s="231">
        <f t="shared" si="2"/>
        <v>0</v>
      </c>
      <c r="K164" s="616"/>
    </row>
    <row r="165" spans="1:11" ht="12.75" hidden="1">
      <c r="A165" s="227"/>
      <c r="B165" s="227"/>
      <c r="C165" s="229"/>
      <c r="D165" s="229" t="s">
        <v>155</v>
      </c>
      <c r="E165" s="229" t="s">
        <v>178</v>
      </c>
      <c r="F165" s="230">
        <v>0</v>
      </c>
      <c r="G165" s="230">
        <v>0</v>
      </c>
      <c r="H165" s="230">
        <v>0</v>
      </c>
      <c r="I165" s="230">
        <v>0</v>
      </c>
      <c r="J165" s="231">
        <f t="shared" si="2"/>
        <v>0</v>
      </c>
      <c r="K165" s="616"/>
    </row>
    <row r="166" spans="1:11" ht="12.75" hidden="1">
      <c r="A166" s="227"/>
      <c r="B166" s="227"/>
      <c r="C166" s="229"/>
      <c r="D166" s="229" t="s">
        <v>157</v>
      </c>
      <c r="E166" s="229" t="s">
        <v>179</v>
      </c>
      <c r="F166" s="230">
        <v>0</v>
      </c>
      <c r="G166" s="230">
        <v>0</v>
      </c>
      <c r="H166" s="230">
        <v>0</v>
      </c>
      <c r="I166" s="230">
        <v>0</v>
      </c>
      <c r="J166" s="231">
        <f t="shared" si="2"/>
        <v>0</v>
      </c>
      <c r="K166" s="616"/>
    </row>
    <row r="167" spans="1:11" ht="12.75" hidden="1">
      <c r="A167" s="227"/>
      <c r="B167" s="227"/>
      <c r="C167" s="229"/>
      <c r="D167" s="229" t="s">
        <v>159</v>
      </c>
      <c r="E167" s="229" t="s">
        <v>545</v>
      </c>
      <c r="F167" s="230">
        <v>0</v>
      </c>
      <c r="G167" s="230">
        <v>0</v>
      </c>
      <c r="H167" s="230">
        <v>0</v>
      </c>
      <c r="I167" s="230">
        <v>0</v>
      </c>
      <c r="J167" s="231">
        <f t="shared" si="2"/>
        <v>0</v>
      </c>
      <c r="K167" s="616"/>
    </row>
    <row r="168" spans="1:11" ht="12.75" hidden="1">
      <c r="A168" s="227"/>
      <c r="B168" s="227"/>
      <c r="C168" s="229"/>
      <c r="D168" s="229" t="s">
        <v>161</v>
      </c>
      <c r="E168" s="229" t="s">
        <v>544</v>
      </c>
      <c r="F168" s="239">
        <v>0</v>
      </c>
      <c r="G168" s="230">
        <v>0</v>
      </c>
      <c r="H168" s="230">
        <v>0</v>
      </c>
      <c r="I168" s="230">
        <v>0</v>
      </c>
      <c r="J168" s="231">
        <f t="shared" si="2"/>
        <v>0</v>
      </c>
      <c r="K168" s="616"/>
    </row>
    <row r="169" spans="1:11" ht="12.75" hidden="1">
      <c r="A169" s="227"/>
      <c r="B169" s="227"/>
      <c r="C169" s="229"/>
      <c r="D169" s="229" t="s">
        <v>163</v>
      </c>
      <c r="E169" s="229" t="s">
        <v>182</v>
      </c>
      <c r="F169" s="230">
        <v>0</v>
      </c>
      <c r="G169" s="230">
        <v>0</v>
      </c>
      <c r="H169" s="230">
        <v>0</v>
      </c>
      <c r="I169" s="230">
        <v>0</v>
      </c>
      <c r="J169" s="231">
        <f t="shared" si="2"/>
        <v>0</v>
      </c>
      <c r="K169" s="616"/>
    </row>
    <row r="170" spans="1:11" ht="12.75" hidden="1">
      <c r="A170" s="227"/>
      <c r="B170" s="227"/>
      <c r="C170" s="229"/>
      <c r="D170" s="229" t="s">
        <v>165</v>
      </c>
      <c r="E170" s="229" t="s">
        <v>183</v>
      </c>
      <c r="F170" s="230">
        <v>0</v>
      </c>
      <c r="G170" s="230">
        <v>0</v>
      </c>
      <c r="H170" s="230">
        <v>0</v>
      </c>
      <c r="I170" s="230">
        <v>0</v>
      </c>
      <c r="J170" s="231">
        <f t="shared" si="2"/>
        <v>0</v>
      </c>
      <c r="K170" s="616"/>
    </row>
    <row r="171" spans="1:11" ht="12.75" hidden="1">
      <c r="A171" s="227"/>
      <c r="B171" s="227"/>
      <c r="C171" s="229"/>
      <c r="D171" s="229" t="s">
        <v>167</v>
      </c>
      <c r="E171" s="229" t="s">
        <v>184</v>
      </c>
      <c r="F171" s="230">
        <v>0</v>
      </c>
      <c r="G171" s="230">
        <v>0</v>
      </c>
      <c r="H171" s="230">
        <v>0</v>
      </c>
      <c r="I171" s="230">
        <v>0</v>
      </c>
      <c r="J171" s="231">
        <f t="shared" si="2"/>
        <v>0</v>
      </c>
      <c r="K171" s="616"/>
    </row>
    <row r="172" spans="1:11" ht="12.75" hidden="1">
      <c r="A172" s="227"/>
      <c r="B172" s="227"/>
      <c r="C172" s="229"/>
      <c r="D172" s="229" t="s">
        <v>585</v>
      </c>
      <c r="E172" s="229" t="s">
        <v>185</v>
      </c>
      <c r="F172" s="230">
        <v>0</v>
      </c>
      <c r="G172" s="230">
        <v>0</v>
      </c>
      <c r="H172" s="230">
        <v>0</v>
      </c>
      <c r="I172" s="230">
        <v>0</v>
      </c>
      <c r="J172" s="231">
        <f t="shared" si="2"/>
        <v>0</v>
      </c>
      <c r="K172" s="616"/>
    </row>
    <row r="173" spans="1:11" s="219" customFormat="1" ht="12.75">
      <c r="A173" s="217" t="s">
        <v>310</v>
      </c>
      <c r="B173" s="983" t="s">
        <v>311</v>
      </c>
      <c r="C173" s="983"/>
      <c r="D173" s="983"/>
      <c r="E173" s="983"/>
      <c r="F173" s="218">
        <f>SUM(F174+F197+F198+F199)</f>
        <v>1448538129</v>
      </c>
      <c r="G173" s="218">
        <f>SUM(G174+G197+G198+G199)</f>
        <v>1537859</v>
      </c>
      <c r="H173" s="218">
        <f>SUM(H174+H197+H198+H199)</f>
        <v>44046233</v>
      </c>
      <c r="I173" s="218">
        <f>SUM(I174+I197+I198+I199)</f>
        <v>622539</v>
      </c>
      <c r="J173" s="218">
        <f t="shared" si="2"/>
        <v>1494744760</v>
      </c>
      <c r="K173" s="613"/>
    </row>
    <row r="174" spans="1:11" ht="12.75">
      <c r="A174" s="227"/>
      <c r="B174" s="220" t="s">
        <v>312</v>
      </c>
      <c r="C174" s="975" t="s">
        <v>313</v>
      </c>
      <c r="D174" s="975"/>
      <c r="E174" s="975"/>
      <c r="F174" s="221">
        <f>SUM(F175+F179+F184+F189+F190+F191+F192+F193+F194)</f>
        <v>1448538129</v>
      </c>
      <c r="G174" s="221">
        <f>SUM(G175+G179+G184+G189+G190+G191+G192+G193+G194)</f>
        <v>1537859</v>
      </c>
      <c r="H174" s="221">
        <f>SUM(H175+H179+H184+H189+H190+H191+H192+H193+H194)</f>
        <v>44046233</v>
      </c>
      <c r="I174" s="221">
        <f>SUM(I175+I179+I184+I189+I190+I191+I192+I193+I194)</f>
        <v>622539</v>
      </c>
      <c r="J174" s="222">
        <f t="shared" si="2"/>
        <v>1494744760</v>
      </c>
      <c r="K174" s="614"/>
    </row>
    <row r="175" spans="1:11" ht="12.75">
      <c r="A175" s="223"/>
      <c r="B175" s="223"/>
      <c r="C175" s="223" t="s">
        <v>314</v>
      </c>
      <c r="D175" s="223" t="s">
        <v>610</v>
      </c>
      <c r="E175" s="223"/>
      <c r="F175" s="224">
        <f>SUM(F176:F178)</f>
        <v>0</v>
      </c>
      <c r="G175" s="224">
        <f>SUM(G176:G178)</f>
        <v>0</v>
      </c>
      <c r="H175" s="224">
        <f>SUM(H176:H178)</f>
        <v>0</v>
      </c>
      <c r="I175" s="224">
        <f>SUM(I176:I178)</f>
        <v>0</v>
      </c>
      <c r="J175" s="225">
        <f t="shared" si="2"/>
        <v>0</v>
      </c>
      <c r="K175" s="615"/>
    </row>
    <row r="176" spans="1:11" ht="12.75" hidden="1">
      <c r="A176" s="240"/>
      <c r="B176" s="240"/>
      <c r="C176" s="240"/>
      <c r="D176" s="240" t="s">
        <v>315</v>
      </c>
      <c r="E176" s="240" t="s">
        <v>697</v>
      </c>
      <c r="F176" s="241">
        <v>0</v>
      </c>
      <c r="G176" s="241">
        <v>0</v>
      </c>
      <c r="H176" s="241">
        <v>0</v>
      </c>
      <c r="I176" s="241">
        <v>0</v>
      </c>
      <c r="J176" s="242">
        <f t="shared" si="2"/>
        <v>0</v>
      </c>
      <c r="K176" s="617"/>
    </row>
    <row r="177" spans="1:11" ht="12.75" hidden="1">
      <c r="A177" s="240"/>
      <c r="B177" s="240"/>
      <c r="C177" s="240"/>
      <c r="D177" s="240" t="s">
        <v>316</v>
      </c>
      <c r="E177" s="240" t="s">
        <v>698</v>
      </c>
      <c r="F177" s="241">
        <v>0</v>
      </c>
      <c r="G177" s="241">
        <v>0</v>
      </c>
      <c r="H177" s="241">
        <v>0</v>
      </c>
      <c r="I177" s="241">
        <v>0</v>
      </c>
      <c r="J177" s="242">
        <f t="shared" si="2"/>
        <v>0</v>
      </c>
      <c r="K177" s="617"/>
    </row>
    <row r="178" spans="1:11" ht="12.75" hidden="1">
      <c r="A178" s="240"/>
      <c r="B178" s="240"/>
      <c r="C178" s="240"/>
      <c r="D178" s="240" t="s">
        <v>317</v>
      </c>
      <c r="E178" s="240" t="s">
        <v>699</v>
      </c>
      <c r="F178" s="241">
        <v>0</v>
      </c>
      <c r="G178" s="241">
        <v>0</v>
      </c>
      <c r="H178" s="241">
        <v>0</v>
      </c>
      <c r="I178" s="241">
        <v>0</v>
      </c>
      <c r="J178" s="242">
        <f t="shared" si="2"/>
        <v>0</v>
      </c>
      <c r="K178" s="617"/>
    </row>
    <row r="179" spans="1:11" ht="12.75">
      <c r="A179" s="223"/>
      <c r="B179" s="223"/>
      <c r="C179" s="223" t="s">
        <v>318</v>
      </c>
      <c r="D179" s="223" t="s">
        <v>319</v>
      </c>
      <c r="E179" s="223"/>
      <c r="F179" s="224">
        <f>SUM(F180:F183)</f>
        <v>0</v>
      </c>
      <c r="G179" s="224">
        <f>SUM(G180:G183)</f>
        <v>0</v>
      </c>
      <c r="H179" s="224">
        <f>SUM(H180:H183)</f>
        <v>0</v>
      </c>
      <c r="I179" s="224">
        <f>SUM(I180:I183)</f>
        <v>0</v>
      </c>
      <c r="J179" s="225">
        <f t="shared" si="2"/>
        <v>0</v>
      </c>
      <c r="K179" s="615"/>
    </row>
    <row r="180" spans="1:11" ht="12.75" hidden="1">
      <c r="A180" s="223"/>
      <c r="B180" s="223"/>
      <c r="C180" s="223"/>
      <c r="D180" s="240" t="s">
        <v>565</v>
      </c>
      <c r="E180" s="240" t="s">
        <v>566</v>
      </c>
      <c r="F180" s="224">
        <v>0</v>
      </c>
      <c r="G180" s="224">
        <v>0</v>
      </c>
      <c r="H180" s="224">
        <v>0</v>
      </c>
      <c r="I180" s="224">
        <v>0</v>
      </c>
      <c r="J180" s="225">
        <f t="shared" si="2"/>
        <v>0</v>
      </c>
      <c r="K180" s="615"/>
    </row>
    <row r="181" spans="1:11" ht="12.75" hidden="1">
      <c r="A181" s="223"/>
      <c r="B181" s="223"/>
      <c r="C181" s="223"/>
      <c r="D181" s="240" t="s">
        <v>567</v>
      </c>
      <c r="E181" s="240" t="s">
        <v>568</v>
      </c>
      <c r="F181" s="224">
        <v>0</v>
      </c>
      <c r="G181" s="224">
        <v>0</v>
      </c>
      <c r="H181" s="224">
        <v>0</v>
      </c>
      <c r="I181" s="224">
        <v>0</v>
      </c>
      <c r="J181" s="225">
        <f t="shared" si="2"/>
        <v>0</v>
      </c>
      <c r="K181" s="615"/>
    </row>
    <row r="182" spans="1:11" ht="12.75" hidden="1">
      <c r="A182" s="223"/>
      <c r="B182" s="223"/>
      <c r="C182" s="223"/>
      <c r="D182" s="240" t="s">
        <v>569</v>
      </c>
      <c r="E182" s="240" t="s">
        <v>570</v>
      </c>
      <c r="F182" s="224">
        <v>0</v>
      </c>
      <c r="G182" s="224">
        <v>0</v>
      </c>
      <c r="H182" s="224">
        <v>0</v>
      </c>
      <c r="I182" s="224">
        <v>0</v>
      </c>
      <c r="J182" s="225">
        <f t="shared" si="2"/>
        <v>0</v>
      </c>
      <c r="K182" s="615"/>
    </row>
    <row r="183" spans="1:11" ht="12.75" hidden="1">
      <c r="A183" s="223"/>
      <c r="B183" s="223"/>
      <c r="C183" s="223"/>
      <c r="D183" s="240" t="s">
        <v>571</v>
      </c>
      <c r="E183" s="240" t="s">
        <v>572</v>
      </c>
      <c r="F183" s="224">
        <v>0</v>
      </c>
      <c r="G183" s="224">
        <v>0</v>
      </c>
      <c r="H183" s="224">
        <v>0</v>
      </c>
      <c r="I183" s="224">
        <v>0</v>
      </c>
      <c r="J183" s="225">
        <f t="shared" si="2"/>
        <v>0</v>
      </c>
      <c r="K183" s="615"/>
    </row>
    <row r="184" spans="1:11" ht="12.75">
      <c r="A184" s="223"/>
      <c r="B184" s="223"/>
      <c r="C184" s="223" t="s">
        <v>320</v>
      </c>
      <c r="D184" s="223" t="s">
        <v>321</v>
      </c>
      <c r="E184" s="223"/>
      <c r="F184" s="224">
        <f>SUM(F185,F188)</f>
        <v>1429238592</v>
      </c>
      <c r="G184" s="224">
        <f>SUM(G185,G188)</f>
        <v>1537859</v>
      </c>
      <c r="H184" s="224">
        <f>SUM(H185,H188)</f>
        <v>44046233</v>
      </c>
      <c r="I184" s="224">
        <f>SUM(I185,I188)</f>
        <v>622539</v>
      </c>
      <c r="J184" s="225">
        <f t="shared" si="2"/>
        <v>1475445223</v>
      </c>
      <c r="K184" s="615"/>
    </row>
    <row r="185" spans="1:11" ht="12.75">
      <c r="A185" s="240"/>
      <c r="B185" s="240"/>
      <c r="C185" s="240"/>
      <c r="D185" s="240" t="s">
        <v>322</v>
      </c>
      <c r="E185" s="240" t="s">
        <v>323</v>
      </c>
      <c r="F185" s="241">
        <f>SUM(F186:F187)</f>
        <v>1426298320</v>
      </c>
      <c r="G185" s="241">
        <f>SUM(G186:G187)</f>
        <v>1537859</v>
      </c>
      <c r="H185" s="241">
        <f>SUM(H186:H187)</f>
        <v>44046233</v>
      </c>
      <c r="I185" s="241">
        <f>SUM(I186:I187)</f>
        <v>622539</v>
      </c>
      <c r="J185" s="242">
        <f t="shared" si="2"/>
        <v>1472504951</v>
      </c>
      <c r="K185" s="617"/>
    </row>
    <row r="186" spans="1:11" s="247" customFormat="1" ht="12.75">
      <c r="A186" s="243"/>
      <c r="B186" s="243"/>
      <c r="C186" s="243"/>
      <c r="D186" s="243"/>
      <c r="E186" s="244" t="s">
        <v>36</v>
      </c>
      <c r="F186" s="245">
        <f>159291075+55+97110256</f>
        <v>256401386</v>
      </c>
      <c r="G186" s="245">
        <v>1537859</v>
      </c>
      <c r="H186" s="245">
        <f>32890088+11156145</f>
        <v>44046233</v>
      </c>
      <c r="I186" s="245">
        <v>622539</v>
      </c>
      <c r="J186" s="246">
        <f t="shared" si="2"/>
        <v>302608017</v>
      </c>
      <c r="K186" s="618"/>
    </row>
    <row r="187" spans="1:11" s="247" customFormat="1" ht="12.75">
      <c r="A187" s="243"/>
      <c r="B187" s="243"/>
      <c r="C187" s="243"/>
      <c r="D187" s="243"/>
      <c r="E187" s="244" t="s">
        <v>37</v>
      </c>
      <c r="F187" s="245">
        <f>1164857629-55+5039360</f>
        <v>1169896934</v>
      </c>
      <c r="G187" s="245">
        <v>0</v>
      </c>
      <c r="H187" s="245">
        <v>0</v>
      </c>
      <c r="I187" s="245">
        <v>0</v>
      </c>
      <c r="J187" s="246">
        <f t="shared" si="2"/>
        <v>1169896934</v>
      </c>
      <c r="K187" s="618"/>
    </row>
    <row r="188" spans="1:11" ht="12.75">
      <c r="A188" s="240"/>
      <c r="B188" s="240"/>
      <c r="C188" s="240"/>
      <c r="D188" s="240" t="s">
        <v>324</v>
      </c>
      <c r="E188" s="240" t="s">
        <v>325</v>
      </c>
      <c r="F188" s="241">
        <v>2940272</v>
      </c>
      <c r="G188" s="241">
        <v>0</v>
      </c>
      <c r="H188" s="241">
        <v>0</v>
      </c>
      <c r="I188" s="241">
        <v>0</v>
      </c>
      <c r="J188" s="242">
        <f t="shared" si="2"/>
        <v>2940272</v>
      </c>
      <c r="K188" s="617"/>
    </row>
    <row r="189" spans="1:11" ht="13.5" customHeight="1">
      <c r="A189" s="223"/>
      <c r="B189" s="223"/>
      <c r="C189" s="223" t="s">
        <v>326</v>
      </c>
      <c r="D189" s="223" t="s">
        <v>1134</v>
      </c>
      <c r="E189" s="223"/>
      <c r="F189" s="224">
        <f>19299537</f>
        <v>19299537</v>
      </c>
      <c r="G189" s="224">
        <v>0</v>
      </c>
      <c r="H189" s="224">
        <v>0</v>
      </c>
      <c r="I189" s="224">
        <v>0</v>
      </c>
      <c r="J189" s="225">
        <f t="shared" si="2"/>
        <v>19299537</v>
      </c>
      <c r="K189" s="615"/>
    </row>
    <row r="190" spans="1:11" ht="12.75" hidden="1">
      <c r="A190" s="223"/>
      <c r="B190" s="223"/>
      <c r="C190" s="223" t="s">
        <v>327</v>
      </c>
      <c r="D190" s="223" t="s">
        <v>611</v>
      </c>
      <c r="E190" s="223"/>
      <c r="F190" s="224">
        <v>0</v>
      </c>
      <c r="G190" s="224">
        <v>0</v>
      </c>
      <c r="H190" s="224">
        <v>0</v>
      </c>
      <c r="I190" s="224">
        <v>0</v>
      </c>
      <c r="J190" s="225">
        <f t="shared" si="2"/>
        <v>0</v>
      </c>
      <c r="K190" s="615"/>
    </row>
    <row r="191" spans="1:11" ht="12.75" hidden="1">
      <c r="A191" s="223"/>
      <c r="B191" s="223"/>
      <c r="C191" s="223" t="s">
        <v>328</v>
      </c>
      <c r="D191" s="223" t="s">
        <v>329</v>
      </c>
      <c r="E191" s="223"/>
      <c r="F191" s="224">
        <v>0</v>
      </c>
      <c r="G191" s="224">
        <v>0</v>
      </c>
      <c r="H191" s="224">
        <v>0</v>
      </c>
      <c r="I191" s="224">
        <v>0</v>
      </c>
      <c r="J191" s="225">
        <f t="shared" si="2"/>
        <v>0</v>
      </c>
      <c r="K191" s="615"/>
    </row>
    <row r="192" spans="1:11" ht="12.75" hidden="1">
      <c r="A192" s="223"/>
      <c r="B192" s="223"/>
      <c r="C192" s="223" t="s">
        <v>330</v>
      </c>
      <c r="D192" s="223" t="s">
        <v>573</v>
      </c>
      <c r="E192" s="223"/>
      <c r="F192" s="224">
        <v>0</v>
      </c>
      <c r="G192" s="224">
        <v>0</v>
      </c>
      <c r="H192" s="224">
        <v>0</v>
      </c>
      <c r="I192" s="224">
        <v>0</v>
      </c>
      <c r="J192" s="225">
        <f t="shared" si="2"/>
        <v>0</v>
      </c>
      <c r="K192" s="615"/>
    </row>
    <row r="193" spans="1:11" ht="12.75" hidden="1">
      <c r="A193" s="223"/>
      <c r="B193" s="223"/>
      <c r="C193" s="223" t="s">
        <v>331</v>
      </c>
      <c r="D193" s="223" t="s">
        <v>332</v>
      </c>
      <c r="E193" s="223"/>
      <c r="F193" s="224">
        <v>0</v>
      </c>
      <c r="G193" s="224">
        <v>0</v>
      </c>
      <c r="H193" s="224">
        <v>0</v>
      </c>
      <c r="I193" s="224">
        <v>0</v>
      </c>
      <c r="J193" s="225">
        <f t="shared" si="2"/>
        <v>0</v>
      </c>
      <c r="K193" s="615"/>
    </row>
    <row r="194" spans="1:11" ht="12.75" hidden="1">
      <c r="A194" s="223"/>
      <c r="B194" s="223"/>
      <c r="C194" s="223" t="s">
        <v>574</v>
      </c>
      <c r="D194" s="223" t="s">
        <v>575</v>
      </c>
      <c r="E194" s="223"/>
      <c r="F194" s="224">
        <v>0</v>
      </c>
      <c r="G194" s="224">
        <v>0</v>
      </c>
      <c r="H194" s="224">
        <v>0</v>
      </c>
      <c r="I194" s="224">
        <v>0</v>
      </c>
      <c r="J194" s="225">
        <f t="shared" si="2"/>
        <v>0</v>
      </c>
      <c r="K194" s="615"/>
    </row>
    <row r="195" spans="1:11" ht="12.75" hidden="1">
      <c r="A195" s="223"/>
      <c r="B195" s="223"/>
      <c r="C195" s="223"/>
      <c r="D195" s="240" t="s">
        <v>576</v>
      </c>
      <c r="E195" s="240" t="s">
        <v>577</v>
      </c>
      <c r="F195" s="245">
        <v>0</v>
      </c>
      <c r="G195" s="245">
        <v>0</v>
      </c>
      <c r="H195" s="245">
        <v>0</v>
      </c>
      <c r="I195" s="245">
        <v>0</v>
      </c>
      <c r="J195" s="225">
        <f t="shared" si="2"/>
        <v>0</v>
      </c>
      <c r="K195" s="615"/>
    </row>
    <row r="196" spans="1:11" ht="12.75" hidden="1">
      <c r="A196" s="223"/>
      <c r="B196" s="223"/>
      <c r="C196" s="223"/>
      <c r="D196" s="240" t="s">
        <v>578</v>
      </c>
      <c r="E196" s="240" t="s">
        <v>579</v>
      </c>
      <c r="F196" s="245">
        <v>0</v>
      </c>
      <c r="G196" s="245">
        <v>0</v>
      </c>
      <c r="H196" s="245">
        <v>0</v>
      </c>
      <c r="I196" s="245">
        <v>0</v>
      </c>
      <c r="J196" s="225">
        <f t="shared" si="2"/>
        <v>0</v>
      </c>
      <c r="K196" s="615"/>
    </row>
    <row r="197" spans="1:11" ht="12.75">
      <c r="A197" s="227"/>
      <c r="B197" s="220" t="s">
        <v>333</v>
      </c>
      <c r="C197" s="975" t="s">
        <v>334</v>
      </c>
      <c r="D197" s="975"/>
      <c r="E197" s="975"/>
      <c r="F197" s="221">
        <v>0</v>
      </c>
      <c r="G197" s="221">
        <v>0</v>
      </c>
      <c r="H197" s="221">
        <v>0</v>
      </c>
      <c r="I197" s="221">
        <v>0</v>
      </c>
      <c r="J197" s="222">
        <f t="shared" si="2"/>
        <v>0</v>
      </c>
      <c r="K197" s="614"/>
    </row>
    <row r="198" spans="1:11" ht="12.75">
      <c r="A198" s="227"/>
      <c r="B198" s="220" t="s">
        <v>335</v>
      </c>
      <c r="C198" s="975" t="s">
        <v>336</v>
      </c>
      <c r="D198" s="975"/>
      <c r="E198" s="975"/>
      <c r="F198" s="221">
        <v>0</v>
      </c>
      <c r="G198" s="221">
        <v>0</v>
      </c>
      <c r="H198" s="221">
        <v>0</v>
      </c>
      <c r="I198" s="221">
        <v>0</v>
      </c>
      <c r="J198" s="222">
        <f t="shared" si="2"/>
        <v>0</v>
      </c>
      <c r="K198" s="614"/>
    </row>
    <row r="199" spans="1:11" ht="12.75">
      <c r="A199" s="227"/>
      <c r="B199" s="220" t="s">
        <v>580</v>
      </c>
      <c r="C199" s="975" t="s">
        <v>581</v>
      </c>
      <c r="D199" s="975"/>
      <c r="E199" s="975"/>
      <c r="F199" s="221">
        <v>0</v>
      </c>
      <c r="G199" s="221">
        <v>0</v>
      </c>
      <c r="H199" s="221">
        <v>0</v>
      </c>
      <c r="I199" s="221">
        <v>0</v>
      </c>
      <c r="J199" s="222">
        <f t="shared" si="2"/>
        <v>0</v>
      </c>
      <c r="K199" s="614"/>
    </row>
    <row r="200" spans="1:11" ht="12.75">
      <c r="A200" s="227"/>
      <c r="B200" s="227"/>
      <c r="C200" s="227"/>
      <c r="D200" s="227"/>
      <c r="E200" s="227"/>
      <c r="F200" s="248"/>
      <c r="G200" s="249"/>
      <c r="H200" s="249"/>
      <c r="I200" s="249"/>
      <c r="J200" s="248"/>
      <c r="K200" s="619"/>
    </row>
    <row r="201" spans="1:11" s="251" customFormat="1" ht="15.75">
      <c r="A201" s="982" t="s">
        <v>450</v>
      </c>
      <c r="B201" s="982"/>
      <c r="C201" s="982"/>
      <c r="D201" s="982"/>
      <c r="E201" s="982"/>
      <c r="F201" s="250">
        <f>SUM(F173+F147+F131+F123+F87+F58+F40+F7)</f>
        <v>2573038104</v>
      </c>
      <c r="G201" s="250">
        <f>SUM(G173+G147+G131+G123+G87+G58+G40+G7)</f>
        <v>13185969</v>
      </c>
      <c r="H201" s="250">
        <f>SUM(H173+H147+H131+H123+H87+H58+H40+H7)</f>
        <v>48341292</v>
      </c>
      <c r="I201" s="250">
        <f>SUM(I173+I147+I131+I123+I87+I58+I40+I7)</f>
        <v>46404343</v>
      </c>
      <c r="J201" s="250">
        <f t="shared" si="2"/>
        <v>2680969708</v>
      </c>
      <c r="K201" s="620"/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3:E43"/>
    <mergeCell ref="C41:E41"/>
    <mergeCell ref="D120:E120"/>
    <mergeCell ref="B123:E123"/>
    <mergeCell ref="C44:E44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2:E42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4.125" style="92" bestFit="1" customWidth="1"/>
    <col min="2" max="2" width="2.375" style="51" customWidth="1"/>
    <col min="3" max="3" width="66.625" style="51" customWidth="1"/>
    <col min="4" max="4" width="16.625" style="51" bestFit="1" customWidth="1"/>
  </cols>
  <sheetData>
    <row r="1" spans="1:5" s="51" customFormat="1" ht="15">
      <c r="A1" s="92"/>
      <c r="C1" s="1019" t="s">
        <v>1185</v>
      </c>
      <c r="D1" s="1290"/>
      <c r="E1" s="87"/>
    </row>
    <row r="2" spans="3:4" ht="15">
      <c r="C2" s="2"/>
      <c r="D2" s="87"/>
    </row>
    <row r="3" spans="2:4" ht="14.25">
      <c r="B3" s="1295" t="s">
        <v>381</v>
      </c>
      <c r="C3" s="1295"/>
      <c r="D3" s="1295"/>
    </row>
    <row r="4" spans="2:4" ht="14.25">
      <c r="B4" s="1295" t="s">
        <v>455</v>
      </c>
      <c r="C4" s="1295"/>
      <c r="D4" s="1295"/>
    </row>
    <row r="5" spans="2:4" ht="14.25">
      <c r="B5" s="53"/>
      <c r="C5" s="53"/>
      <c r="D5" s="53"/>
    </row>
    <row r="6" ht="15">
      <c r="D6" s="52"/>
    </row>
    <row r="7" spans="1:4" ht="14.25">
      <c r="A7" s="1296" t="s">
        <v>445</v>
      </c>
      <c r="B7" s="1298" t="s">
        <v>366</v>
      </c>
      <c r="C7" s="1298"/>
      <c r="D7" s="94" t="s">
        <v>379</v>
      </c>
    </row>
    <row r="8" spans="1:4" ht="12.75">
      <c r="A8" s="1297"/>
      <c r="B8" s="1299" t="s">
        <v>439</v>
      </c>
      <c r="C8" s="1300"/>
      <c r="D8" s="93" t="s">
        <v>440</v>
      </c>
    </row>
    <row r="9" spans="1:4" ht="14.25">
      <c r="A9" s="93">
        <v>1</v>
      </c>
      <c r="B9" s="55" t="s">
        <v>392</v>
      </c>
      <c r="C9" s="54"/>
      <c r="D9" s="97"/>
    </row>
    <row r="10" spans="1:4" ht="15">
      <c r="A10" s="93">
        <v>2</v>
      </c>
      <c r="B10" s="90" t="s">
        <v>380</v>
      </c>
      <c r="C10" s="91" t="s">
        <v>438</v>
      </c>
      <c r="D10" s="178">
        <v>1000000</v>
      </c>
    </row>
    <row r="11" spans="1:4" ht="30">
      <c r="A11" s="93">
        <v>3</v>
      </c>
      <c r="B11" s="90" t="s">
        <v>380</v>
      </c>
      <c r="C11" s="91" t="s">
        <v>1055</v>
      </c>
      <c r="D11" s="892">
        <v>-180000</v>
      </c>
    </row>
    <row r="12" spans="1:4" ht="15">
      <c r="A12" s="93">
        <v>4</v>
      </c>
      <c r="B12" s="90" t="s">
        <v>380</v>
      </c>
      <c r="C12" s="91" t="s">
        <v>1056</v>
      </c>
      <c r="D12" s="892">
        <v>-220000</v>
      </c>
    </row>
    <row r="13" spans="1:4" ht="18" customHeight="1">
      <c r="A13" s="93">
        <v>5</v>
      </c>
      <c r="B13" s="90" t="s">
        <v>380</v>
      </c>
      <c r="C13" s="91" t="s">
        <v>1063</v>
      </c>
      <c r="D13" s="892">
        <v>-512000</v>
      </c>
    </row>
    <row r="14" spans="1:4" ht="14.25">
      <c r="A14" s="93">
        <v>6</v>
      </c>
      <c r="B14" s="55" t="s">
        <v>369</v>
      </c>
      <c r="C14" s="55"/>
      <c r="D14" s="179">
        <f>SUM(D10:D13)</f>
        <v>88000</v>
      </c>
    </row>
    <row r="15" spans="1:4" ht="6.75" customHeight="1">
      <c r="A15" s="96"/>
      <c r="B15" s="95"/>
      <c r="C15" s="95"/>
      <c r="D15" s="97"/>
    </row>
    <row r="16" spans="1:4" ht="14.25">
      <c r="A16" s="93">
        <v>7</v>
      </c>
      <c r="B16" s="1294" t="s">
        <v>391</v>
      </c>
      <c r="C16" s="1294"/>
      <c r="D16" s="1294"/>
    </row>
    <row r="17" spans="1:4" ht="15">
      <c r="A17" s="93">
        <v>8</v>
      </c>
      <c r="B17" s="90" t="s">
        <v>380</v>
      </c>
      <c r="C17" s="91" t="s">
        <v>871</v>
      </c>
      <c r="D17" s="178">
        <v>350000</v>
      </c>
    </row>
    <row r="18" spans="1:4" ht="15">
      <c r="A18" s="93">
        <v>9</v>
      </c>
      <c r="B18" s="90" t="s">
        <v>380</v>
      </c>
      <c r="C18" s="91" t="s">
        <v>1047</v>
      </c>
      <c r="D18" s="178">
        <v>926229</v>
      </c>
    </row>
    <row r="19" spans="1:4" ht="15">
      <c r="A19" s="93">
        <v>10</v>
      </c>
      <c r="B19" s="889"/>
      <c r="C19" s="890" t="s">
        <v>1048</v>
      </c>
      <c r="D19" s="891">
        <f>SUM(D17:D18)</f>
        <v>1276229</v>
      </c>
    </row>
    <row r="20" spans="1:4" ht="15">
      <c r="A20" s="93">
        <v>11</v>
      </c>
      <c r="B20" s="90" t="s">
        <v>380</v>
      </c>
      <c r="C20" s="91" t="s">
        <v>1064</v>
      </c>
      <c r="D20" s="178">
        <v>200000</v>
      </c>
    </row>
    <row r="21" spans="1:4" ht="30">
      <c r="A21" s="93">
        <v>12</v>
      </c>
      <c r="B21" s="90" t="s">
        <v>380</v>
      </c>
      <c r="C21" s="91" t="s">
        <v>1065</v>
      </c>
      <c r="D21" s="892">
        <v>-200000</v>
      </c>
    </row>
    <row r="22" spans="1:4" ht="30">
      <c r="A22" s="93">
        <v>13</v>
      </c>
      <c r="B22" s="889"/>
      <c r="C22" s="890" t="s">
        <v>1050</v>
      </c>
      <c r="D22" s="891">
        <f>SUM(D20:D21)</f>
        <v>0</v>
      </c>
    </row>
    <row r="23" spans="1:4" ht="15">
      <c r="A23" s="93">
        <v>14</v>
      </c>
      <c r="B23" s="90" t="s">
        <v>380</v>
      </c>
      <c r="C23" s="91" t="s">
        <v>1057</v>
      </c>
      <c r="D23" s="178">
        <v>2036448</v>
      </c>
    </row>
    <row r="24" spans="1:4" ht="30">
      <c r="A24" s="93">
        <v>15</v>
      </c>
      <c r="B24" s="889"/>
      <c r="C24" s="890" t="s">
        <v>1058</v>
      </c>
      <c r="D24" s="891">
        <f>SUM(D23)</f>
        <v>2036448</v>
      </c>
    </row>
    <row r="25" spans="1:4" ht="15">
      <c r="A25" s="93">
        <v>16</v>
      </c>
      <c r="B25" s="90" t="s">
        <v>380</v>
      </c>
      <c r="C25" s="91" t="s">
        <v>1176</v>
      </c>
      <c r="D25" s="178">
        <v>8004000</v>
      </c>
    </row>
    <row r="26" spans="1:4" ht="15">
      <c r="A26" s="93">
        <v>17</v>
      </c>
      <c r="B26" s="90" t="s">
        <v>380</v>
      </c>
      <c r="C26" s="91" t="s">
        <v>1059</v>
      </c>
      <c r="D26" s="892">
        <v>-8004000</v>
      </c>
    </row>
    <row r="27" spans="1:4" ht="15">
      <c r="A27" s="93">
        <v>18</v>
      </c>
      <c r="B27" s="889"/>
      <c r="C27" s="890" t="s">
        <v>1060</v>
      </c>
      <c r="D27" s="891">
        <f>SUM(D25:D26)</f>
        <v>0</v>
      </c>
    </row>
    <row r="28" spans="1:4" ht="14.25">
      <c r="A28" s="93">
        <v>19</v>
      </c>
      <c r="B28" s="55" t="s">
        <v>1049</v>
      </c>
      <c r="C28" s="55"/>
      <c r="D28" s="179">
        <f>SUM(D19+D22+D24+D27)</f>
        <v>3312677</v>
      </c>
    </row>
    <row r="29" spans="1:4" ht="7.5" customHeight="1">
      <c r="A29" s="96"/>
      <c r="B29" s="95"/>
      <c r="C29" s="95"/>
      <c r="D29" s="97"/>
    </row>
    <row r="30" spans="1:4" ht="14.25">
      <c r="A30" s="93">
        <v>20</v>
      </c>
      <c r="B30" s="55" t="s">
        <v>641</v>
      </c>
      <c r="C30" s="54"/>
      <c r="D30" s="97"/>
    </row>
    <row r="31" spans="1:4" ht="15">
      <c r="A31" s="93">
        <v>21</v>
      </c>
      <c r="B31" s="90" t="s">
        <v>380</v>
      </c>
      <c r="C31" s="91" t="s">
        <v>640</v>
      </c>
      <c r="D31" s="178">
        <v>1000000</v>
      </c>
    </row>
    <row r="32" spans="1:4" ht="30">
      <c r="A32" s="93">
        <v>22</v>
      </c>
      <c r="B32" s="90" t="s">
        <v>380</v>
      </c>
      <c r="C32" s="91" t="s">
        <v>1054</v>
      </c>
      <c r="D32" s="892">
        <v>-1000000</v>
      </c>
    </row>
    <row r="33" spans="1:4" ht="15">
      <c r="A33" s="93">
        <v>23</v>
      </c>
      <c r="B33" s="90" t="s">
        <v>380</v>
      </c>
      <c r="C33" s="91" t="s">
        <v>1175</v>
      </c>
      <c r="D33" s="178">
        <v>1618094</v>
      </c>
    </row>
    <row r="34" spans="1:4" ht="30">
      <c r="A34" s="93">
        <v>24</v>
      </c>
      <c r="B34" s="90" t="s">
        <v>380</v>
      </c>
      <c r="C34" s="91" t="s">
        <v>1133</v>
      </c>
      <c r="D34" s="892">
        <v>-603515</v>
      </c>
    </row>
    <row r="35" spans="1:4" ht="30">
      <c r="A35" s="93">
        <v>25</v>
      </c>
      <c r="B35" s="90" t="s">
        <v>380</v>
      </c>
      <c r="C35" s="91" t="s">
        <v>1156</v>
      </c>
      <c r="D35" s="892">
        <v>-11225</v>
      </c>
    </row>
    <row r="36" spans="1:4" ht="15">
      <c r="A36" s="93">
        <v>26</v>
      </c>
      <c r="B36" s="90" t="s">
        <v>380</v>
      </c>
      <c r="C36" s="91" t="s">
        <v>1154</v>
      </c>
      <c r="D36" s="892">
        <v>-397884</v>
      </c>
    </row>
    <row r="37" spans="1:4" ht="15">
      <c r="A37" s="93">
        <v>27</v>
      </c>
      <c r="B37" s="90" t="s">
        <v>380</v>
      </c>
      <c r="C37" s="91" t="s">
        <v>1157</v>
      </c>
      <c r="D37" s="892">
        <v>-196500</v>
      </c>
    </row>
    <row r="38" spans="1:4" ht="30">
      <c r="A38" s="93">
        <v>28</v>
      </c>
      <c r="B38" s="90" t="s">
        <v>380</v>
      </c>
      <c r="C38" s="91" t="s">
        <v>1158</v>
      </c>
      <c r="D38" s="892">
        <v>-182700</v>
      </c>
    </row>
    <row r="39" spans="1:4" ht="15">
      <c r="A39" s="93">
        <v>29</v>
      </c>
      <c r="B39" s="90" t="s">
        <v>380</v>
      </c>
      <c r="C39" s="91" t="s">
        <v>1159</v>
      </c>
      <c r="D39" s="892">
        <v>-226270</v>
      </c>
    </row>
    <row r="40" spans="1:4" ht="14.25">
      <c r="A40" s="93">
        <v>30</v>
      </c>
      <c r="B40" s="55" t="s">
        <v>369</v>
      </c>
      <c r="C40" s="55"/>
      <c r="D40" s="179">
        <f>SUM(D31:D39)</f>
        <v>0</v>
      </c>
    </row>
    <row r="41" spans="1:4" ht="7.5" customHeight="1">
      <c r="A41" s="93"/>
      <c r="B41" s="55"/>
      <c r="C41" s="55"/>
      <c r="D41" s="179"/>
    </row>
    <row r="42" spans="1:4" ht="14.25">
      <c r="A42" s="93">
        <v>31</v>
      </c>
      <c r="B42" s="1294" t="s">
        <v>1013</v>
      </c>
      <c r="C42" s="1294"/>
      <c r="D42" s="1294"/>
    </row>
    <row r="43" spans="1:4" ht="15">
      <c r="A43" s="93">
        <v>32</v>
      </c>
      <c r="B43" s="90" t="s">
        <v>380</v>
      </c>
      <c r="C43" s="91" t="s">
        <v>1051</v>
      </c>
      <c r="D43" s="178">
        <v>102149616</v>
      </c>
    </row>
    <row r="44" spans="1:4" ht="15">
      <c r="A44" s="93">
        <v>33</v>
      </c>
      <c r="B44" s="90" t="s">
        <v>380</v>
      </c>
      <c r="C44" s="91" t="s">
        <v>1052</v>
      </c>
      <c r="D44" s="892">
        <v>-102149616</v>
      </c>
    </row>
    <row r="45" spans="1:4" ht="14.25">
      <c r="A45" s="93">
        <v>34</v>
      </c>
      <c r="B45" s="55" t="s">
        <v>369</v>
      </c>
      <c r="C45" s="55"/>
      <c r="D45" s="179">
        <f>SUM(D43:D44)</f>
        <v>0</v>
      </c>
    </row>
    <row r="46" spans="1:4" ht="8.25" customHeight="1">
      <c r="A46" s="93"/>
      <c r="B46" s="55"/>
      <c r="C46" s="55"/>
      <c r="D46" s="179"/>
    </row>
    <row r="47" spans="1:4" ht="14.25">
      <c r="A47" s="93">
        <v>35</v>
      </c>
      <c r="B47" s="1294" t="s">
        <v>1014</v>
      </c>
      <c r="C47" s="1294"/>
      <c r="D47" s="1294"/>
    </row>
    <row r="48" spans="1:4" ht="15">
      <c r="A48" s="93">
        <v>36</v>
      </c>
      <c r="B48" s="90" t="s">
        <v>380</v>
      </c>
      <c r="C48" s="91" t="s">
        <v>1053</v>
      </c>
      <c r="D48" s="178">
        <v>2940272</v>
      </c>
    </row>
    <row r="49" spans="1:4" ht="15">
      <c r="A49" s="93">
        <v>37</v>
      </c>
      <c r="B49" s="90" t="s">
        <v>380</v>
      </c>
      <c r="C49" s="91" t="s">
        <v>1052</v>
      </c>
      <c r="D49" s="892">
        <v>-2940272</v>
      </c>
    </row>
    <row r="50" spans="1:4" ht="14.25">
      <c r="A50" s="93">
        <v>38</v>
      </c>
      <c r="B50" s="55" t="s">
        <v>369</v>
      </c>
      <c r="C50" s="55"/>
      <c r="D50" s="179">
        <f>SUM(D48:D49)</f>
        <v>0</v>
      </c>
    </row>
    <row r="51" spans="1:4" ht="6" customHeight="1">
      <c r="A51" s="93"/>
      <c r="B51" s="55"/>
      <c r="C51" s="55"/>
      <c r="D51" s="55"/>
    </row>
    <row r="52" spans="1:4" ht="14.25">
      <c r="A52" s="93">
        <v>39</v>
      </c>
      <c r="B52" s="55" t="s">
        <v>394</v>
      </c>
      <c r="C52" s="55"/>
      <c r="D52" s="179">
        <f>SUM(D14,D28,D45,D50,D40)</f>
        <v>3400677</v>
      </c>
    </row>
    <row r="53" spans="1:4" ht="7.5" customHeight="1">
      <c r="A53" s="93"/>
      <c r="B53" s="55"/>
      <c r="C53" s="55"/>
      <c r="D53" s="55"/>
    </row>
    <row r="54" spans="1:4" ht="14.25">
      <c r="A54" s="93">
        <v>40</v>
      </c>
      <c r="B54" s="1294" t="s">
        <v>376</v>
      </c>
      <c r="C54" s="1294"/>
      <c r="D54" s="1294"/>
    </row>
    <row r="55" spans="1:4" ht="15">
      <c r="A55" s="93">
        <v>41</v>
      </c>
      <c r="B55" s="90" t="s">
        <v>380</v>
      </c>
      <c r="C55" s="91" t="s">
        <v>1155</v>
      </c>
      <c r="D55" s="178">
        <v>4841519</v>
      </c>
    </row>
    <row r="56" spans="1:4" ht="30">
      <c r="A56" s="93">
        <v>42</v>
      </c>
      <c r="B56" s="90" t="s">
        <v>380</v>
      </c>
      <c r="C56" s="91" t="s">
        <v>1174</v>
      </c>
      <c r="D56" s="178">
        <v>15055017</v>
      </c>
    </row>
    <row r="57" spans="1:4" ht="14.25">
      <c r="A57" s="93">
        <v>43</v>
      </c>
      <c r="B57" s="55" t="s">
        <v>395</v>
      </c>
      <c r="C57" s="55"/>
      <c r="D57" s="179">
        <f>SUM(D55:D56)</f>
        <v>19896536</v>
      </c>
    </row>
    <row r="58" spans="1:4" ht="14.25">
      <c r="A58" s="96"/>
      <c r="B58" s="95"/>
      <c r="C58" s="95"/>
      <c r="D58" s="97"/>
    </row>
    <row r="59" spans="1:4" ht="14.25">
      <c r="A59" s="93">
        <v>44</v>
      </c>
      <c r="B59" s="55" t="s">
        <v>393</v>
      </c>
      <c r="C59" s="55"/>
      <c r="D59" s="179">
        <f>SUM(D57,D52)</f>
        <v>23297213</v>
      </c>
    </row>
  </sheetData>
  <sheetProtection/>
  <mergeCells count="10">
    <mergeCell ref="B54:D54"/>
    <mergeCell ref="C1:D1"/>
    <mergeCell ref="B3:D3"/>
    <mergeCell ref="B4:D4"/>
    <mergeCell ref="A7:A8"/>
    <mergeCell ref="B7:C7"/>
    <mergeCell ref="B8:C8"/>
    <mergeCell ref="B16:D16"/>
    <mergeCell ref="B42:D42"/>
    <mergeCell ref="B47:D47"/>
  </mergeCells>
  <printOptions horizontalCentered="1"/>
  <pageMargins left="0.31496062992125984" right="0.31496062992125984" top="0.9448818897637796" bottom="0.9448818897637796" header="0.31496062992125984" footer="0.31496062992125984"/>
  <pageSetup horizontalDpi="600" verticalDpi="600" orientation="portrait" paperSize="9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3.1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565" t="s">
        <v>1186</v>
      </c>
      <c r="J1" s="177"/>
      <c r="K1" s="177"/>
      <c r="L1" s="564"/>
      <c r="M1" s="177"/>
    </row>
    <row r="2" spans="1:256" ht="15.75">
      <c r="A2" s="1310" t="s">
        <v>841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311" t="s">
        <v>1074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28.5" customHeight="1">
      <c r="A5" s="1312" t="s">
        <v>459</v>
      </c>
      <c r="B5" s="1312"/>
      <c r="C5" s="1313"/>
      <c r="D5" s="1314" t="s">
        <v>452</v>
      </c>
      <c r="E5" s="1312"/>
      <c r="F5" s="1315"/>
      <c r="G5" s="1316" t="s">
        <v>768</v>
      </c>
      <c r="H5" s="1317"/>
      <c r="I5" s="1317"/>
      <c r="J5" s="1318"/>
      <c r="K5" s="1319"/>
      <c r="L5" s="1305" t="s">
        <v>371</v>
      </c>
      <c r="M5" s="29"/>
      <c r="N5" s="29" t="s">
        <v>491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307" t="s">
        <v>460</v>
      </c>
      <c r="B6" s="1308"/>
      <c r="C6" s="24" t="s">
        <v>461</v>
      </c>
      <c r="D6" s="25" t="s">
        <v>462</v>
      </c>
      <c r="E6" s="27" t="s">
        <v>463</v>
      </c>
      <c r="F6" s="28" t="s">
        <v>490</v>
      </c>
      <c r="G6" s="25" t="s">
        <v>464</v>
      </c>
      <c r="H6" s="26" t="s">
        <v>475</v>
      </c>
      <c r="I6" s="26" t="s">
        <v>465</v>
      </c>
      <c r="J6" s="26" t="s">
        <v>475</v>
      </c>
      <c r="K6" s="28" t="s">
        <v>635</v>
      </c>
      <c r="L6" s="1306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309" t="s">
        <v>439</v>
      </c>
      <c r="B7" s="1309"/>
      <c r="C7" s="113" t="s">
        <v>440</v>
      </c>
      <c r="D7" s="114" t="s">
        <v>441</v>
      </c>
      <c r="E7" s="115" t="s">
        <v>442</v>
      </c>
      <c r="F7" s="116" t="s">
        <v>443</v>
      </c>
      <c r="G7" s="114" t="s">
        <v>444</v>
      </c>
      <c r="H7" s="117" t="s">
        <v>446</v>
      </c>
      <c r="I7" s="117" t="s">
        <v>447</v>
      </c>
      <c r="J7" s="117" t="s">
        <v>397</v>
      </c>
      <c r="K7" s="116" t="s">
        <v>398</v>
      </c>
      <c r="L7" s="158" t="s">
        <v>399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ht="12.75">
      <c r="A8" s="136" t="s">
        <v>478</v>
      </c>
      <c r="B8" s="137"/>
      <c r="C8" s="138" t="s">
        <v>488</v>
      </c>
      <c r="D8" s="139"/>
      <c r="E8" s="140"/>
      <c r="F8" s="141">
        <f>F9+F10+F15+F16+F17+F18</f>
        <v>191442973</v>
      </c>
      <c r="G8" s="139"/>
      <c r="H8" s="142"/>
      <c r="I8" s="142"/>
      <c r="J8" s="140"/>
      <c r="K8" s="141"/>
      <c r="L8" s="159">
        <f aca="true" t="shared" si="0" ref="L8:L14">F8+K8</f>
        <v>191442973</v>
      </c>
      <c r="M8" s="133"/>
      <c r="N8" s="161">
        <f>SUM(N9:N18)</f>
        <v>191442973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pans="1:256" ht="12.75">
      <c r="A9" s="127"/>
      <c r="B9" s="128" t="s">
        <v>530</v>
      </c>
      <c r="C9" s="129" t="s">
        <v>476</v>
      </c>
      <c r="D9" s="567">
        <v>26.16</v>
      </c>
      <c r="E9" s="568">
        <v>4580000</v>
      </c>
      <c r="F9" s="569">
        <f>D9*E9+3401000</f>
        <v>123213800</v>
      </c>
      <c r="G9" s="570"/>
      <c r="H9" s="571"/>
      <c r="I9" s="571"/>
      <c r="J9" s="568"/>
      <c r="K9" s="569"/>
      <c r="L9" s="572">
        <f t="shared" si="0"/>
        <v>123213800</v>
      </c>
      <c r="M9" s="130"/>
      <c r="N9" s="176">
        <f>SUM(L9)</f>
        <v>123213800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ht="12.75">
      <c r="A10" s="127"/>
      <c r="B10" s="128" t="s">
        <v>531</v>
      </c>
      <c r="C10" s="129" t="s">
        <v>842</v>
      </c>
      <c r="D10" s="570"/>
      <c r="E10" s="568"/>
      <c r="F10" s="569">
        <f>SUM(F11:F14)</f>
        <v>63536320</v>
      </c>
      <c r="G10" s="570"/>
      <c r="H10" s="571"/>
      <c r="I10" s="571"/>
      <c r="J10" s="568"/>
      <c r="K10" s="569"/>
      <c r="L10" s="572">
        <f t="shared" si="0"/>
        <v>63536320</v>
      </c>
      <c r="M10" s="130"/>
      <c r="N10" s="176">
        <f>SUM(L11:L14)</f>
        <v>63536320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14" ht="12.75">
      <c r="A11" s="30"/>
      <c r="B11" s="125" t="s">
        <v>532</v>
      </c>
      <c r="C11" s="126" t="s">
        <v>843</v>
      </c>
      <c r="D11" s="573"/>
      <c r="E11" s="574"/>
      <c r="F11" s="575">
        <v>18207950</v>
      </c>
      <c r="G11" s="573"/>
      <c r="H11" s="576"/>
      <c r="I11" s="576"/>
      <c r="J11" s="574"/>
      <c r="K11" s="575"/>
      <c r="L11" s="577">
        <f t="shared" si="0"/>
        <v>18207950</v>
      </c>
      <c r="M11" s="31"/>
      <c r="N11" s="176"/>
    </row>
    <row r="12" spans="1:14" ht="12.75">
      <c r="A12" s="30"/>
      <c r="B12" s="125" t="s">
        <v>533</v>
      </c>
      <c r="C12" s="126" t="s">
        <v>844</v>
      </c>
      <c r="D12" s="573"/>
      <c r="E12" s="574"/>
      <c r="F12" s="575">
        <v>30176000</v>
      </c>
      <c r="G12" s="573"/>
      <c r="H12" s="576"/>
      <c r="I12" s="576"/>
      <c r="J12" s="574"/>
      <c r="K12" s="575"/>
      <c r="L12" s="577">
        <f t="shared" si="0"/>
        <v>30176000</v>
      </c>
      <c r="M12" s="31"/>
      <c r="N12" s="176"/>
    </row>
    <row r="13" spans="1:14" ht="12.75">
      <c r="A13" s="30"/>
      <c r="B13" s="125" t="s">
        <v>534</v>
      </c>
      <c r="C13" s="126" t="s">
        <v>845</v>
      </c>
      <c r="D13" s="573"/>
      <c r="E13" s="574"/>
      <c r="F13" s="575">
        <v>100000</v>
      </c>
      <c r="G13" s="573"/>
      <c r="H13" s="576"/>
      <c r="I13" s="576"/>
      <c r="J13" s="574"/>
      <c r="K13" s="575"/>
      <c r="L13" s="577">
        <f t="shared" si="0"/>
        <v>100000</v>
      </c>
      <c r="M13" s="31"/>
      <c r="N13" s="176"/>
    </row>
    <row r="14" spans="1:14" ht="12.75">
      <c r="A14" s="30"/>
      <c r="B14" s="125" t="s">
        <v>535</v>
      </c>
      <c r="C14" s="126" t="s">
        <v>846</v>
      </c>
      <c r="D14" s="573"/>
      <c r="E14" s="574"/>
      <c r="F14" s="575">
        <v>15052370</v>
      </c>
      <c r="G14" s="573"/>
      <c r="H14" s="576"/>
      <c r="I14" s="576"/>
      <c r="J14" s="574"/>
      <c r="K14" s="575"/>
      <c r="L14" s="577">
        <f t="shared" si="0"/>
        <v>15052370</v>
      </c>
      <c r="M14" s="31"/>
      <c r="N14" s="176"/>
    </row>
    <row r="15" spans="1:256" ht="12.75">
      <c r="A15" s="127"/>
      <c r="B15" s="128" t="s">
        <v>536</v>
      </c>
      <c r="C15" s="132" t="s">
        <v>861</v>
      </c>
      <c r="D15" s="570">
        <v>8684</v>
      </c>
      <c r="E15" s="568">
        <v>2700</v>
      </c>
      <c r="F15" s="569">
        <v>1670980</v>
      </c>
      <c r="G15" s="570"/>
      <c r="H15" s="571"/>
      <c r="I15" s="571"/>
      <c r="J15" s="568"/>
      <c r="K15" s="569"/>
      <c r="L15" s="572">
        <f>F15+K15</f>
        <v>1670980</v>
      </c>
      <c r="M15" s="130"/>
      <c r="N15" s="176">
        <f>SUM(L15)</f>
        <v>1670980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pans="1:256" ht="12.75">
      <c r="A16" s="127"/>
      <c r="B16" s="128" t="s">
        <v>537</v>
      </c>
      <c r="C16" s="132" t="s">
        <v>91</v>
      </c>
      <c r="D16" s="570">
        <v>276</v>
      </c>
      <c r="E16" s="568">
        <v>2550</v>
      </c>
      <c r="F16" s="569">
        <f>D16*E16</f>
        <v>703800</v>
      </c>
      <c r="G16" s="570"/>
      <c r="H16" s="571"/>
      <c r="I16" s="571"/>
      <c r="J16" s="568"/>
      <c r="K16" s="569"/>
      <c r="L16" s="572">
        <f>F16+K16</f>
        <v>703800</v>
      </c>
      <c r="M16" s="130"/>
      <c r="N16" s="176">
        <f>SUM(L16)</f>
        <v>703800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pans="1:256" ht="25.5">
      <c r="A17" s="127"/>
      <c r="B17" s="128" t="s">
        <v>756</v>
      </c>
      <c r="C17" s="129" t="s">
        <v>847</v>
      </c>
      <c r="D17" s="570"/>
      <c r="E17" s="568"/>
      <c r="F17" s="569">
        <f>593921+81261-38709</f>
        <v>636473</v>
      </c>
      <c r="G17" s="570"/>
      <c r="H17" s="571"/>
      <c r="I17" s="571"/>
      <c r="J17" s="568"/>
      <c r="K17" s="569"/>
      <c r="L17" s="572">
        <f>F17+K17</f>
        <v>636473</v>
      </c>
      <c r="M17" s="130"/>
      <c r="N17" s="176">
        <f>SUM(L17)</f>
        <v>636473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pans="1:256" ht="12.75">
      <c r="A18" s="127"/>
      <c r="B18" s="128" t="s">
        <v>538</v>
      </c>
      <c r="C18" s="132" t="s">
        <v>757</v>
      </c>
      <c r="D18" s="570"/>
      <c r="E18" s="568"/>
      <c r="F18" s="569">
        <v>1681600</v>
      </c>
      <c r="G18" s="570"/>
      <c r="H18" s="571"/>
      <c r="I18" s="571"/>
      <c r="J18" s="568"/>
      <c r="K18" s="569"/>
      <c r="L18" s="572">
        <f>F18+K18</f>
        <v>1681600</v>
      </c>
      <c r="M18" s="130"/>
      <c r="N18" s="176">
        <f>SUM(L18)</f>
        <v>1681600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spans="1:14" ht="12.75">
      <c r="A19" s="136" t="s">
        <v>477</v>
      </c>
      <c r="B19" s="143"/>
      <c r="C19" s="138" t="s">
        <v>112</v>
      </c>
      <c r="D19" s="578"/>
      <c r="E19" s="579"/>
      <c r="F19" s="141"/>
      <c r="G19" s="578"/>
      <c r="H19" s="580"/>
      <c r="I19" s="580"/>
      <c r="J19" s="579"/>
      <c r="K19" s="141">
        <f>K20+K23+K24+K25</f>
        <v>118146515.66666667</v>
      </c>
      <c r="L19" s="159">
        <f>F19+K19</f>
        <v>118146515.66666667</v>
      </c>
      <c r="M19" s="31"/>
      <c r="N19" s="160">
        <f>SUM(N23:N25,+N20)</f>
        <v>118146515.66666667</v>
      </c>
    </row>
    <row r="20" spans="1:256" ht="25.5">
      <c r="A20" s="135"/>
      <c r="B20" s="128" t="s">
        <v>479</v>
      </c>
      <c r="C20" s="129" t="s">
        <v>113</v>
      </c>
      <c r="D20" s="570"/>
      <c r="E20" s="568"/>
      <c r="F20" s="569"/>
      <c r="G20" s="570"/>
      <c r="H20" s="571"/>
      <c r="I20" s="571"/>
      <c r="J20" s="568"/>
      <c r="K20" s="569">
        <f>SUM(K21:K22)</f>
        <v>94741115.66666667</v>
      </c>
      <c r="L20" s="572">
        <f>SUM(K20,F20)</f>
        <v>94741115.66666667</v>
      </c>
      <c r="M20" s="130"/>
      <c r="N20" s="176">
        <f>SUM(L21:L22)</f>
        <v>94741115.66666667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spans="1:14" ht="12.75">
      <c r="A21" s="30"/>
      <c r="B21" s="125" t="s">
        <v>758</v>
      </c>
      <c r="C21" s="126" t="s">
        <v>480</v>
      </c>
      <c r="D21" s="573"/>
      <c r="E21" s="574"/>
      <c r="F21" s="575"/>
      <c r="G21" s="581">
        <v>15.4</v>
      </c>
      <c r="H21" s="576">
        <v>4371500</v>
      </c>
      <c r="I21" s="582">
        <f>14.5+1.6</f>
        <v>16.1</v>
      </c>
      <c r="J21" s="576">
        <v>4371500</v>
      </c>
      <c r="K21" s="575">
        <f>(G21*H21/12*8)+(I21*J21/12*4)+1568617-1</f>
        <v>69909732.66666667</v>
      </c>
      <c r="L21" s="577">
        <f aca="true" t="shared" si="1" ref="L21:L47">F21+K21</f>
        <v>69909732.66666667</v>
      </c>
      <c r="M21" s="31"/>
      <c r="N21" s="176"/>
    </row>
    <row r="22" spans="1:14" ht="25.5">
      <c r="A22" s="30"/>
      <c r="B22" s="125" t="s">
        <v>759</v>
      </c>
      <c r="C22" s="164" t="s">
        <v>592</v>
      </c>
      <c r="D22" s="573"/>
      <c r="E22" s="574"/>
      <c r="F22" s="575"/>
      <c r="G22" s="573">
        <v>11</v>
      </c>
      <c r="H22" s="576">
        <v>2205000</v>
      </c>
      <c r="I22" s="576">
        <v>11</v>
      </c>
      <c r="J22" s="574">
        <v>2205000</v>
      </c>
      <c r="K22" s="575">
        <f>(G22*H22/12*8)+(I22*J22/12*4)+576383</f>
        <v>24831383</v>
      </c>
      <c r="L22" s="577">
        <f t="shared" si="1"/>
        <v>24831383</v>
      </c>
      <c r="M22" s="31"/>
      <c r="N22" s="176"/>
    </row>
    <row r="23" spans="1:256" ht="12.75">
      <c r="A23" s="127"/>
      <c r="B23" s="128" t="s">
        <v>481</v>
      </c>
      <c r="C23" s="132" t="s">
        <v>482</v>
      </c>
      <c r="D23" s="583"/>
      <c r="E23" s="584"/>
      <c r="F23" s="569"/>
      <c r="G23" s="585">
        <v>175</v>
      </c>
      <c r="H23" s="571">
        <v>97400</v>
      </c>
      <c r="I23" s="586">
        <f>165+19</f>
        <v>184</v>
      </c>
      <c r="J23" s="568">
        <v>97400</v>
      </c>
      <c r="K23" s="569">
        <f>(G23*H23/12*8)+(I23*J23/12*4)</f>
        <v>17337200</v>
      </c>
      <c r="L23" s="572">
        <f t="shared" si="1"/>
        <v>17337200</v>
      </c>
      <c r="M23" s="130"/>
      <c r="N23" s="176">
        <f>SUM(L23)</f>
        <v>17337200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ht="12.75">
      <c r="A24" s="127"/>
      <c r="B24" s="128" t="s">
        <v>636</v>
      </c>
      <c r="C24" s="132" t="s">
        <v>637</v>
      </c>
      <c r="D24" s="587"/>
      <c r="E24" s="588"/>
      <c r="F24" s="569"/>
      <c r="G24" s="585"/>
      <c r="H24" s="571"/>
      <c r="I24" s="586"/>
      <c r="J24" s="568"/>
      <c r="K24" s="569">
        <v>0</v>
      </c>
      <c r="L24" s="572">
        <f>F24+K24</f>
        <v>0</v>
      </c>
      <c r="M24" s="130"/>
      <c r="N24" s="176">
        <f>SUM(L24)</f>
        <v>0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ht="25.5">
      <c r="A25" s="127"/>
      <c r="B25" s="128" t="s">
        <v>539</v>
      </c>
      <c r="C25" s="129" t="s">
        <v>540</v>
      </c>
      <c r="D25" s="583"/>
      <c r="E25" s="584"/>
      <c r="F25" s="569"/>
      <c r="G25" s="585"/>
      <c r="H25" s="571"/>
      <c r="I25" s="586"/>
      <c r="J25" s="568"/>
      <c r="K25" s="569">
        <f>SUM(K26:K29)</f>
        <v>6068200</v>
      </c>
      <c r="L25" s="572">
        <f>F25+K25</f>
        <v>6068200</v>
      </c>
      <c r="M25" s="130"/>
      <c r="N25" s="176">
        <f>SUM(L26:L29)</f>
        <v>6068200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14" ht="25.5">
      <c r="A26" s="30"/>
      <c r="B26" s="125" t="s">
        <v>638</v>
      </c>
      <c r="C26" s="164" t="s">
        <v>848</v>
      </c>
      <c r="D26" s="573"/>
      <c r="E26" s="574"/>
      <c r="F26" s="575"/>
      <c r="G26" s="573">
        <v>8</v>
      </c>
      <c r="H26" s="576">
        <v>396700</v>
      </c>
      <c r="I26" s="576"/>
      <c r="J26" s="574"/>
      <c r="K26" s="575">
        <f>G26*H26</f>
        <v>3173600</v>
      </c>
      <c r="L26" s="577">
        <f>SUM(K26)</f>
        <v>3173600</v>
      </c>
      <c r="M26" s="31"/>
      <c r="N26" s="176"/>
    </row>
    <row r="27" spans="1:14" ht="25.5">
      <c r="A27" s="30"/>
      <c r="B27" s="125"/>
      <c r="C27" s="164" t="s">
        <v>849</v>
      </c>
      <c r="D27" s="573"/>
      <c r="E27" s="574"/>
      <c r="F27" s="575"/>
      <c r="G27" s="573">
        <v>0</v>
      </c>
      <c r="H27" s="576">
        <v>363642</v>
      </c>
      <c r="I27" s="576"/>
      <c r="J27" s="574"/>
      <c r="K27" s="575">
        <f>G27*H27</f>
        <v>0</v>
      </c>
      <c r="L27" s="577">
        <f>SUM(K27)</f>
        <v>0</v>
      </c>
      <c r="M27" s="31"/>
      <c r="N27" s="176"/>
    </row>
    <row r="28" spans="1:14" ht="25.5">
      <c r="A28" s="30"/>
      <c r="B28" s="125" t="s">
        <v>639</v>
      </c>
      <c r="C28" s="164" t="s">
        <v>850</v>
      </c>
      <c r="D28" s="573"/>
      <c r="E28" s="574"/>
      <c r="F28" s="575"/>
      <c r="G28" s="573">
        <v>2</v>
      </c>
      <c r="H28" s="576">
        <v>1447300</v>
      </c>
      <c r="I28" s="576"/>
      <c r="J28" s="574"/>
      <c r="K28" s="575">
        <f>G28*H28</f>
        <v>2894600</v>
      </c>
      <c r="L28" s="577">
        <f>SUM(K28)</f>
        <v>2894600</v>
      </c>
      <c r="M28" s="31"/>
      <c r="N28" s="176"/>
    </row>
    <row r="29" spans="1:14" ht="38.25">
      <c r="A29" s="30"/>
      <c r="B29" s="125"/>
      <c r="C29" s="164" t="s">
        <v>851</v>
      </c>
      <c r="D29" s="573"/>
      <c r="E29" s="574"/>
      <c r="F29" s="575"/>
      <c r="G29" s="573">
        <v>0</v>
      </c>
      <c r="H29" s="576">
        <v>1326692</v>
      </c>
      <c r="I29" s="576"/>
      <c r="J29" s="574"/>
      <c r="K29" s="575">
        <f>G29*H29</f>
        <v>0</v>
      </c>
      <c r="L29" s="577">
        <f>SUM(K29)</f>
        <v>0</v>
      </c>
      <c r="M29" s="31"/>
      <c r="N29" s="176"/>
    </row>
    <row r="30" spans="1:256" ht="25.5">
      <c r="A30" s="136" t="s">
        <v>483</v>
      </c>
      <c r="B30" s="144"/>
      <c r="C30" s="138" t="s">
        <v>114</v>
      </c>
      <c r="D30" s="139"/>
      <c r="E30" s="140"/>
      <c r="F30" s="141">
        <f>SUM(F31:F33,F37,F41)</f>
        <v>121683491</v>
      </c>
      <c r="G30" s="589"/>
      <c r="H30" s="142"/>
      <c r="I30" s="590"/>
      <c r="J30" s="140"/>
      <c r="K30" s="141">
        <f>SUM(K31:K33,K37,K40,K41)</f>
        <v>53390380</v>
      </c>
      <c r="L30" s="141">
        <f>SUM(L31:L33,L37,L41)</f>
        <v>175073871</v>
      </c>
      <c r="M30" s="130"/>
      <c r="N30" s="160">
        <f>SUM(N31:N44)</f>
        <v>175073871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</row>
    <row r="31" spans="1:256" ht="12.75">
      <c r="A31" s="127"/>
      <c r="B31" s="128" t="s">
        <v>484</v>
      </c>
      <c r="C31" s="132" t="s">
        <v>852</v>
      </c>
      <c r="D31" s="583"/>
      <c r="E31" s="584"/>
      <c r="F31" s="569"/>
      <c r="G31" s="585"/>
      <c r="H31" s="571"/>
      <c r="I31" s="586"/>
      <c r="J31" s="568"/>
      <c r="K31" s="569">
        <f>10844656-463855</f>
        <v>10380801</v>
      </c>
      <c r="L31" s="572">
        <f t="shared" si="1"/>
        <v>10380801</v>
      </c>
      <c r="M31" s="130"/>
      <c r="N31" s="176">
        <f>SUM(L31)</f>
        <v>10380801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spans="1:256" ht="12.75">
      <c r="A32" s="127"/>
      <c r="B32" s="128" t="s">
        <v>485</v>
      </c>
      <c r="C32" s="132" t="s">
        <v>989</v>
      </c>
      <c r="D32" s="583"/>
      <c r="E32" s="584"/>
      <c r="F32" s="569">
        <v>49762591</v>
      </c>
      <c r="G32" s="585"/>
      <c r="H32" s="571"/>
      <c r="I32" s="586"/>
      <c r="J32" s="568"/>
      <c r="K32" s="569"/>
      <c r="L32" s="572">
        <f t="shared" si="1"/>
        <v>49762591</v>
      </c>
      <c r="M32" s="130"/>
      <c r="N32" s="176">
        <f>SUM(L32)</f>
        <v>49762591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</row>
    <row r="33" spans="1:256" ht="12.75">
      <c r="A33" s="127"/>
      <c r="B33" s="128" t="s">
        <v>486</v>
      </c>
      <c r="C33" s="132" t="s">
        <v>487</v>
      </c>
      <c r="D33" s="583"/>
      <c r="E33" s="584"/>
      <c r="F33" s="569">
        <f>SUM(F34:F35)</f>
        <v>0</v>
      </c>
      <c r="G33" s="585"/>
      <c r="H33" s="571"/>
      <c r="I33" s="586"/>
      <c r="J33" s="568"/>
      <c r="K33" s="569">
        <f>SUM(K34:K36)</f>
        <v>31743579</v>
      </c>
      <c r="L33" s="572">
        <f t="shared" si="1"/>
        <v>31743579</v>
      </c>
      <c r="M33" s="130"/>
      <c r="N33" s="176">
        <f>SUM(L34:L35)</f>
        <v>24446000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</row>
    <row r="34" spans="1:14" ht="12.75">
      <c r="A34" s="30"/>
      <c r="B34" s="125" t="s">
        <v>593</v>
      </c>
      <c r="C34" s="126" t="s">
        <v>594</v>
      </c>
      <c r="D34" s="573"/>
      <c r="E34" s="574"/>
      <c r="F34" s="575"/>
      <c r="G34" s="591"/>
      <c r="H34" s="576"/>
      <c r="I34" s="592"/>
      <c r="J34" s="574"/>
      <c r="K34" s="575">
        <f>3740000+436704</f>
        <v>4176704</v>
      </c>
      <c r="L34" s="577">
        <f t="shared" si="1"/>
        <v>4176704</v>
      </c>
      <c r="M34" s="31"/>
      <c r="N34" s="31"/>
    </row>
    <row r="35" spans="1:14" ht="12.75">
      <c r="A35" s="30"/>
      <c r="B35" s="125" t="s">
        <v>596</v>
      </c>
      <c r="C35" s="126" t="s">
        <v>595</v>
      </c>
      <c r="D35" s="573"/>
      <c r="E35" s="574"/>
      <c r="F35" s="575"/>
      <c r="G35" s="591"/>
      <c r="H35" s="576"/>
      <c r="I35" s="592"/>
      <c r="J35" s="574"/>
      <c r="K35" s="575">
        <f>18150000+2119296</f>
        <v>20269296</v>
      </c>
      <c r="L35" s="577">
        <f t="shared" si="1"/>
        <v>20269296</v>
      </c>
      <c r="M35" s="31"/>
      <c r="N35" s="31"/>
    </row>
    <row r="36" spans="1:14" ht="12.75">
      <c r="A36" s="30"/>
      <c r="B36" s="125" t="s">
        <v>862</v>
      </c>
      <c r="C36" s="126" t="s">
        <v>863</v>
      </c>
      <c r="D36" s="573"/>
      <c r="E36" s="574"/>
      <c r="F36" s="575"/>
      <c r="G36" s="591"/>
      <c r="H36" s="576"/>
      <c r="I36" s="592"/>
      <c r="J36" s="574"/>
      <c r="K36" s="575">
        <v>7297579</v>
      </c>
      <c r="L36" s="577">
        <f t="shared" si="1"/>
        <v>7297579</v>
      </c>
      <c r="M36" s="31"/>
      <c r="N36" s="31">
        <f>SUM(L36)</f>
        <v>7297579</v>
      </c>
    </row>
    <row r="37" spans="1:256" ht="12.75">
      <c r="A37" s="127"/>
      <c r="B37" s="128" t="s">
        <v>115</v>
      </c>
      <c r="C37" s="132" t="s">
        <v>764</v>
      </c>
      <c r="D37" s="583"/>
      <c r="E37" s="584"/>
      <c r="F37" s="569">
        <f>SUM(F38:F40)</f>
        <v>71920900</v>
      </c>
      <c r="G37" s="585"/>
      <c r="H37" s="571"/>
      <c r="I37" s="586"/>
      <c r="J37" s="568"/>
      <c r="K37" s="569">
        <f>SUM(K38:K40)</f>
        <v>0</v>
      </c>
      <c r="L37" s="572">
        <f t="shared" si="1"/>
        <v>71920900</v>
      </c>
      <c r="M37" s="130"/>
      <c r="N37" s="176">
        <f>SUM(L38:L40)</f>
        <v>71920900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</row>
    <row r="38" spans="1:14" ht="12.75">
      <c r="A38" s="30"/>
      <c r="B38" s="125" t="s">
        <v>853</v>
      </c>
      <c r="C38" s="164" t="s">
        <v>765</v>
      </c>
      <c r="D38" s="593">
        <f>10.69-0.37</f>
        <v>10.32</v>
      </c>
      <c r="E38" s="594">
        <v>1900000</v>
      </c>
      <c r="F38" s="575">
        <f>E38*D38</f>
        <v>19608000</v>
      </c>
      <c r="G38" s="581"/>
      <c r="H38" s="576"/>
      <c r="I38" s="582"/>
      <c r="J38" s="574"/>
      <c r="K38" s="575"/>
      <c r="L38" s="595">
        <f t="shared" si="1"/>
        <v>19608000</v>
      </c>
      <c r="M38" s="31"/>
      <c r="N38" s="176"/>
    </row>
    <row r="39" spans="1:14" ht="12.75">
      <c r="A39" s="30"/>
      <c r="B39" s="125" t="s">
        <v>854</v>
      </c>
      <c r="C39" s="164" t="s">
        <v>117</v>
      </c>
      <c r="D39" s="593"/>
      <c r="E39" s="574"/>
      <c r="F39" s="784">
        <f>50774910+2774152-2557992</f>
        <v>50991070</v>
      </c>
      <c r="G39" s="573"/>
      <c r="H39" s="576"/>
      <c r="I39" s="576"/>
      <c r="J39" s="574"/>
      <c r="K39" s="575"/>
      <c r="L39" s="595">
        <f>F39+K39</f>
        <v>50991070</v>
      </c>
      <c r="M39" s="31"/>
      <c r="N39" s="31"/>
    </row>
    <row r="40" spans="1:256" ht="12.75">
      <c r="A40" s="127"/>
      <c r="B40" s="125" t="s">
        <v>116</v>
      </c>
      <c r="C40" s="164" t="s">
        <v>766</v>
      </c>
      <c r="D40" s="779">
        <f>3120-48-753</f>
        <v>2319</v>
      </c>
      <c r="E40" s="780">
        <v>570</v>
      </c>
      <c r="F40" s="781">
        <f>D40*E40</f>
        <v>1321830</v>
      </c>
      <c r="G40" s="585"/>
      <c r="H40" s="571"/>
      <c r="I40" s="586"/>
      <c r="J40" s="568"/>
      <c r="K40" s="569"/>
      <c r="L40" s="595">
        <f t="shared" si="1"/>
        <v>1321830</v>
      </c>
      <c r="M40" s="130"/>
      <c r="N40" s="176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</row>
    <row r="41" spans="1:256" ht="12.75">
      <c r="A41" s="127"/>
      <c r="B41" s="128" t="s">
        <v>855</v>
      </c>
      <c r="C41" s="132" t="s">
        <v>760</v>
      </c>
      <c r="D41" s="583"/>
      <c r="E41" s="584"/>
      <c r="F41" s="569"/>
      <c r="G41" s="585"/>
      <c r="H41" s="571"/>
      <c r="I41" s="586"/>
      <c r="J41" s="568"/>
      <c r="K41" s="569">
        <f>SUM(K42:K44)</f>
        <v>11266000</v>
      </c>
      <c r="L41" s="572">
        <f t="shared" si="1"/>
        <v>11266000</v>
      </c>
      <c r="M41" s="130"/>
      <c r="N41" s="176">
        <f>SUM(L42:L43)</f>
        <v>10405000</v>
      </c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</row>
    <row r="42" spans="1:14" ht="12.75">
      <c r="A42" s="30"/>
      <c r="B42" s="125" t="s">
        <v>856</v>
      </c>
      <c r="C42" s="164" t="s">
        <v>761</v>
      </c>
      <c r="D42" s="593"/>
      <c r="E42" s="574"/>
      <c r="F42" s="575"/>
      <c r="G42" s="573">
        <v>1</v>
      </c>
      <c r="H42" s="576">
        <v>4419000</v>
      </c>
      <c r="I42" s="576"/>
      <c r="J42" s="574"/>
      <c r="K42" s="575">
        <f>G42*H42</f>
        <v>4419000</v>
      </c>
      <c r="L42" s="595">
        <f t="shared" si="1"/>
        <v>4419000</v>
      </c>
      <c r="M42" s="31"/>
      <c r="N42" s="31"/>
    </row>
    <row r="43" spans="1:14" ht="25.5">
      <c r="A43" s="30"/>
      <c r="B43" s="125" t="s">
        <v>857</v>
      </c>
      <c r="C43" s="164" t="s">
        <v>762</v>
      </c>
      <c r="D43" s="593"/>
      <c r="E43" s="574"/>
      <c r="F43" s="575"/>
      <c r="G43" s="573">
        <v>2</v>
      </c>
      <c r="H43" s="576">
        <v>2993000</v>
      </c>
      <c r="I43" s="576"/>
      <c r="J43" s="574"/>
      <c r="K43" s="575">
        <f>G43*H43</f>
        <v>5986000</v>
      </c>
      <c r="L43" s="595">
        <f t="shared" si="1"/>
        <v>5986000</v>
      </c>
      <c r="M43" s="31"/>
      <c r="N43" s="31"/>
    </row>
    <row r="44" spans="1:14" ht="12.75">
      <c r="A44" s="30"/>
      <c r="B44" s="125" t="s">
        <v>858</v>
      </c>
      <c r="C44" s="164" t="s">
        <v>763</v>
      </c>
      <c r="D44" s="593"/>
      <c r="E44" s="574"/>
      <c r="F44" s="575"/>
      <c r="G44" s="573"/>
      <c r="H44" s="576"/>
      <c r="I44" s="576"/>
      <c r="J44" s="574"/>
      <c r="K44" s="784">
        <f>1139000-192775-85225</f>
        <v>861000</v>
      </c>
      <c r="L44" s="595">
        <f t="shared" si="1"/>
        <v>861000</v>
      </c>
      <c r="M44" s="31"/>
      <c r="N44" s="31">
        <f>SUM(L44)</f>
        <v>861000</v>
      </c>
    </row>
    <row r="45" spans="1:256" ht="12.75">
      <c r="A45" s="136" t="s">
        <v>489</v>
      </c>
      <c r="B45" s="144"/>
      <c r="C45" s="138" t="s">
        <v>474</v>
      </c>
      <c r="D45" s="139"/>
      <c r="E45" s="140"/>
      <c r="F45" s="141">
        <f>SUM(F47:F48)</f>
        <v>11635318</v>
      </c>
      <c r="G45" s="589"/>
      <c r="H45" s="142"/>
      <c r="I45" s="590"/>
      <c r="J45" s="140"/>
      <c r="K45" s="141"/>
      <c r="L45" s="159">
        <f t="shared" si="1"/>
        <v>11635318</v>
      </c>
      <c r="M45" s="130"/>
      <c r="N45" s="160">
        <f>SUM(L47+L48)</f>
        <v>11635318</v>
      </c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</row>
    <row r="46" spans="1:256" ht="12.75">
      <c r="A46" s="127"/>
      <c r="B46" s="128" t="s">
        <v>542</v>
      </c>
      <c r="C46" s="132" t="s">
        <v>543</v>
      </c>
      <c r="D46" s="583"/>
      <c r="E46" s="584"/>
      <c r="F46" s="569"/>
      <c r="G46" s="585"/>
      <c r="H46" s="571"/>
      <c r="I46" s="586"/>
      <c r="J46" s="568"/>
      <c r="K46" s="569"/>
      <c r="L46" s="572"/>
      <c r="M46" s="130"/>
      <c r="N46" s="176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spans="1:14" ht="25.5">
      <c r="A47" s="30"/>
      <c r="B47" s="125" t="s">
        <v>541</v>
      </c>
      <c r="C47" s="164" t="s">
        <v>118</v>
      </c>
      <c r="D47" s="573">
        <v>8684</v>
      </c>
      <c r="E47" s="574">
        <v>1210</v>
      </c>
      <c r="F47" s="575">
        <f>D47*E47+356000</f>
        <v>10863640</v>
      </c>
      <c r="G47" s="596"/>
      <c r="H47" s="597"/>
      <c r="I47" s="592"/>
      <c r="J47" s="594"/>
      <c r="K47" s="575"/>
      <c r="L47" s="577">
        <f t="shared" si="1"/>
        <v>10863640</v>
      </c>
      <c r="M47" s="31"/>
      <c r="N47" s="31"/>
    </row>
    <row r="48" spans="1:256" ht="12.75">
      <c r="A48" s="127"/>
      <c r="B48" s="128" t="s">
        <v>859</v>
      </c>
      <c r="C48" s="132" t="s">
        <v>860</v>
      </c>
      <c r="D48" s="583"/>
      <c r="E48" s="584"/>
      <c r="F48" s="781">
        <f>862312-90634</f>
        <v>771678</v>
      </c>
      <c r="G48" s="585"/>
      <c r="H48" s="571"/>
      <c r="I48" s="586"/>
      <c r="J48" s="568"/>
      <c r="K48" s="569"/>
      <c r="L48" s="572">
        <f>SUM(K48+F48)</f>
        <v>771678</v>
      </c>
      <c r="M48" s="130"/>
      <c r="N48" s="176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</row>
    <row r="49" spans="1:256" ht="15">
      <c r="A49" s="1301" t="s">
        <v>492</v>
      </c>
      <c r="B49" s="1301"/>
      <c r="C49" s="1302"/>
      <c r="D49" s="598" t="s">
        <v>466</v>
      </c>
      <c r="E49" s="599" t="s">
        <v>466</v>
      </c>
      <c r="F49" s="600">
        <f>SUM(F45,F30,F19,F8)</f>
        <v>324761782</v>
      </c>
      <c r="G49" s="598" t="s">
        <v>466</v>
      </c>
      <c r="H49" s="601" t="s">
        <v>466</v>
      </c>
      <c r="I49" s="601" t="s">
        <v>466</v>
      </c>
      <c r="J49" s="599" t="s">
        <v>466</v>
      </c>
      <c r="K49" s="600">
        <f>SUM(K45,K30,K19,K8)</f>
        <v>171536895.6666667</v>
      </c>
      <c r="L49" s="602">
        <f>SUM(L45,L30,L19,L8)</f>
        <v>496298677.6666667</v>
      </c>
      <c r="M49" s="33"/>
      <c r="N49" s="34">
        <f>SUM(N45,N30,N19,N8)</f>
        <v>496298677.6666667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2.75">
      <c r="A50" s="127" t="s">
        <v>478</v>
      </c>
      <c r="B50" s="128" t="s">
        <v>1043</v>
      </c>
      <c r="C50" s="132" t="s">
        <v>1044</v>
      </c>
      <c r="D50" s="583"/>
      <c r="E50" s="584"/>
      <c r="F50" s="569">
        <v>10464000</v>
      </c>
      <c r="G50" s="585"/>
      <c r="H50" s="571"/>
      <c r="I50" s="586"/>
      <c r="J50" s="568"/>
      <c r="K50" s="569"/>
      <c r="L50" s="572">
        <f>SUM(K50+F50)</f>
        <v>10464000</v>
      </c>
      <c r="M50" s="130"/>
      <c r="N50" s="176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</row>
    <row r="51" spans="1:256" ht="25.5">
      <c r="A51" s="127" t="s">
        <v>478</v>
      </c>
      <c r="B51" s="128" t="s">
        <v>1072</v>
      </c>
      <c r="C51" s="129" t="s">
        <v>1073</v>
      </c>
      <c r="D51" s="583"/>
      <c r="E51" s="584"/>
      <c r="F51" s="569">
        <v>10858846</v>
      </c>
      <c r="G51" s="585"/>
      <c r="H51" s="571"/>
      <c r="I51" s="586"/>
      <c r="J51" s="568"/>
      <c r="K51" s="569"/>
      <c r="L51" s="572">
        <f>SUM(K51+F51)</f>
        <v>10858846</v>
      </c>
      <c r="M51" s="130"/>
      <c r="N51" s="176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</row>
    <row r="52" spans="1:256" ht="12.75">
      <c r="A52" s="127" t="s">
        <v>477</v>
      </c>
      <c r="B52" s="128" t="s">
        <v>1079</v>
      </c>
      <c r="C52" s="132" t="s">
        <v>1080</v>
      </c>
      <c r="D52" s="583"/>
      <c r="E52" s="584"/>
      <c r="F52" s="569">
        <v>29999998</v>
      </c>
      <c r="G52" s="585"/>
      <c r="H52" s="571"/>
      <c r="I52" s="586"/>
      <c r="J52" s="568"/>
      <c r="K52" s="569"/>
      <c r="L52" s="572">
        <f>SUM(K52+F52)</f>
        <v>29999998</v>
      </c>
      <c r="M52" s="130"/>
      <c r="N52" s="176">
        <f>SUM(L52)</f>
        <v>29999998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ht="15">
      <c r="A53" s="1301" t="s">
        <v>1042</v>
      </c>
      <c r="B53" s="1301"/>
      <c r="C53" s="1302"/>
      <c r="D53" s="598" t="s">
        <v>466</v>
      </c>
      <c r="E53" s="599" t="s">
        <v>466</v>
      </c>
      <c r="F53" s="600">
        <f>SUM(F50:F52)</f>
        <v>51322844</v>
      </c>
      <c r="G53" s="598" t="s">
        <v>466</v>
      </c>
      <c r="H53" s="601" t="s">
        <v>466</v>
      </c>
      <c r="I53" s="601" t="s">
        <v>466</v>
      </c>
      <c r="J53" s="599" t="s">
        <v>466</v>
      </c>
      <c r="K53" s="600">
        <f>SUM(K50:K52)</f>
        <v>0</v>
      </c>
      <c r="L53" s="602">
        <f>SUM(L50:L52)</f>
        <v>51322844</v>
      </c>
      <c r="M53" s="33"/>
      <c r="N53" s="34">
        <f>SUM(L50:L52)</f>
        <v>51322844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6.5">
      <c r="A54" s="1303" t="s">
        <v>119</v>
      </c>
      <c r="B54" s="1303"/>
      <c r="C54" s="1304"/>
      <c r="D54" s="603" t="s">
        <v>466</v>
      </c>
      <c r="E54" s="604" t="s">
        <v>466</v>
      </c>
      <c r="F54" s="605">
        <f>SUM(F49+F53)</f>
        <v>376084626</v>
      </c>
      <c r="G54" s="603" t="s">
        <v>466</v>
      </c>
      <c r="H54" s="606" t="s">
        <v>466</v>
      </c>
      <c r="I54" s="606" t="s">
        <v>466</v>
      </c>
      <c r="J54" s="604" t="s">
        <v>466</v>
      </c>
      <c r="K54" s="605">
        <f>SUM(K49+K53)</f>
        <v>171536895.6666667</v>
      </c>
      <c r="L54" s="605">
        <f>SUM(L49+L53)</f>
        <v>547621521.6666667</v>
      </c>
      <c r="M54" s="33"/>
      <c r="N54" s="34">
        <f>SUM(N49+N53)</f>
        <v>547621521.6666667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</sheetData>
  <sheetProtection/>
  <mergeCells count="11">
    <mergeCell ref="A2:K2"/>
    <mergeCell ref="A3:K3"/>
    <mergeCell ref="A5:C5"/>
    <mergeCell ref="D5:F5"/>
    <mergeCell ref="G5:K5"/>
    <mergeCell ref="A53:C53"/>
    <mergeCell ref="A49:C49"/>
    <mergeCell ref="A54:C54"/>
    <mergeCell ref="L5:L6"/>
    <mergeCell ref="A6:B6"/>
    <mergeCell ref="A7:B7"/>
  </mergeCells>
  <printOptions horizontalCentered="1"/>
  <pageMargins left="0.1968503937007874" right="0.1968503937007874" top="0.11811023622047245" bottom="0.11811023622047245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4"/>
  <sheetViews>
    <sheetView tabSelected="1" zoomScalePageLayoutView="0" workbookViewId="0" topLeftCell="A1">
      <selection activeCell="A170" sqref="A170:IV170"/>
    </sheetView>
  </sheetViews>
  <sheetFormatPr defaultColWidth="9.00390625" defaultRowHeight="12.75"/>
  <cols>
    <col min="1" max="1" width="4.625" style="672" customWidth="1"/>
    <col min="2" max="2" width="39.625" style="186" customWidth="1"/>
    <col min="3" max="3" width="15.00390625" style="186" customWidth="1"/>
    <col min="4" max="4" width="11.125" style="186" bestFit="1" customWidth="1"/>
    <col min="5" max="5" width="11.875" style="186" customWidth="1"/>
    <col min="6" max="6" width="11.75390625" style="186" customWidth="1"/>
    <col min="7" max="8" width="11.25390625" style="186" customWidth="1"/>
    <col min="9" max="9" width="11.75390625" style="186" customWidth="1"/>
    <col min="10" max="11" width="15.375" style="186" customWidth="1"/>
    <col min="12" max="12" width="16.625" style="186" customWidth="1"/>
  </cols>
  <sheetData>
    <row r="1" spans="2:12" ht="15">
      <c r="B1" s="1362" t="s">
        <v>1187</v>
      </c>
      <c r="C1" s="1362"/>
      <c r="D1" s="1362"/>
      <c r="E1" s="1362"/>
      <c r="F1" s="1362"/>
      <c r="G1" s="1362"/>
      <c r="H1" s="1362"/>
      <c r="I1" s="1362"/>
      <c r="J1" s="1362"/>
      <c r="K1" s="1362"/>
      <c r="L1" s="1362"/>
    </row>
    <row r="4" spans="2:12" ht="41.25" customHeight="1">
      <c r="B4" s="1363" t="s">
        <v>950</v>
      </c>
      <c r="C4" s="1363"/>
      <c r="D4" s="1363"/>
      <c r="E4" s="1363"/>
      <c r="F4" s="1363"/>
      <c r="G4" s="1363"/>
      <c r="H4" s="1363"/>
      <c r="I4" s="1363"/>
      <c r="J4" s="1363"/>
      <c r="K4" s="1363"/>
      <c r="L4" s="1363"/>
    </row>
    <row r="7" ht="13.5" thickBot="1"/>
    <row r="8" spans="1:12" ht="12.75" customHeight="1">
      <c r="A8" s="1364" t="s">
        <v>445</v>
      </c>
      <c r="B8" s="1367" t="s">
        <v>366</v>
      </c>
      <c r="C8" s="1370" t="s">
        <v>815</v>
      </c>
      <c r="D8" s="1371"/>
      <c r="E8" s="1371"/>
      <c r="F8" s="1371"/>
      <c r="G8" s="1371"/>
      <c r="H8" s="1372"/>
      <c r="I8" s="1372"/>
      <c r="J8" s="1354" t="s">
        <v>964</v>
      </c>
      <c r="K8" s="1354" t="s">
        <v>965</v>
      </c>
      <c r="L8" s="1354" t="s">
        <v>966</v>
      </c>
    </row>
    <row r="9" spans="1:12" ht="12.75">
      <c r="A9" s="1365"/>
      <c r="B9" s="1368"/>
      <c r="C9" s="1373" t="s">
        <v>434</v>
      </c>
      <c r="D9" s="1374" t="s">
        <v>816</v>
      </c>
      <c r="E9" s="1375"/>
      <c r="F9" s="1375"/>
      <c r="G9" s="1375"/>
      <c r="H9" s="1376"/>
      <c r="I9" s="1376"/>
      <c r="J9" s="1355"/>
      <c r="K9" s="1355"/>
      <c r="L9" s="1355"/>
    </row>
    <row r="10" spans="1:12" ht="42" customHeight="1">
      <c r="A10" s="1366"/>
      <c r="B10" s="1369"/>
      <c r="C10" s="1373"/>
      <c r="D10" s="674" t="s">
        <v>453</v>
      </c>
      <c r="E10" s="674" t="s">
        <v>454</v>
      </c>
      <c r="F10" s="674" t="s">
        <v>455</v>
      </c>
      <c r="G10" s="674" t="s">
        <v>456</v>
      </c>
      <c r="H10" s="675" t="s">
        <v>457</v>
      </c>
      <c r="I10" s="675" t="s">
        <v>458</v>
      </c>
      <c r="J10" s="1356"/>
      <c r="K10" s="1356"/>
      <c r="L10" s="1356"/>
    </row>
    <row r="11" spans="1:12" ht="13.5" thickBot="1">
      <c r="A11" s="673" t="s">
        <v>439</v>
      </c>
      <c r="B11" s="676" t="s">
        <v>440</v>
      </c>
      <c r="C11" s="677" t="s">
        <v>441</v>
      </c>
      <c r="D11" s="678" t="s">
        <v>442</v>
      </c>
      <c r="E11" s="679" t="s">
        <v>443</v>
      </c>
      <c r="F11" s="679" t="s">
        <v>444</v>
      </c>
      <c r="G11" s="679" t="s">
        <v>446</v>
      </c>
      <c r="H11" s="679" t="s">
        <v>447</v>
      </c>
      <c r="I11" s="679" t="s">
        <v>397</v>
      </c>
      <c r="J11" s="680" t="s">
        <v>398</v>
      </c>
      <c r="K11" s="680" t="s">
        <v>398</v>
      </c>
      <c r="L11" s="681" t="s">
        <v>399</v>
      </c>
    </row>
    <row r="12" spans="1:12" ht="19.5" thickBot="1" thickTop="1">
      <c r="A12" s="809">
        <v>1</v>
      </c>
      <c r="B12" s="1338" t="s">
        <v>87</v>
      </c>
      <c r="C12" s="1339"/>
      <c r="D12" s="1339"/>
      <c r="E12" s="1339"/>
      <c r="F12" s="1339"/>
      <c r="G12" s="1339"/>
      <c r="H12" s="1339"/>
      <c r="I12" s="1339"/>
      <c r="J12" s="1339"/>
      <c r="K12" s="1339"/>
      <c r="L12" s="1340"/>
    </row>
    <row r="13" spans="1:12" ht="16.5" thickBot="1" thickTop="1">
      <c r="A13" s="810">
        <v>2</v>
      </c>
      <c r="B13" s="1344" t="s">
        <v>951</v>
      </c>
      <c r="C13" s="1345"/>
      <c r="D13" s="1345"/>
      <c r="E13" s="1345"/>
      <c r="F13" s="1345"/>
      <c r="G13" s="1345"/>
      <c r="H13" s="1345"/>
      <c r="I13" s="1345"/>
      <c r="J13" s="1346"/>
      <c r="K13" s="1346"/>
      <c r="L13" s="811"/>
    </row>
    <row r="14" spans="1:12" ht="12.75">
      <c r="A14" s="682">
        <v>3</v>
      </c>
      <c r="B14" s="685" t="s">
        <v>817</v>
      </c>
      <c r="C14" s="686">
        <f>SUM(I14+G14+F14+E14+D14)</f>
        <v>0</v>
      </c>
      <c r="D14" s="687">
        <v>0</v>
      </c>
      <c r="E14" s="687">
        <v>0</v>
      </c>
      <c r="F14" s="687">
        <v>0</v>
      </c>
      <c r="G14" s="688"/>
      <c r="H14" s="688"/>
      <c r="I14" s="688"/>
      <c r="J14" s="689">
        <v>0</v>
      </c>
      <c r="K14" s="689">
        <v>0</v>
      </c>
      <c r="L14" s="1326"/>
    </row>
    <row r="15" spans="1:12" ht="13.5" thickBot="1">
      <c r="A15" s="684">
        <v>4</v>
      </c>
      <c r="B15" s="690" t="s">
        <v>818</v>
      </c>
      <c r="C15" s="691">
        <v>7000000</v>
      </c>
      <c r="D15" s="692">
        <v>7000000</v>
      </c>
      <c r="E15" s="693">
        <v>0</v>
      </c>
      <c r="F15" s="693">
        <v>0</v>
      </c>
      <c r="G15" s="694"/>
      <c r="H15" s="694"/>
      <c r="I15" s="694"/>
      <c r="J15" s="695">
        <v>257950</v>
      </c>
      <c r="K15" s="695">
        <v>0</v>
      </c>
      <c r="L15" s="1327"/>
    </row>
    <row r="16" spans="1:12" ht="13.5" thickBot="1">
      <c r="A16" s="684">
        <v>5</v>
      </c>
      <c r="B16" s="696" t="s">
        <v>819</v>
      </c>
      <c r="C16" s="697">
        <f>SUM(I16+G16+F16+E16+D16)</f>
        <v>7000000</v>
      </c>
      <c r="D16" s="698">
        <f>SUM(D14+D15)</f>
        <v>7000000</v>
      </c>
      <c r="E16" s="698">
        <f>SUM(E14+E15)</f>
        <v>0</v>
      </c>
      <c r="F16" s="698">
        <f>SUM(F14+F15)</f>
        <v>0</v>
      </c>
      <c r="G16" s="699"/>
      <c r="H16" s="700"/>
      <c r="I16" s="701"/>
      <c r="J16" s="702">
        <f>SUM(J14+J15)</f>
        <v>257950</v>
      </c>
      <c r="K16" s="702">
        <f>SUM(K14+K15)</f>
        <v>0</v>
      </c>
      <c r="L16" s="1328"/>
    </row>
    <row r="17" spans="1:12" ht="13.5" thickBot="1">
      <c r="A17" s="684"/>
      <c r="B17" s="1357"/>
      <c r="C17" s="1358"/>
      <c r="D17" s="1359"/>
      <c r="E17" s="1359"/>
      <c r="F17" s="1359"/>
      <c r="G17" s="1359"/>
      <c r="H17" s="1359"/>
      <c r="I17" s="1359"/>
      <c r="J17" s="1360"/>
      <c r="K17" s="1361"/>
      <c r="L17" s="683"/>
    </row>
    <row r="18" spans="1:12" ht="12.75">
      <c r="A18" s="703">
        <v>6</v>
      </c>
      <c r="B18" s="704" t="s">
        <v>820</v>
      </c>
      <c r="C18" s="705">
        <v>3150000</v>
      </c>
      <c r="D18" s="687">
        <v>3150000</v>
      </c>
      <c r="E18" s="706">
        <v>0</v>
      </c>
      <c r="F18" s="706">
        <v>0</v>
      </c>
      <c r="G18" s="688"/>
      <c r="H18" s="688"/>
      <c r="I18" s="688"/>
      <c r="J18" s="1326"/>
      <c r="K18" s="1326"/>
      <c r="L18" s="689">
        <v>0</v>
      </c>
    </row>
    <row r="19" spans="1:12" ht="13.5" thickBot="1">
      <c r="A19" s="703">
        <v>7</v>
      </c>
      <c r="B19" s="707" t="s">
        <v>821</v>
      </c>
      <c r="C19" s="708">
        <v>3850000</v>
      </c>
      <c r="D19" s="692">
        <f>3850000-257950</f>
        <v>3592050</v>
      </c>
      <c r="E19" s="692">
        <v>0</v>
      </c>
      <c r="F19" s="692">
        <v>257950</v>
      </c>
      <c r="G19" s="694"/>
      <c r="H19" s="694"/>
      <c r="I19" s="694"/>
      <c r="J19" s="1327"/>
      <c r="K19" s="1327"/>
      <c r="L19" s="695">
        <v>257950</v>
      </c>
    </row>
    <row r="20" spans="1:12" ht="13.5" thickBot="1">
      <c r="A20" s="709">
        <v>8</v>
      </c>
      <c r="B20" s="710" t="s">
        <v>375</v>
      </c>
      <c r="C20" s="711">
        <f>SUM(C18:C19)</f>
        <v>7000000</v>
      </c>
      <c r="D20" s="712">
        <f>SUM(D18:D19)</f>
        <v>6742050</v>
      </c>
      <c r="E20" s="712">
        <f>SUM(E18:E19)</f>
        <v>0</v>
      </c>
      <c r="F20" s="712">
        <f>SUM(F18:F19)</f>
        <v>257950</v>
      </c>
      <c r="G20" s="699"/>
      <c r="H20" s="700"/>
      <c r="I20" s="701"/>
      <c r="J20" s="1328"/>
      <c r="K20" s="1328"/>
      <c r="L20" s="713">
        <f>SUM(L18:L19)</f>
        <v>257950</v>
      </c>
    </row>
    <row r="21" spans="1:12" ht="14.25" thickBot="1" thickTop="1">
      <c r="A21" s="714"/>
      <c r="B21" s="1341"/>
      <c r="C21" s="1342"/>
      <c r="D21" s="1342"/>
      <c r="E21" s="1342"/>
      <c r="F21" s="1342"/>
      <c r="G21" s="1342"/>
      <c r="H21" s="1342"/>
      <c r="I21" s="1342"/>
      <c r="J21" s="1342"/>
      <c r="K21" s="1342"/>
      <c r="L21" s="1343"/>
    </row>
    <row r="22" spans="1:12" ht="30" customHeight="1" thickBot="1" thickTop="1">
      <c r="A22" s="810">
        <v>9</v>
      </c>
      <c r="B22" s="1323" t="s">
        <v>952</v>
      </c>
      <c r="C22" s="1324"/>
      <c r="D22" s="1324"/>
      <c r="E22" s="1324"/>
      <c r="F22" s="1324"/>
      <c r="G22" s="1324"/>
      <c r="H22" s="1324"/>
      <c r="I22" s="1324"/>
      <c r="J22" s="1325"/>
      <c r="K22" s="1325"/>
      <c r="L22" s="812"/>
    </row>
    <row r="23" spans="1:12" ht="12.75">
      <c r="A23" s="682">
        <v>10</v>
      </c>
      <c r="B23" s="685" t="s">
        <v>822</v>
      </c>
      <c r="C23" s="715">
        <v>0</v>
      </c>
      <c r="D23" s="716">
        <v>0</v>
      </c>
      <c r="E23" s="716">
        <v>0</v>
      </c>
      <c r="F23" s="716">
        <v>0</v>
      </c>
      <c r="G23" s="716">
        <v>0</v>
      </c>
      <c r="H23" s="716">
        <v>0</v>
      </c>
      <c r="I23" s="716">
        <v>0</v>
      </c>
      <c r="J23" s="689">
        <v>0</v>
      </c>
      <c r="K23" s="689">
        <v>0</v>
      </c>
      <c r="L23" s="1326"/>
    </row>
    <row r="24" spans="1:12" ht="13.5" thickBot="1">
      <c r="A24" s="717">
        <v>11</v>
      </c>
      <c r="B24" s="690" t="s">
        <v>818</v>
      </c>
      <c r="C24" s="718">
        <f>SUM(D24:I24)</f>
        <v>250634800</v>
      </c>
      <c r="D24" s="719">
        <v>0</v>
      </c>
      <c r="E24" s="693">
        <v>59135000</v>
      </c>
      <c r="F24" s="693">
        <v>52411853</v>
      </c>
      <c r="G24" s="693">
        <v>46362649</v>
      </c>
      <c r="H24" s="693">
        <v>46362649</v>
      </c>
      <c r="I24" s="693">
        <v>46362649</v>
      </c>
      <c r="J24" s="695">
        <f>5816143+11411381</f>
        <v>17227524</v>
      </c>
      <c r="K24" s="695">
        <v>52411853</v>
      </c>
      <c r="L24" s="1327"/>
    </row>
    <row r="25" spans="1:12" ht="13.5" thickBot="1">
      <c r="A25" s="684">
        <v>12</v>
      </c>
      <c r="B25" s="696" t="s">
        <v>819</v>
      </c>
      <c r="C25" s="697">
        <f aca="true" t="shared" si="0" ref="C25:K25">SUM(C23:C24)</f>
        <v>250634800</v>
      </c>
      <c r="D25" s="698">
        <f t="shared" si="0"/>
        <v>0</v>
      </c>
      <c r="E25" s="698">
        <f t="shared" si="0"/>
        <v>59135000</v>
      </c>
      <c r="F25" s="698">
        <f t="shared" si="0"/>
        <v>52411853</v>
      </c>
      <c r="G25" s="698">
        <f t="shared" si="0"/>
        <v>46362649</v>
      </c>
      <c r="H25" s="698">
        <f t="shared" si="0"/>
        <v>46362649</v>
      </c>
      <c r="I25" s="698">
        <f t="shared" si="0"/>
        <v>46362649</v>
      </c>
      <c r="J25" s="702">
        <f>SUM(J23:J24)</f>
        <v>17227524</v>
      </c>
      <c r="K25" s="702">
        <f t="shared" si="0"/>
        <v>52411853</v>
      </c>
      <c r="L25" s="1328"/>
    </row>
    <row r="26" spans="1:12" ht="13.5" thickBot="1">
      <c r="A26" s="684"/>
      <c r="B26" s="1320"/>
      <c r="C26" s="1321"/>
      <c r="D26" s="1321"/>
      <c r="E26" s="1321"/>
      <c r="F26" s="1321"/>
      <c r="G26" s="1321"/>
      <c r="H26" s="1321"/>
      <c r="I26" s="1321"/>
      <c r="J26" s="1321"/>
      <c r="K26" s="1322"/>
      <c r="L26" s="683"/>
    </row>
    <row r="27" spans="1:12" ht="12.75">
      <c r="A27" s="720">
        <v>13</v>
      </c>
      <c r="B27" s="904" t="s">
        <v>823</v>
      </c>
      <c r="C27" s="705">
        <f>SUM(D27:I27)</f>
        <v>146331566</v>
      </c>
      <c r="D27" s="835">
        <v>2681560</v>
      </c>
      <c r="E27" s="957">
        <v>20997974</v>
      </c>
      <c r="F27" s="957">
        <f>41039699-403910</f>
        <v>40635789</v>
      </c>
      <c r="G27" s="957">
        <v>27338748</v>
      </c>
      <c r="H27" s="957">
        <v>27338748</v>
      </c>
      <c r="I27" s="958">
        <v>27338747</v>
      </c>
      <c r="J27" s="1326"/>
      <c r="K27" s="1326"/>
      <c r="L27" s="689">
        <f>41039699-403910</f>
        <v>40635789</v>
      </c>
    </row>
    <row r="28" spans="1:12" s="921" customFormat="1" ht="25.5">
      <c r="A28" s="926">
        <v>14</v>
      </c>
      <c r="B28" s="953" t="s">
        <v>970</v>
      </c>
      <c r="C28" s="937">
        <f>SUM(D28:I28)</f>
        <v>403910</v>
      </c>
      <c r="D28" s="928">
        <v>0</v>
      </c>
      <c r="E28" s="927">
        <v>0</v>
      </c>
      <c r="F28" s="928">
        <v>403910</v>
      </c>
      <c r="G28" s="928">
        <v>0</v>
      </c>
      <c r="H28" s="928">
        <v>0</v>
      </c>
      <c r="I28" s="928">
        <v>0</v>
      </c>
      <c r="J28" s="1327"/>
      <c r="K28" s="1327"/>
      <c r="L28" s="929">
        <v>403910</v>
      </c>
    </row>
    <row r="29" spans="1:12" ht="12.75">
      <c r="A29" s="703">
        <v>15</v>
      </c>
      <c r="B29" s="820" t="s">
        <v>821</v>
      </c>
      <c r="C29" s="708">
        <f>SUM(D29:I29)</f>
        <v>88344324</v>
      </c>
      <c r="D29" s="855">
        <v>0</v>
      </c>
      <c r="E29" s="855">
        <v>14084323</v>
      </c>
      <c r="F29" s="855">
        <v>17188297</v>
      </c>
      <c r="G29" s="855">
        <v>19023901</v>
      </c>
      <c r="H29" s="855">
        <v>19023901</v>
      </c>
      <c r="I29" s="855">
        <v>19023902</v>
      </c>
      <c r="J29" s="1327"/>
      <c r="K29" s="1327"/>
      <c r="L29" s="695">
        <v>17188297</v>
      </c>
    </row>
    <row r="30" spans="1:12" ht="13.5" thickBot="1">
      <c r="A30" s="703">
        <v>16</v>
      </c>
      <c r="B30" s="704" t="s">
        <v>820</v>
      </c>
      <c r="C30" s="733">
        <f>SUM(D30:I30)</f>
        <v>15555000</v>
      </c>
      <c r="D30" s="856">
        <v>0</v>
      </c>
      <c r="E30" s="856">
        <f>2893619+1250000</f>
        <v>4143619</v>
      </c>
      <c r="F30" s="856">
        <v>11411381</v>
      </c>
      <c r="G30" s="856">
        <v>0</v>
      </c>
      <c r="H30" s="856">
        <v>0</v>
      </c>
      <c r="I30" s="856">
        <v>0</v>
      </c>
      <c r="J30" s="1327"/>
      <c r="K30" s="1327"/>
      <c r="L30" s="813">
        <v>11411381</v>
      </c>
    </row>
    <row r="31" spans="1:12" ht="13.5" thickBot="1">
      <c r="A31" s="722">
        <v>17</v>
      </c>
      <c r="B31" s="723" t="s">
        <v>375</v>
      </c>
      <c r="C31" s="711">
        <f aca="true" t="shared" si="1" ref="C31:I31">SUM(C27:C30)</f>
        <v>250634800</v>
      </c>
      <c r="D31" s="724">
        <f t="shared" si="1"/>
        <v>2681560</v>
      </c>
      <c r="E31" s="724">
        <f t="shared" si="1"/>
        <v>39225916</v>
      </c>
      <c r="F31" s="724">
        <f t="shared" si="1"/>
        <v>69639377</v>
      </c>
      <c r="G31" s="724">
        <f t="shared" si="1"/>
        <v>46362649</v>
      </c>
      <c r="H31" s="724">
        <f t="shared" si="1"/>
        <v>46362649</v>
      </c>
      <c r="I31" s="724">
        <f t="shared" si="1"/>
        <v>46362649</v>
      </c>
      <c r="J31" s="1329"/>
      <c r="K31" s="1329"/>
      <c r="L31" s="713">
        <f>SUM(L27:L30)</f>
        <v>69639377</v>
      </c>
    </row>
    <row r="32" spans="1:12" ht="14.25" thickBot="1" thickTop="1">
      <c r="A32" s="814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3"/>
    </row>
    <row r="33" spans="1:12" ht="16.5" thickBot="1" thickTop="1">
      <c r="A33" s="810">
        <v>18</v>
      </c>
      <c r="B33" s="1344" t="s">
        <v>824</v>
      </c>
      <c r="C33" s="1345"/>
      <c r="D33" s="1345"/>
      <c r="E33" s="1345"/>
      <c r="F33" s="1345"/>
      <c r="G33" s="1345"/>
      <c r="H33" s="1345"/>
      <c r="I33" s="1345"/>
      <c r="J33" s="1346"/>
      <c r="K33" s="1346"/>
      <c r="L33" s="812"/>
    </row>
    <row r="34" spans="1:12" ht="12.75">
      <c r="A34" s="682">
        <v>19</v>
      </c>
      <c r="B34" s="740" t="s">
        <v>822</v>
      </c>
      <c r="C34" s="708">
        <f>SUM(D34:F34)</f>
        <v>22542700</v>
      </c>
      <c r="D34" s="726">
        <v>0</v>
      </c>
      <c r="E34" s="726">
        <v>151044</v>
      </c>
      <c r="F34" s="726">
        <v>22391656</v>
      </c>
      <c r="G34" s="727"/>
      <c r="H34" s="727"/>
      <c r="I34" s="727"/>
      <c r="J34" s="689"/>
      <c r="K34" s="689">
        <v>22391656</v>
      </c>
      <c r="L34" s="1326"/>
    </row>
    <row r="35" spans="1:12" ht="13.5" thickBot="1">
      <c r="A35" s="684">
        <v>20</v>
      </c>
      <c r="B35" s="690" t="s">
        <v>818</v>
      </c>
      <c r="C35" s="708">
        <f>SUM(D35:F35)</f>
        <v>242560000</v>
      </c>
      <c r="D35" s="719">
        <v>242560000</v>
      </c>
      <c r="E35" s="693">
        <v>0</v>
      </c>
      <c r="F35" s="693">
        <v>0</v>
      </c>
      <c r="G35" s="728"/>
      <c r="H35" s="728"/>
      <c r="I35" s="729"/>
      <c r="J35" s="695">
        <v>230043575</v>
      </c>
      <c r="K35" s="695">
        <v>0</v>
      </c>
      <c r="L35" s="1327"/>
    </row>
    <row r="36" spans="1:12" ht="13.5" thickBot="1">
      <c r="A36" s="684">
        <v>21</v>
      </c>
      <c r="B36" s="696" t="s">
        <v>819</v>
      </c>
      <c r="C36" s="697">
        <f aca="true" t="shared" si="2" ref="C36:K36">SUM(C34:C35)</f>
        <v>265102700</v>
      </c>
      <c r="D36" s="698">
        <f t="shared" si="2"/>
        <v>242560000</v>
      </c>
      <c r="E36" s="698">
        <f t="shared" si="2"/>
        <v>151044</v>
      </c>
      <c r="F36" s="698">
        <f t="shared" si="2"/>
        <v>22391656</v>
      </c>
      <c r="G36" s="734"/>
      <c r="H36" s="734"/>
      <c r="I36" s="735"/>
      <c r="J36" s="702">
        <f>SUM(J34:J35)</f>
        <v>230043575</v>
      </c>
      <c r="K36" s="702">
        <f t="shared" si="2"/>
        <v>22391656</v>
      </c>
      <c r="L36" s="1328"/>
    </row>
    <row r="37" spans="1:12" ht="13.5" thickBot="1">
      <c r="A37" s="684"/>
      <c r="B37" s="1320"/>
      <c r="C37" s="1321"/>
      <c r="D37" s="1321"/>
      <c r="E37" s="1321"/>
      <c r="F37" s="1321"/>
      <c r="G37" s="1321"/>
      <c r="H37" s="1321"/>
      <c r="I37" s="1321"/>
      <c r="J37" s="1321"/>
      <c r="K37" s="1322"/>
      <c r="L37" s="683"/>
    </row>
    <row r="38" spans="1:12" ht="12.75">
      <c r="A38" s="703">
        <v>22</v>
      </c>
      <c r="B38" s="721" t="s">
        <v>820</v>
      </c>
      <c r="C38" s="827">
        <f>SUM(D38:F38)</f>
        <v>242560000</v>
      </c>
      <c r="D38" s="687">
        <v>392025</v>
      </c>
      <c r="E38" s="687">
        <v>12124400</v>
      </c>
      <c r="F38" s="687">
        <v>230043575</v>
      </c>
      <c r="G38" s="727"/>
      <c r="H38" s="727"/>
      <c r="I38" s="727"/>
      <c r="J38" s="1326"/>
      <c r="K38" s="1326"/>
      <c r="L38" s="689">
        <f>230043575-23410448</f>
        <v>206633127</v>
      </c>
    </row>
    <row r="39" spans="1:12" ht="12.75">
      <c r="A39" s="703">
        <v>23</v>
      </c>
      <c r="B39" s="730" t="s">
        <v>825</v>
      </c>
      <c r="C39" s="916">
        <f>SUM(D39:F39)</f>
        <v>22542700</v>
      </c>
      <c r="D39" s="731">
        <v>0</v>
      </c>
      <c r="E39" s="731">
        <v>151044</v>
      </c>
      <c r="F39" s="731">
        <v>22391656</v>
      </c>
      <c r="G39" s="914"/>
      <c r="H39" s="914"/>
      <c r="I39" s="915"/>
      <c r="J39" s="1327"/>
      <c r="K39" s="1327"/>
      <c r="L39" s="695">
        <v>22391656</v>
      </c>
    </row>
    <row r="40" spans="1:12" ht="13.5" thickBot="1">
      <c r="A40" s="703">
        <v>24</v>
      </c>
      <c r="B40" s="820" t="s">
        <v>1077</v>
      </c>
      <c r="C40" s="733">
        <f>SUM(D40:I40)</f>
        <v>0</v>
      </c>
      <c r="D40" s="910">
        <v>0</v>
      </c>
      <c r="E40" s="910">
        <v>0</v>
      </c>
      <c r="F40" s="910">
        <v>0</v>
      </c>
      <c r="G40" s="728"/>
      <c r="H40" s="728"/>
      <c r="I40" s="729"/>
      <c r="J40" s="1327"/>
      <c r="K40" s="1327"/>
      <c r="L40" s="813">
        <v>23410448</v>
      </c>
    </row>
    <row r="41" spans="1:12" ht="13.5" thickBot="1">
      <c r="A41" s="722">
        <v>25</v>
      </c>
      <c r="B41" s="723" t="s">
        <v>375</v>
      </c>
      <c r="C41" s="711">
        <f>SUM(C38:C39)</f>
        <v>265102700</v>
      </c>
      <c r="D41" s="724">
        <f>SUM(D38:D39)</f>
        <v>392025</v>
      </c>
      <c r="E41" s="724">
        <f>SUM(E38:E39)</f>
        <v>12275444</v>
      </c>
      <c r="F41" s="724">
        <f>SUM(F38:F39)</f>
        <v>252435231</v>
      </c>
      <c r="G41" s="688"/>
      <c r="H41" s="688"/>
      <c r="I41" s="688"/>
      <c r="J41" s="1329"/>
      <c r="K41" s="1329"/>
      <c r="L41" s="713">
        <f>SUM(L38:L40)</f>
        <v>252435231</v>
      </c>
    </row>
    <row r="42" spans="1:12" ht="14.25" thickBot="1" thickTop="1">
      <c r="A42" s="814"/>
      <c r="B42" s="1341"/>
      <c r="C42" s="1342"/>
      <c r="D42" s="1342"/>
      <c r="E42" s="1342"/>
      <c r="F42" s="1342"/>
      <c r="G42" s="1342"/>
      <c r="H42" s="1342"/>
      <c r="I42" s="1342"/>
      <c r="J42" s="1342"/>
      <c r="K42" s="1342"/>
      <c r="L42" s="1343"/>
    </row>
    <row r="43" spans="1:12" ht="16.5" thickBot="1" thickTop="1">
      <c r="A43" s="810">
        <v>26</v>
      </c>
      <c r="B43" s="1344" t="s">
        <v>968</v>
      </c>
      <c r="C43" s="1345"/>
      <c r="D43" s="1345"/>
      <c r="E43" s="1345"/>
      <c r="F43" s="1345"/>
      <c r="G43" s="1345"/>
      <c r="H43" s="1345"/>
      <c r="I43" s="1345"/>
      <c r="J43" s="1346"/>
      <c r="K43" s="1346"/>
      <c r="L43" s="812"/>
    </row>
    <row r="44" spans="1:12" ht="12.75">
      <c r="A44" s="682">
        <v>27</v>
      </c>
      <c r="B44" s="732" t="s">
        <v>822</v>
      </c>
      <c r="C44" s="705">
        <v>3350900</v>
      </c>
      <c r="D44" s="726">
        <v>2500000</v>
      </c>
      <c r="E44" s="726">
        <v>850900</v>
      </c>
      <c r="F44" s="726">
        <v>0</v>
      </c>
      <c r="G44" s="727"/>
      <c r="H44" s="727"/>
      <c r="I44" s="727"/>
      <c r="J44" s="695">
        <v>0</v>
      </c>
      <c r="K44" s="695">
        <v>0</v>
      </c>
      <c r="L44" s="1326"/>
    </row>
    <row r="45" spans="1:12" ht="13.5" thickBot="1">
      <c r="A45" s="684">
        <v>28</v>
      </c>
      <c r="B45" s="690" t="s">
        <v>818</v>
      </c>
      <c r="C45" s="733">
        <v>19779919</v>
      </c>
      <c r="D45" s="719">
        <v>9889959</v>
      </c>
      <c r="E45" s="719">
        <v>0</v>
      </c>
      <c r="F45" s="719">
        <v>9889960</v>
      </c>
      <c r="G45" s="728"/>
      <c r="H45" s="728"/>
      <c r="I45" s="729"/>
      <c r="J45" s="695">
        <v>0</v>
      </c>
      <c r="K45" s="695">
        <v>9889960</v>
      </c>
      <c r="L45" s="1327"/>
    </row>
    <row r="46" spans="1:12" ht="13.5" thickBot="1">
      <c r="A46" s="684">
        <v>29</v>
      </c>
      <c r="B46" s="696" t="s">
        <v>819</v>
      </c>
      <c r="C46" s="697">
        <f>SUM(C44:C45)</f>
        <v>23130819</v>
      </c>
      <c r="D46" s="698">
        <f>SUM(D44:D45)</f>
        <v>12389959</v>
      </c>
      <c r="E46" s="698">
        <f>SUM(E44:E45)</f>
        <v>850900</v>
      </c>
      <c r="F46" s="698">
        <f>SUM(F44:F45)</f>
        <v>9889960</v>
      </c>
      <c r="G46" s="734"/>
      <c r="H46" s="734"/>
      <c r="I46" s="735"/>
      <c r="J46" s="702">
        <f>SUM(J44+J45)</f>
        <v>0</v>
      </c>
      <c r="K46" s="702">
        <f>SUM(K44+K45)</f>
        <v>9889960</v>
      </c>
      <c r="L46" s="1328"/>
    </row>
    <row r="47" spans="1:12" ht="13.5" thickBot="1">
      <c r="A47" s="684"/>
      <c r="B47" s="1320"/>
      <c r="C47" s="1321"/>
      <c r="D47" s="1321"/>
      <c r="E47" s="1321"/>
      <c r="F47" s="1321"/>
      <c r="G47" s="1321"/>
      <c r="H47" s="1321"/>
      <c r="I47" s="1321"/>
      <c r="J47" s="1321"/>
      <c r="K47" s="1322"/>
      <c r="L47" s="683"/>
    </row>
    <row r="48" spans="1:12" ht="12.75">
      <c r="A48" s="703">
        <v>30</v>
      </c>
      <c r="B48" s="721" t="s">
        <v>826</v>
      </c>
      <c r="C48" s="705">
        <v>20820975</v>
      </c>
      <c r="D48" s="726">
        <v>0</v>
      </c>
      <c r="E48" s="726">
        <v>14245643</v>
      </c>
      <c r="F48" s="726">
        <v>6575332</v>
      </c>
      <c r="G48" s="727"/>
      <c r="H48" s="727"/>
      <c r="I48" s="727"/>
      <c r="J48" s="1326"/>
      <c r="K48" s="1326"/>
      <c r="L48" s="689">
        <v>6575332</v>
      </c>
    </row>
    <row r="49" spans="1:12" ht="13.5" thickBot="1">
      <c r="A49" s="703">
        <v>31</v>
      </c>
      <c r="B49" s="730" t="s">
        <v>827</v>
      </c>
      <c r="C49" s="708">
        <v>2309844</v>
      </c>
      <c r="D49" s="719">
        <v>1250000</v>
      </c>
      <c r="E49" s="719">
        <v>1059844</v>
      </c>
      <c r="F49" s="719">
        <v>0</v>
      </c>
      <c r="G49" s="728"/>
      <c r="H49" s="728"/>
      <c r="I49" s="729"/>
      <c r="J49" s="1327"/>
      <c r="K49" s="1327"/>
      <c r="L49" s="695">
        <v>0</v>
      </c>
    </row>
    <row r="50" spans="1:12" ht="13.5" thickBot="1">
      <c r="A50" s="722">
        <v>32</v>
      </c>
      <c r="B50" s="723" t="s">
        <v>375</v>
      </c>
      <c r="C50" s="711">
        <f>SUM(C48:C49)</f>
        <v>23130819</v>
      </c>
      <c r="D50" s="724">
        <f>SUM(D48:D49)</f>
        <v>1250000</v>
      </c>
      <c r="E50" s="724">
        <f>SUM(E48:E49)</f>
        <v>15305487</v>
      </c>
      <c r="F50" s="724">
        <f>SUM(F48:F49)</f>
        <v>6575332</v>
      </c>
      <c r="G50" s="736"/>
      <c r="H50" s="736"/>
      <c r="I50" s="737"/>
      <c r="J50" s="1328"/>
      <c r="K50" s="1328"/>
      <c r="L50" s="713">
        <f>SUM(L47:L49)</f>
        <v>6575332</v>
      </c>
    </row>
    <row r="51" spans="1:12" ht="14.25" thickBot="1" thickTop="1">
      <c r="A51" s="814"/>
      <c r="B51" s="1341"/>
      <c r="C51" s="1342"/>
      <c r="D51" s="1342"/>
      <c r="E51" s="1342"/>
      <c r="F51" s="1342"/>
      <c r="G51" s="1342"/>
      <c r="H51" s="1342"/>
      <c r="I51" s="1342"/>
      <c r="J51" s="1342"/>
      <c r="K51" s="1342"/>
      <c r="L51" s="1343"/>
    </row>
    <row r="52" spans="1:12" ht="16.5" thickBot="1" thickTop="1">
      <c r="A52" s="810">
        <v>33</v>
      </c>
      <c r="B52" s="1344" t="s">
        <v>1076</v>
      </c>
      <c r="C52" s="1345"/>
      <c r="D52" s="1345"/>
      <c r="E52" s="1345"/>
      <c r="F52" s="1345"/>
      <c r="G52" s="1345"/>
      <c r="H52" s="1345"/>
      <c r="I52" s="1345"/>
      <c r="J52" s="1346"/>
      <c r="K52" s="1346"/>
      <c r="L52" s="812"/>
    </row>
    <row r="53" spans="1:12" ht="12.75">
      <c r="A53" s="682">
        <v>34</v>
      </c>
      <c r="B53" s="732" t="s">
        <v>822</v>
      </c>
      <c r="C53" s="705">
        <v>78901</v>
      </c>
      <c r="D53" s="727"/>
      <c r="E53" s="727"/>
      <c r="F53" s="726">
        <v>78901</v>
      </c>
      <c r="G53" s="727"/>
      <c r="H53" s="727"/>
      <c r="I53" s="727"/>
      <c r="J53" s="695">
        <v>0</v>
      </c>
      <c r="K53" s="695">
        <v>78901</v>
      </c>
      <c r="L53" s="1326"/>
    </row>
    <row r="54" spans="1:12" ht="13.5" thickBot="1">
      <c r="A54" s="684">
        <v>35</v>
      </c>
      <c r="B54" s="690" t="s">
        <v>818</v>
      </c>
      <c r="C54" s="733">
        <v>1499099</v>
      </c>
      <c r="D54" s="728"/>
      <c r="E54" s="728"/>
      <c r="F54" s="719">
        <v>1499099</v>
      </c>
      <c r="G54" s="728"/>
      <c r="H54" s="728"/>
      <c r="I54" s="729"/>
      <c r="J54" s="695">
        <v>0</v>
      </c>
      <c r="K54" s="695">
        <v>1499099</v>
      </c>
      <c r="L54" s="1327"/>
    </row>
    <row r="55" spans="1:12" ht="13.5" thickBot="1">
      <c r="A55" s="684">
        <v>36</v>
      </c>
      <c r="B55" s="696" t="s">
        <v>819</v>
      </c>
      <c r="C55" s="697">
        <f>SUM(C53:C54)</f>
        <v>1578000</v>
      </c>
      <c r="D55" s="734"/>
      <c r="E55" s="734"/>
      <c r="F55" s="698">
        <f>SUM(F53:F54)</f>
        <v>1578000</v>
      </c>
      <c r="G55" s="734"/>
      <c r="H55" s="734"/>
      <c r="I55" s="735"/>
      <c r="J55" s="702">
        <f>SUM(J53+J54)</f>
        <v>0</v>
      </c>
      <c r="K55" s="702">
        <f>SUM(K53+K54)</f>
        <v>1578000</v>
      </c>
      <c r="L55" s="1328"/>
    </row>
    <row r="56" spans="1:12" ht="13.5" thickBot="1">
      <c r="A56" s="684"/>
      <c r="B56" s="1320"/>
      <c r="C56" s="1321"/>
      <c r="D56" s="1321"/>
      <c r="E56" s="1321"/>
      <c r="F56" s="1321"/>
      <c r="G56" s="1321"/>
      <c r="H56" s="1321"/>
      <c r="I56" s="1321"/>
      <c r="J56" s="1321"/>
      <c r="K56" s="1322"/>
      <c r="L56" s="683"/>
    </row>
    <row r="57" spans="1:12" ht="12.75">
      <c r="A57" s="703">
        <v>37</v>
      </c>
      <c r="B57" s="721" t="s">
        <v>820</v>
      </c>
      <c r="C57" s="705">
        <v>1578000</v>
      </c>
      <c r="D57" s="727"/>
      <c r="E57" s="727"/>
      <c r="F57" s="726">
        <v>1578000</v>
      </c>
      <c r="G57" s="727"/>
      <c r="H57" s="727"/>
      <c r="I57" s="727"/>
      <c r="J57" s="1326"/>
      <c r="K57" s="1326"/>
      <c r="L57" s="689">
        <v>1578000</v>
      </c>
    </row>
    <row r="58" spans="1:12" ht="13.5" thickBot="1">
      <c r="A58" s="703">
        <v>38</v>
      </c>
      <c r="B58" s="730" t="s">
        <v>825</v>
      </c>
      <c r="C58" s="708">
        <v>0</v>
      </c>
      <c r="D58" s="728"/>
      <c r="E58" s="728"/>
      <c r="F58" s="719">
        <v>0</v>
      </c>
      <c r="G58" s="728"/>
      <c r="H58" s="728"/>
      <c r="I58" s="729"/>
      <c r="J58" s="1327"/>
      <c r="K58" s="1327"/>
      <c r="L58" s="695">
        <v>0</v>
      </c>
    </row>
    <row r="59" spans="1:12" ht="13.5" thickBot="1">
      <c r="A59" s="722">
        <v>39</v>
      </c>
      <c r="B59" s="723" t="s">
        <v>375</v>
      </c>
      <c r="C59" s="711">
        <f>SUM(C57:C58)</f>
        <v>1578000</v>
      </c>
      <c r="D59" s="736"/>
      <c r="E59" s="736"/>
      <c r="F59" s="724">
        <f>SUM(F57:F58)</f>
        <v>1578000</v>
      </c>
      <c r="G59" s="736"/>
      <c r="H59" s="736"/>
      <c r="I59" s="737"/>
      <c r="J59" s="1328"/>
      <c r="K59" s="1328"/>
      <c r="L59" s="713">
        <f>SUM(L56:L58)</f>
        <v>1578000</v>
      </c>
    </row>
    <row r="60" spans="1:12" ht="14.25" thickBot="1" thickTop="1">
      <c r="A60" s="814"/>
      <c r="B60" s="1341"/>
      <c r="C60" s="1342"/>
      <c r="D60" s="1342"/>
      <c r="E60" s="1342"/>
      <c r="F60" s="1342"/>
      <c r="G60" s="1342"/>
      <c r="H60" s="1342"/>
      <c r="I60" s="1342"/>
      <c r="J60" s="1342"/>
      <c r="K60" s="1342"/>
      <c r="L60" s="1343"/>
    </row>
    <row r="61" spans="1:12" ht="16.5" thickBot="1" thickTop="1">
      <c r="A61" s="810">
        <v>40</v>
      </c>
      <c r="B61" s="1344" t="s">
        <v>967</v>
      </c>
      <c r="C61" s="1345"/>
      <c r="D61" s="1345"/>
      <c r="E61" s="1345"/>
      <c r="F61" s="1345"/>
      <c r="G61" s="1345"/>
      <c r="H61" s="1345"/>
      <c r="I61" s="1345"/>
      <c r="J61" s="1346"/>
      <c r="K61" s="1346"/>
      <c r="L61" s="812"/>
    </row>
    <row r="62" spans="1:12" ht="12.75">
      <c r="A62" s="682">
        <v>41</v>
      </c>
      <c r="B62" s="732" t="s">
        <v>822</v>
      </c>
      <c r="C62" s="705">
        <v>10986749</v>
      </c>
      <c r="D62" s="726">
        <v>0</v>
      </c>
      <c r="E62" s="726">
        <v>10986749</v>
      </c>
      <c r="F62" s="726">
        <v>0</v>
      </c>
      <c r="G62" s="688"/>
      <c r="H62" s="688"/>
      <c r="I62" s="950"/>
      <c r="J62" s="695">
        <v>0</v>
      </c>
      <c r="K62" s="695">
        <v>0</v>
      </c>
      <c r="L62" s="1326"/>
    </row>
    <row r="63" spans="1:12" s="921" customFormat="1" ht="25.5">
      <c r="A63" s="931">
        <v>42</v>
      </c>
      <c r="B63" s="932" t="s">
        <v>1000</v>
      </c>
      <c r="C63" s="933">
        <v>1000000</v>
      </c>
      <c r="D63" s="928">
        <v>0</v>
      </c>
      <c r="E63" s="928">
        <v>0</v>
      </c>
      <c r="F63" s="928">
        <v>1000000</v>
      </c>
      <c r="G63" s="934"/>
      <c r="H63" s="934"/>
      <c r="I63" s="935"/>
      <c r="J63" s="936">
        <v>0</v>
      </c>
      <c r="K63" s="936">
        <v>0</v>
      </c>
      <c r="L63" s="1327"/>
    </row>
    <row r="64" spans="1:12" ht="13.5" thickBot="1">
      <c r="A64" s="684">
        <v>43</v>
      </c>
      <c r="B64" s="690" t="s">
        <v>818</v>
      </c>
      <c r="C64" s="733">
        <v>19999984</v>
      </c>
      <c r="D64" s="719">
        <v>0</v>
      </c>
      <c r="E64" s="719">
        <v>9999992</v>
      </c>
      <c r="F64" s="719">
        <v>9999992</v>
      </c>
      <c r="G64" s="728"/>
      <c r="H64" s="728"/>
      <c r="I64" s="729"/>
      <c r="J64" s="695">
        <v>0</v>
      </c>
      <c r="K64" s="695">
        <v>9999992</v>
      </c>
      <c r="L64" s="1327"/>
    </row>
    <row r="65" spans="1:12" ht="13.5" thickBot="1">
      <c r="A65" s="684">
        <v>44</v>
      </c>
      <c r="B65" s="696" t="s">
        <v>819</v>
      </c>
      <c r="C65" s="697">
        <f>SUM(C62:C64)</f>
        <v>31986733</v>
      </c>
      <c r="D65" s="698">
        <f>SUM(D62:D64)</f>
        <v>0</v>
      </c>
      <c r="E65" s="698">
        <f>SUM(E62:E64)</f>
        <v>20986741</v>
      </c>
      <c r="F65" s="698">
        <f>SUM(F62:F64)</f>
        <v>10999992</v>
      </c>
      <c r="G65" s="734"/>
      <c r="H65" s="734"/>
      <c r="I65" s="735"/>
      <c r="J65" s="702">
        <f>SUM(J62+J64)</f>
        <v>0</v>
      </c>
      <c r="K65" s="702">
        <f>SUM(K62+K64)</f>
        <v>9999992</v>
      </c>
      <c r="L65" s="1328"/>
    </row>
    <row r="66" spans="1:12" ht="13.5" thickBot="1">
      <c r="A66" s="684"/>
      <c r="B66" s="1320"/>
      <c r="C66" s="1321"/>
      <c r="D66" s="1321"/>
      <c r="E66" s="1321"/>
      <c r="F66" s="1321"/>
      <c r="G66" s="1321"/>
      <c r="H66" s="1321"/>
      <c r="I66" s="1321"/>
      <c r="J66" s="1321"/>
      <c r="K66" s="1322"/>
      <c r="L66" s="683"/>
    </row>
    <row r="67" spans="1:12" ht="12.75">
      <c r="A67" s="703">
        <v>45</v>
      </c>
      <c r="B67" s="721" t="s">
        <v>820</v>
      </c>
      <c r="C67" s="705">
        <v>21052620</v>
      </c>
      <c r="D67" s="726">
        <v>0</v>
      </c>
      <c r="E67" s="726">
        <v>21052620</v>
      </c>
      <c r="F67" s="726">
        <v>0</v>
      </c>
      <c r="G67" s="727"/>
      <c r="H67" s="727"/>
      <c r="I67" s="727"/>
      <c r="J67" s="1326"/>
      <c r="K67" s="1326"/>
      <c r="L67" s="689">
        <v>0</v>
      </c>
    </row>
    <row r="68" spans="1:12" ht="13.5" thickBot="1">
      <c r="A68" s="703">
        <v>46</v>
      </c>
      <c r="B68" s="730" t="s">
        <v>825</v>
      </c>
      <c r="C68" s="708">
        <f>9934113+1000000</f>
        <v>10934113</v>
      </c>
      <c r="D68" s="719">
        <v>0</v>
      </c>
      <c r="E68" s="719">
        <v>3533565</v>
      </c>
      <c r="F68" s="719">
        <f>6400548+1000000</f>
        <v>7400548</v>
      </c>
      <c r="G68" s="728"/>
      <c r="H68" s="728"/>
      <c r="I68" s="729"/>
      <c r="J68" s="1327"/>
      <c r="K68" s="1327"/>
      <c r="L68" s="695">
        <f>6400548+1000000</f>
        <v>7400548</v>
      </c>
    </row>
    <row r="69" spans="1:12" ht="13.5" thickBot="1">
      <c r="A69" s="722">
        <v>47</v>
      </c>
      <c r="B69" s="723" t="s">
        <v>375</v>
      </c>
      <c r="C69" s="711">
        <f>SUM(C67:C68)</f>
        <v>31986733</v>
      </c>
      <c r="D69" s="724">
        <f>SUM(D67:D68)</f>
        <v>0</v>
      </c>
      <c r="E69" s="724">
        <f>SUM(E67:E68)</f>
        <v>24586185</v>
      </c>
      <c r="F69" s="724">
        <f>SUM(F67:F68)</f>
        <v>7400548</v>
      </c>
      <c r="G69" s="736"/>
      <c r="H69" s="736"/>
      <c r="I69" s="737"/>
      <c r="J69" s="1328"/>
      <c r="K69" s="1328"/>
      <c r="L69" s="713">
        <f>SUM(L66:L68)</f>
        <v>7400548</v>
      </c>
    </row>
    <row r="70" spans="1:12" ht="14.25" thickBot="1" thickTop="1">
      <c r="A70" s="814"/>
      <c r="B70" s="1341"/>
      <c r="C70" s="1342"/>
      <c r="D70" s="1342"/>
      <c r="E70" s="1342"/>
      <c r="F70" s="1342"/>
      <c r="G70" s="1342"/>
      <c r="H70" s="1342"/>
      <c r="I70" s="1342"/>
      <c r="J70" s="1342"/>
      <c r="K70" s="1342"/>
      <c r="L70" s="1343"/>
    </row>
    <row r="71" spans="1:12" ht="16.5" thickBot="1" thickTop="1">
      <c r="A71" s="810">
        <v>48</v>
      </c>
      <c r="B71" s="1344" t="s">
        <v>969</v>
      </c>
      <c r="C71" s="1345"/>
      <c r="D71" s="1345"/>
      <c r="E71" s="1345"/>
      <c r="F71" s="1345"/>
      <c r="G71" s="1345"/>
      <c r="H71" s="1345"/>
      <c r="I71" s="1345"/>
      <c r="J71" s="1346"/>
      <c r="K71" s="1346"/>
      <c r="L71" s="812"/>
    </row>
    <row r="72" spans="1:12" ht="12.75">
      <c r="A72" s="682">
        <v>49</v>
      </c>
      <c r="B72" s="732" t="s">
        <v>822</v>
      </c>
      <c r="C72" s="705">
        <v>396853</v>
      </c>
      <c r="D72" s="726">
        <v>8868</v>
      </c>
      <c r="E72" s="726">
        <v>387985</v>
      </c>
      <c r="F72" s="726">
        <v>0</v>
      </c>
      <c r="G72" s="727"/>
      <c r="H72" s="727"/>
      <c r="I72" s="727"/>
      <c r="J72" s="695">
        <v>0</v>
      </c>
      <c r="K72" s="695">
        <v>0</v>
      </c>
      <c r="L72" s="1326"/>
    </row>
    <row r="73" spans="1:12" ht="13.5" thickBot="1">
      <c r="A73" s="684">
        <v>50</v>
      </c>
      <c r="B73" s="690" t="s">
        <v>818</v>
      </c>
      <c r="C73" s="733">
        <v>9980698</v>
      </c>
      <c r="D73" s="719">
        <v>0</v>
      </c>
      <c r="E73" s="719">
        <v>4990349</v>
      </c>
      <c r="F73" s="719">
        <v>4990349</v>
      </c>
      <c r="G73" s="728"/>
      <c r="H73" s="728"/>
      <c r="I73" s="729"/>
      <c r="J73" s="695">
        <v>0</v>
      </c>
      <c r="K73" s="695">
        <v>4990349</v>
      </c>
      <c r="L73" s="1327"/>
    </row>
    <row r="74" spans="1:12" ht="13.5" thickBot="1">
      <c r="A74" s="684">
        <v>51</v>
      </c>
      <c r="B74" s="696" t="s">
        <v>819</v>
      </c>
      <c r="C74" s="697">
        <f>SUM(C72:C73)</f>
        <v>10377551</v>
      </c>
      <c r="D74" s="698">
        <f>SUM(D72:D73)</f>
        <v>8868</v>
      </c>
      <c r="E74" s="698">
        <f>SUM(E72:E73)</f>
        <v>5378334</v>
      </c>
      <c r="F74" s="698">
        <f>SUM(F72:F73)</f>
        <v>4990349</v>
      </c>
      <c r="G74" s="734"/>
      <c r="H74" s="734"/>
      <c r="I74" s="735"/>
      <c r="J74" s="702">
        <f>SUM(J72+J73)</f>
        <v>0</v>
      </c>
      <c r="K74" s="702">
        <f>SUM(K72+K73)</f>
        <v>4990349</v>
      </c>
      <c r="L74" s="1328"/>
    </row>
    <row r="75" spans="1:12" ht="13.5" thickBot="1">
      <c r="A75" s="684"/>
      <c r="B75" s="1320"/>
      <c r="C75" s="1321"/>
      <c r="D75" s="1321"/>
      <c r="E75" s="1321"/>
      <c r="F75" s="1321"/>
      <c r="G75" s="1321"/>
      <c r="H75" s="1321"/>
      <c r="I75" s="1321"/>
      <c r="J75" s="1321"/>
      <c r="K75" s="1322"/>
      <c r="L75" s="683"/>
    </row>
    <row r="76" spans="1:12" ht="12.75">
      <c r="A76" s="703">
        <v>52</v>
      </c>
      <c r="B76" s="721" t="s">
        <v>820</v>
      </c>
      <c r="C76" s="705">
        <v>9989566</v>
      </c>
      <c r="D76" s="726">
        <v>0</v>
      </c>
      <c r="E76" s="726">
        <f>9989566-516434</f>
        <v>9473132</v>
      </c>
      <c r="F76" s="726">
        <v>0</v>
      </c>
      <c r="G76" s="727"/>
      <c r="H76" s="727"/>
      <c r="I76" s="727"/>
      <c r="J76" s="1326"/>
      <c r="K76" s="1326"/>
      <c r="L76" s="689">
        <v>0</v>
      </c>
    </row>
    <row r="77" spans="1:12" ht="12.75">
      <c r="A77" s="703">
        <v>53</v>
      </c>
      <c r="B77" s="730" t="s">
        <v>825</v>
      </c>
      <c r="C77" s="708">
        <v>387985</v>
      </c>
      <c r="D77" s="719">
        <v>0</v>
      </c>
      <c r="E77" s="719">
        <v>387985</v>
      </c>
      <c r="F77" s="719">
        <v>0</v>
      </c>
      <c r="G77" s="694"/>
      <c r="H77" s="694"/>
      <c r="I77" s="908"/>
      <c r="J77" s="1327"/>
      <c r="K77" s="1327"/>
      <c r="L77" s="695">
        <v>0</v>
      </c>
    </row>
    <row r="78" spans="1:12" ht="13.5" thickBot="1">
      <c r="A78" s="703">
        <v>54</v>
      </c>
      <c r="B78" s="823" t="s">
        <v>821</v>
      </c>
      <c r="C78" s="905">
        <v>0</v>
      </c>
      <c r="D78" s="692">
        <v>0</v>
      </c>
      <c r="E78" s="906">
        <v>516434</v>
      </c>
      <c r="F78" s="906">
        <v>0</v>
      </c>
      <c r="G78" s="861"/>
      <c r="H78" s="861"/>
      <c r="I78" s="907"/>
      <c r="J78" s="1327"/>
      <c r="K78" s="1327"/>
      <c r="L78" s="813">
        <v>516434</v>
      </c>
    </row>
    <row r="79" spans="1:12" ht="13.5" thickBot="1">
      <c r="A79" s="722">
        <v>55</v>
      </c>
      <c r="B79" s="723" t="s">
        <v>375</v>
      </c>
      <c r="C79" s="711">
        <f>SUM(C76:C78)</f>
        <v>10377551</v>
      </c>
      <c r="D79" s="724">
        <f>SUM(D76:D78)</f>
        <v>0</v>
      </c>
      <c r="E79" s="724">
        <f>SUM(E76:E78)</f>
        <v>10377551</v>
      </c>
      <c r="F79" s="724">
        <f>SUM(F76:F78)</f>
        <v>0</v>
      </c>
      <c r="G79" s="736"/>
      <c r="H79" s="736"/>
      <c r="I79" s="737"/>
      <c r="J79" s="1328"/>
      <c r="K79" s="1328"/>
      <c r="L79" s="713">
        <f>SUM(L75:L78)</f>
        <v>516434</v>
      </c>
    </row>
    <row r="80" spans="1:12" ht="14.25" thickBot="1" thickTop="1">
      <c r="A80" s="714"/>
      <c r="B80" s="1341"/>
      <c r="C80" s="1342"/>
      <c r="D80" s="1342"/>
      <c r="E80" s="1342"/>
      <c r="F80" s="1342"/>
      <c r="G80" s="1342"/>
      <c r="H80" s="1342"/>
      <c r="I80" s="1342"/>
      <c r="J80" s="1342"/>
      <c r="K80" s="1342"/>
      <c r="L80" s="1343"/>
    </row>
    <row r="81" spans="1:12" ht="16.5" thickBot="1" thickTop="1">
      <c r="A81" s="810">
        <v>56</v>
      </c>
      <c r="B81" s="1323" t="s">
        <v>953</v>
      </c>
      <c r="C81" s="1324"/>
      <c r="D81" s="1324"/>
      <c r="E81" s="1324"/>
      <c r="F81" s="1324"/>
      <c r="G81" s="1324"/>
      <c r="H81" s="1324"/>
      <c r="I81" s="1324"/>
      <c r="J81" s="1325"/>
      <c r="K81" s="1325"/>
      <c r="L81" s="812"/>
    </row>
    <row r="82" spans="1:12" ht="12.75">
      <c r="A82" s="682">
        <v>57</v>
      </c>
      <c r="B82" s="685" t="s">
        <v>822</v>
      </c>
      <c r="C82" s="715">
        <v>0</v>
      </c>
      <c r="D82" s="815"/>
      <c r="E82" s="716">
        <v>0</v>
      </c>
      <c r="F82" s="716">
        <v>0</v>
      </c>
      <c r="G82" s="716">
        <v>0</v>
      </c>
      <c r="H82" s="815"/>
      <c r="I82" s="815"/>
      <c r="J82" s="689">
        <v>0</v>
      </c>
      <c r="K82" s="689">
        <v>0</v>
      </c>
      <c r="L82" s="1326"/>
    </row>
    <row r="83" spans="1:12" ht="13.5" thickBot="1">
      <c r="A83" s="717">
        <v>58</v>
      </c>
      <c r="B83" s="690" t="s">
        <v>818</v>
      </c>
      <c r="C83" s="718">
        <v>202321812</v>
      </c>
      <c r="D83" s="816"/>
      <c r="E83" s="693">
        <f>104483115+10976885</f>
        <v>115460000</v>
      </c>
      <c r="F83" s="693">
        <v>75330433</v>
      </c>
      <c r="G83" s="693">
        <v>11531379</v>
      </c>
      <c r="H83" s="816"/>
      <c r="I83" s="816"/>
      <c r="J83" s="695">
        <f>79738385+8508586</f>
        <v>88246971</v>
      </c>
      <c r="K83" s="695">
        <v>0</v>
      </c>
      <c r="L83" s="1327"/>
    </row>
    <row r="84" spans="1:12" ht="13.5" thickBot="1">
      <c r="A84" s="684">
        <v>59</v>
      </c>
      <c r="B84" s="696" t="s">
        <v>819</v>
      </c>
      <c r="C84" s="697">
        <f aca="true" t="shared" si="3" ref="C84:K84">SUM(C82:C83)</f>
        <v>202321812</v>
      </c>
      <c r="D84" s="699"/>
      <c r="E84" s="698">
        <f t="shared" si="3"/>
        <v>115460000</v>
      </c>
      <c r="F84" s="698">
        <f t="shared" si="3"/>
        <v>75330433</v>
      </c>
      <c r="G84" s="698">
        <f t="shared" si="3"/>
        <v>11531379</v>
      </c>
      <c r="H84" s="699"/>
      <c r="I84" s="699"/>
      <c r="J84" s="702">
        <f>SUM(J82:J83)</f>
        <v>88246971</v>
      </c>
      <c r="K84" s="702">
        <f t="shared" si="3"/>
        <v>0</v>
      </c>
      <c r="L84" s="1328"/>
    </row>
    <row r="85" spans="1:12" ht="13.5" thickBot="1">
      <c r="A85" s="684"/>
      <c r="B85" s="1320"/>
      <c r="C85" s="1321"/>
      <c r="D85" s="1321"/>
      <c r="E85" s="1321"/>
      <c r="F85" s="1321"/>
      <c r="G85" s="1321"/>
      <c r="H85" s="1321"/>
      <c r="I85" s="1321"/>
      <c r="J85" s="1321"/>
      <c r="K85" s="1322"/>
      <c r="L85" s="683"/>
    </row>
    <row r="86" spans="1:12" ht="12.75">
      <c r="A86" s="720">
        <v>60</v>
      </c>
      <c r="B86" s="721" t="s">
        <v>823</v>
      </c>
      <c r="C86" s="1336">
        <v>89908666</v>
      </c>
      <c r="D86" s="817"/>
      <c r="E86" s="687">
        <f>8545743+1</f>
        <v>8545744</v>
      </c>
      <c r="F86" s="726">
        <v>63219192</v>
      </c>
      <c r="G86" s="726">
        <v>9109530</v>
      </c>
      <c r="H86" s="817"/>
      <c r="I86" s="817"/>
      <c r="J86" s="1326"/>
      <c r="K86" s="1326"/>
      <c r="L86" s="689">
        <f>17304194+24000000+4680000+801000</f>
        <v>46785194</v>
      </c>
    </row>
    <row r="87" spans="1:12" s="921" customFormat="1" ht="27" customHeight="1">
      <c r="A87" s="926">
        <v>61</v>
      </c>
      <c r="B87" s="930" t="s">
        <v>971</v>
      </c>
      <c r="C87" s="1337"/>
      <c r="D87" s="853"/>
      <c r="E87" s="927">
        <v>860400</v>
      </c>
      <c r="F87" s="928">
        <v>6883200</v>
      </c>
      <c r="G87" s="928">
        <v>1290600</v>
      </c>
      <c r="H87" s="853"/>
      <c r="I87" s="853"/>
      <c r="J87" s="1327"/>
      <c r="K87" s="1327"/>
      <c r="L87" s="929">
        <v>6883200</v>
      </c>
    </row>
    <row r="88" spans="1:12" ht="12.75">
      <c r="A88" s="703">
        <v>62</v>
      </c>
      <c r="B88" s="707" t="s">
        <v>821</v>
      </c>
      <c r="C88" s="818">
        <v>88083888</v>
      </c>
      <c r="D88" s="819"/>
      <c r="E88" s="693">
        <v>4803780</v>
      </c>
      <c r="F88" s="719">
        <v>82148859</v>
      </c>
      <c r="G88" s="719">
        <v>1131249</v>
      </c>
      <c r="H88" s="819"/>
      <c r="I88" s="819"/>
      <c r="J88" s="1327"/>
      <c r="K88" s="1327"/>
      <c r="L88" s="695">
        <f>58739847-28680000-2006767</f>
        <v>28053080</v>
      </c>
    </row>
    <row r="89" spans="1:12" ht="12.75">
      <c r="A89" s="703">
        <v>63</v>
      </c>
      <c r="B89" s="820" t="s">
        <v>820</v>
      </c>
      <c r="C89" s="821">
        <v>17800696</v>
      </c>
      <c r="D89" s="822"/>
      <c r="E89" s="693">
        <v>13003105</v>
      </c>
      <c r="F89" s="719">
        <v>4797591</v>
      </c>
      <c r="G89" s="719">
        <v>0</v>
      </c>
      <c r="H89" s="822"/>
      <c r="I89" s="822"/>
      <c r="J89" s="1327"/>
      <c r="K89" s="1327"/>
      <c r="L89" s="695">
        <f>4797591+1205767</f>
        <v>6003358</v>
      </c>
    </row>
    <row r="90" spans="1:12" ht="13.5" thickBot="1">
      <c r="A90" s="703">
        <v>64</v>
      </c>
      <c r="B90" s="823" t="s">
        <v>826</v>
      </c>
      <c r="C90" s="818">
        <v>6528562</v>
      </c>
      <c r="D90" s="824"/>
      <c r="E90" s="692">
        <v>0</v>
      </c>
      <c r="F90" s="825">
        <v>6528562</v>
      </c>
      <c r="G90" s="825">
        <v>0</v>
      </c>
      <c r="H90" s="824"/>
      <c r="I90" s="824"/>
      <c r="J90" s="1327"/>
      <c r="K90" s="1327"/>
      <c r="L90" s="826">
        <v>522139</v>
      </c>
    </row>
    <row r="91" spans="1:12" ht="13.5" thickBot="1">
      <c r="A91" s="722">
        <v>65</v>
      </c>
      <c r="B91" s="723" t="s">
        <v>375</v>
      </c>
      <c r="C91" s="711">
        <f>SUM(C86:C90)</f>
        <v>202321812</v>
      </c>
      <c r="D91" s="736"/>
      <c r="E91" s="724">
        <f>SUM(E86:E90)</f>
        <v>27213029</v>
      </c>
      <c r="F91" s="724">
        <f>SUM(F86:F90)</f>
        <v>163577404</v>
      </c>
      <c r="G91" s="724">
        <f>SUM(G86:G90)</f>
        <v>11531379</v>
      </c>
      <c r="H91" s="736"/>
      <c r="I91" s="736"/>
      <c r="J91" s="1329"/>
      <c r="K91" s="1329"/>
      <c r="L91" s="713">
        <f>SUM(L86:L90)</f>
        <v>88246971</v>
      </c>
    </row>
    <row r="92" spans="1:12" ht="14.25" thickBot="1" thickTop="1">
      <c r="A92" s="714"/>
      <c r="B92" s="1341"/>
      <c r="C92" s="1342"/>
      <c r="D92" s="1342"/>
      <c r="E92" s="1342"/>
      <c r="F92" s="1342"/>
      <c r="G92" s="1342"/>
      <c r="H92" s="1342"/>
      <c r="I92" s="1342"/>
      <c r="J92" s="1342"/>
      <c r="K92" s="1342"/>
      <c r="L92" s="1343"/>
    </row>
    <row r="93" spans="1:12" ht="16.5" thickBot="1" thickTop="1">
      <c r="A93" s="810">
        <v>66</v>
      </c>
      <c r="B93" s="1323" t="s">
        <v>954</v>
      </c>
      <c r="C93" s="1324"/>
      <c r="D93" s="1324"/>
      <c r="E93" s="1324"/>
      <c r="F93" s="1324"/>
      <c r="G93" s="1324"/>
      <c r="H93" s="1324"/>
      <c r="I93" s="1324"/>
      <c r="J93" s="1325"/>
      <c r="K93" s="1325"/>
      <c r="L93" s="812"/>
    </row>
    <row r="94" spans="1:12" ht="12.75">
      <c r="A94" s="682">
        <v>67</v>
      </c>
      <c r="B94" s="685" t="s">
        <v>822</v>
      </c>
      <c r="C94" s="715">
        <v>0</v>
      </c>
      <c r="D94" s="815"/>
      <c r="E94" s="716">
        <v>0</v>
      </c>
      <c r="F94" s="716">
        <v>0</v>
      </c>
      <c r="G94" s="716">
        <v>0</v>
      </c>
      <c r="H94" s="716"/>
      <c r="I94" s="815"/>
      <c r="J94" s="689">
        <v>0</v>
      </c>
      <c r="K94" s="689">
        <v>0</v>
      </c>
      <c r="L94" s="1326"/>
    </row>
    <row r="95" spans="1:12" ht="13.5" thickBot="1">
      <c r="A95" s="717">
        <v>68</v>
      </c>
      <c r="B95" s="690" t="s">
        <v>818</v>
      </c>
      <c r="C95" s="718">
        <v>62107135</v>
      </c>
      <c r="D95" s="816"/>
      <c r="E95" s="693">
        <v>32379432</v>
      </c>
      <c r="F95" s="693">
        <v>8244379</v>
      </c>
      <c r="G95" s="693">
        <v>20495112</v>
      </c>
      <c r="H95" s="693">
        <v>988212</v>
      </c>
      <c r="I95" s="816"/>
      <c r="J95" s="695">
        <f>16987125</f>
        <v>16987125</v>
      </c>
      <c r="K95" s="695">
        <v>0</v>
      </c>
      <c r="L95" s="1327"/>
    </row>
    <row r="96" spans="1:12" ht="13.5" thickBot="1">
      <c r="A96" s="684">
        <v>69</v>
      </c>
      <c r="B96" s="696" t="s">
        <v>819</v>
      </c>
      <c r="C96" s="697">
        <f>SUM(C94:C95)</f>
        <v>62107135</v>
      </c>
      <c r="D96" s="699"/>
      <c r="E96" s="698">
        <f>SUM(E94:E95)</f>
        <v>32379432</v>
      </c>
      <c r="F96" s="698">
        <f>SUM(F94:F95)</f>
        <v>8244379</v>
      </c>
      <c r="G96" s="698">
        <f>SUM(G94:G95)</f>
        <v>20495112</v>
      </c>
      <c r="H96" s="698">
        <f>SUM(H94:H95)</f>
        <v>988212</v>
      </c>
      <c r="I96" s="699"/>
      <c r="J96" s="702">
        <f>SUM(J94:J95)</f>
        <v>16987125</v>
      </c>
      <c r="K96" s="702">
        <f>SUM(K94:K95)</f>
        <v>0</v>
      </c>
      <c r="L96" s="1328"/>
    </row>
    <row r="97" spans="1:12" ht="13.5" thickBot="1">
      <c r="A97" s="684"/>
      <c r="B97" s="1320"/>
      <c r="C97" s="1321"/>
      <c r="D97" s="1321"/>
      <c r="E97" s="1321"/>
      <c r="F97" s="1321"/>
      <c r="G97" s="1321"/>
      <c r="H97" s="1321"/>
      <c r="I97" s="1321"/>
      <c r="J97" s="1321"/>
      <c r="K97" s="1322"/>
      <c r="L97" s="683"/>
    </row>
    <row r="98" spans="1:12" s="921" customFormat="1" ht="18" customHeight="1">
      <c r="A98" s="954">
        <v>70</v>
      </c>
      <c r="B98" s="955" t="s">
        <v>823</v>
      </c>
      <c r="C98" s="1336">
        <v>30232800</v>
      </c>
      <c r="D98" s="817"/>
      <c r="E98" s="941">
        <v>1493750</v>
      </c>
      <c r="F98" s="942">
        <v>10460450</v>
      </c>
      <c r="G98" s="942">
        <v>6062400</v>
      </c>
      <c r="H98" s="942">
        <v>505200</v>
      </c>
      <c r="I98" s="817"/>
      <c r="J98" s="1326"/>
      <c r="K98" s="1326"/>
      <c r="L98" s="944">
        <f>7143232+2350000+131474</f>
        <v>9624706</v>
      </c>
    </row>
    <row r="99" spans="1:12" s="921" customFormat="1" ht="25.5">
      <c r="A99" s="926">
        <v>71</v>
      </c>
      <c r="B99" s="953" t="s">
        <v>970</v>
      </c>
      <c r="C99" s="1337"/>
      <c r="D99" s="853"/>
      <c r="E99" s="927">
        <v>3346000</v>
      </c>
      <c r="F99" s="928">
        <v>4015200</v>
      </c>
      <c r="G99" s="928">
        <v>4015200</v>
      </c>
      <c r="H99" s="928">
        <v>334600</v>
      </c>
      <c r="I99" s="853"/>
      <c r="J99" s="1327"/>
      <c r="K99" s="1327"/>
      <c r="L99" s="929">
        <v>4015200</v>
      </c>
    </row>
    <row r="100" spans="1:12" ht="12.75">
      <c r="A100" s="703">
        <v>72</v>
      </c>
      <c r="B100" s="707" t="s">
        <v>821</v>
      </c>
      <c r="C100" s="708">
        <v>28874335</v>
      </c>
      <c r="D100" s="819"/>
      <c r="E100" s="693">
        <v>10552557</v>
      </c>
      <c r="F100" s="719">
        <v>8855854</v>
      </c>
      <c r="G100" s="719">
        <v>9417512</v>
      </c>
      <c r="H100" s="719">
        <v>48412</v>
      </c>
      <c r="I100" s="819"/>
      <c r="J100" s="1327"/>
      <c r="K100" s="1327"/>
      <c r="L100" s="695">
        <f>4264649-917430</f>
        <v>3347219</v>
      </c>
    </row>
    <row r="101" spans="1:12" ht="13.5" thickBot="1">
      <c r="A101" s="703">
        <v>73</v>
      </c>
      <c r="B101" s="820" t="s">
        <v>955</v>
      </c>
      <c r="C101" s="828">
        <v>3000000</v>
      </c>
      <c r="D101" s="822"/>
      <c r="E101" s="693">
        <v>0</v>
      </c>
      <c r="F101" s="719">
        <v>1900000</v>
      </c>
      <c r="G101" s="719">
        <v>1000000</v>
      </c>
      <c r="H101" s="719">
        <v>100000</v>
      </c>
      <c r="I101" s="822"/>
      <c r="J101" s="1327"/>
      <c r="K101" s="1327"/>
      <c r="L101" s="695">
        <f>1564044-1564044</f>
        <v>0</v>
      </c>
    </row>
    <row r="102" spans="1:12" ht="13.5" thickBot="1">
      <c r="A102" s="722">
        <v>74</v>
      </c>
      <c r="B102" s="723" t="s">
        <v>375</v>
      </c>
      <c r="C102" s="711">
        <f>SUM(C98:C101)</f>
        <v>62107135</v>
      </c>
      <c r="D102" s="736"/>
      <c r="E102" s="724">
        <f>SUM(E98:E101)</f>
        <v>15392307</v>
      </c>
      <c r="F102" s="724">
        <f>SUM(F98:F101)</f>
        <v>25231504</v>
      </c>
      <c r="G102" s="724">
        <f>SUM(G98:G101)</f>
        <v>20495112</v>
      </c>
      <c r="H102" s="724">
        <f>SUM(H98:H101)</f>
        <v>988212</v>
      </c>
      <c r="I102" s="737"/>
      <c r="J102" s="1329"/>
      <c r="K102" s="1329"/>
      <c r="L102" s="713">
        <f>SUM(L98:L101)</f>
        <v>16987125</v>
      </c>
    </row>
    <row r="103" spans="1:12" s="956" customFormat="1" ht="13.5" thickTop="1">
      <c r="A103" s="756"/>
      <c r="B103" s="1378"/>
      <c r="C103" s="1379"/>
      <c r="D103" s="1379"/>
      <c r="E103" s="1379"/>
      <c r="F103" s="1379"/>
      <c r="G103" s="1379"/>
      <c r="H103" s="1379"/>
      <c r="I103" s="1379"/>
      <c r="J103" s="1379"/>
      <c r="K103" s="1379"/>
      <c r="L103" s="1377"/>
    </row>
    <row r="104" spans="1:12" ht="15.75" thickBot="1">
      <c r="A104" s="959">
        <v>75</v>
      </c>
      <c r="B104" s="1351" t="s">
        <v>957</v>
      </c>
      <c r="C104" s="1352"/>
      <c r="D104" s="1352"/>
      <c r="E104" s="1352"/>
      <c r="F104" s="1352"/>
      <c r="G104" s="1352"/>
      <c r="H104" s="1352"/>
      <c r="I104" s="1352"/>
      <c r="J104" s="1353"/>
      <c r="K104" s="1353"/>
      <c r="L104" s="811"/>
    </row>
    <row r="105" spans="1:12" s="921" customFormat="1" ht="25.5">
      <c r="A105" s="931">
        <v>76</v>
      </c>
      <c r="B105" s="938" t="s">
        <v>1000</v>
      </c>
      <c r="C105" s="939">
        <v>0</v>
      </c>
      <c r="D105" s="940"/>
      <c r="E105" s="941">
        <v>0</v>
      </c>
      <c r="F105" s="942">
        <v>0</v>
      </c>
      <c r="G105" s="943"/>
      <c r="H105" s="943"/>
      <c r="I105" s="943"/>
      <c r="J105" s="944">
        <v>0</v>
      </c>
      <c r="K105" s="944">
        <v>40000</v>
      </c>
      <c r="L105" s="1326"/>
    </row>
    <row r="106" spans="1:12" ht="12.75">
      <c r="A106" s="682">
        <v>77</v>
      </c>
      <c r="B106" s="913" t="s">
        <v>822</v>
      </c>
      <c r="C106" s="828">
        <v>0</v>
      </c>
      <c r="D106" s="912"/>
      <c r="E106" s="852">
        <v>0</v>
      </c>
      <c r="F106" s="854">
        <v>0</v>
      </c>
      <c r="G106" s="854">
        <v>0</v>
      </c>
      <c r="H106" s="861"/>
      <c r="I106" s="861"/>
      <c r="J106" s="851">
        <v>0</v>
      </c>
      <c r="K106" s="851">
        <v>0</v>
      </c>
      <c r="L106" s="1327"/>
    </row>
    <row r="107" spans="1:12" ht="13.5" thickBot="1">
      <c r="A107" s="684">
        <v>78</v>
      </c>
      <c r="B107" s="690" t="s">
        <v>818</v>
      </c>
      <c r="C107" s="708">
        <v>196302400</v>
      </c>
      <c r="D107" s="822"/>
      <c r="E107" s="693">
        <v>196302400</v>
      </c>
      <c r="F107" s="693">
        <v>0</v>
      </c>
      <c r="G107" s="693">
        <v>0</v>
      </c>
      <c r="H107" s="728"/>
      <c r="I107" s="729"/>
      <c r="J107" s="695">
        <v>196302400</v>
      </c>
      <c r="K107" s="695">
        <v>0</v>
      </c>
      <c r="L107" s="1327"/>
    </row>
    <row r="108" spans="1:12" ht="13.5" thickBot="1">
      <c r="A108" s="684">
        <v>79</v>
      </c>
      <c r="B108" s="696" t="s">
        <v>819</v>
      </c>
      <c r="C108" s="697">
        <f>SUM(C106:C107)</f>
        <v>196302400</v>
      </c>
      <c r="D108" s="734"/>
      <c r="E108" s="698">
        <f>SUM(E106:E107)</f>
        <v>196302400</v>
      </c>
      <c r="F108" s="698">
        <f>SUM(F106:F107)</f>
        <v>0</v>
      </c>
      <c r="G108" s="698">
        <f>SUM(G106:G107)</f>
        <v>0</v>
      </c>
      <c r="H108" s="734"/>
      <c r="I108" s="735"/>
      <c r="J108" s="702">
        <f>SUM(J106:J107)</f>
        <v>196302400</v>
      </c>
      <c r="K108" s="702">
        <f>SUM(K105:K107)</f>
        <v>40000</v>
      </c>
      <c r="L108" s="1328"/>
    </row>
    <row r="109" spans="1:12" ht="13.5" thickBot="1">
      <c r="A109" s="684"/>
      <c r="B109" s="1320"/>
      <c r="C109" s="1321"/>
      <c r="D109" s="1321"/>
      <c r="E109" s="1321"/>
      <c r="F109" s="1321"/>
      <c r="G109" s="1321"/>
      <c r="H109" s="1321"/>
      <c r="I109" s="1321"/>
      <c r="J109" s="1321"/>
      <c r="K109" s="1322"/>
      <c r="L109" s="683"/>
    </row>
    <row r="110" spans="1:12" ht="12.75">
      <c r="A110" s="703">
        <v>80</v>
      </c>
      <c r="B110" s="721" t="s">
        <v>820</v>
      </c>
      <c r="C110" s="705">
        <f>SUM(E110:G110)</f>
        <v>196302400</v>
      </c>
      <c r="D110" s="901"/>
      <c r="E110" s="687">
        <v>0</v>
      </c>
      <c r="F110" s="687">
        <v>96822314</v>
      </c>
      <c r="G110" s="687">
        <v>99480086</v>
      </c>
      <c r="H110" s="727"/>
      <c r="I110" s="727"/>
      <c r="J110" s="1326"/>
      <c r="K110" s="1326"/>
      <c r="L110" s="689">
        <f>196302400-196950</f>
        <v>196105450</v>
      </c>
    </row>
    <row r="111" spans="1:12" ht="12.75">
      <c r="A111" s="703">
        <v>81</v>
      </c>
      <c r="B111" s="820" t="s">
        <v>821</v>
      </c>
      <c r="C111" s="828"/>
      <c r="D111" s="912"/>
      <c r="E111" s="852"/>
      <c r="F111" s="852"/>
      <c r="G111" s="852"/>
      <c r="H111" s="861"/>
      <c r="I111" s="862"/>
      <c r="J111" s="1327"/>
      <c r="K111" s="1327"/>
      <c r="L111" s="851">
        <v>196950</v>
      </c>
    </row>
    <row r="112" spans="1:12" ht="12.75">
      <c r="A112" s="703">
        <v>82</v>
      </c>
      <c r="B112" s="820" t="s">
        <v>825</v>
      </c>
      <c r="C112" s="708">
        <v>0</v>
      </c>
      <c r="D112" s="822"/>
      <c r="E112" s="731">
        <v>0</v>
      </c>
      <c r="F112" s="731">
        <v>0</v>
      </c>
      <c r="G112" s="731">
        <v>0</v>
      </c>
      <c r="H112" s="694"/>
      <c r="I112" s="908"/>
      <c r="J112" s="1327"/>
      <c r="K112" s="1327"/>
      <c r="L112" s="695">
        <v>0</v>
      </c>
    </row>
    <row r="113" spans="1:12" ht="13.5" thickBot="1">
      <c r="A113" s="703">
        <v>83</v>
      </c>
      <c r="B113" s="823" t="s">
        <v>1075</v>
      </c>
      <c r="C113" s="905">
        <v>0</v>
      </c>
      <c r="D113" s="909"/>
      <c r="E113" s="910">
        <v>0</v>
      </c>
      <c r="F113" s="910">
        <v>0</v>
      </c>
      <c r="G113" s="910">
        <v>0</v>
      </c>
      <c r="H113" s="861"/>
      <c r="I113" s="862"/>
      <c r="J113" s="1327"/>
      <c r="K113" s="1327"/>
      <c r="L113" s="813">
        <v>40000</v>
      </c>
    </row>
    <row r="114" spans="1:12" ht="13.5" thickBot="1">
      <c r="A114" s="722">
        <v>84</v>
      </c>
      <c r="B114" s="723" t="s">
        <v>375</v>
      </c>
      <c r="C114" s="711">
        <f>SUM(C110:C112)</f>
        <v>196302400</v>
      </c>
      <c r="D114" s="736"/>
      <c r="E114" s="724">
        <f>SUM(E110:E112)</f>
        <v>0</v>
      </c>
      <c r="F114" s="724">
        <f>SUM(F110:F112)</f>
        <v>96822314</v>
      </c>
      <c r="G114" s="724">
        <f>SUM(G110:G112)</f>
        <v>99480086</v>
      </c>
      <c r="H114" s="736"/>
      <c r="I114" s="736"/>
      <c r="J114" s="1329"/>
      <c r="K114" s="1329"/>
      <c r="L114" s="713">
        <f>SUM(L110:L113)</f>
        <v>196342400</v>
      </c>
    </row>
    <row r="115" spans="1:12" ht="14.25" thickBot="1" thickTop="1">
      <c r="A115" s="684"/>
      <c r="B115" s="1320"/>
      <c r="C115" s="1321"/>
      <c r="D115" s="1321"/>
      <c r="E115" s="1321"/>
      <c r="F115" s="1321"/>
      <c r="G115" s="1321"/>
      <c r="H115" s="1321"/>
      <c r="I115" s="1321"/>
      <c r="J115" s="1321"/>
      <c r="K115" s="1322"/>
      <c r="L115" s="683"/>
    </row>
    <row r="116" spans="1:12" ht="16.5" thickBot="1" thickTop="1">
      <c r="A116" s="810">
        <v>85</v>
      </c>
      <c r="B116" s="1344" t="s">
        <v>958</v>
      </c>
      <c r="C116" s="1345"/>
      <c r="D116" s="1345"/>
      <c r="E116" s="1345"/>
      <c r="F116" s="1345"/>
      <c r="G116" s="1345"/>
      <c r="H116" s="1345"/>
      <c r="I116" s="1345"/>
      <c r="J116" s="1346"/>
      <c r="K116" s="1346"/>
      <c r="L116" s="812"/>
    </row>
    <row r="117" spans="1:12" s="921" customFormat="1" ht="25.5">
      <c r="A117" s="931">
        <v>86</v>
      </c>
      <c r="B117" s="938" t="s">
        <v>1000</v>
      </c>
      <c r="C117" s="939">
        <v>0</v>
      </c>
      <c r="D117" s="940"/>
      <c r="E117" s="941">
        <v>0</v>
      </c>
      <c r="F117" s="942">
        <v>0</v>
      </c>
      <c r="G117" s="943"/>
      <c r="H117" s="943"/>
      <c r="I117" s="943"/>
      <c r="J117" s="944">
        <v>0</v>
      </c>
      <c r="K117" s="944">
        <v>40000</v>
      </c>
      <c r="L117" s="1326"/>
    </row>
    <row r="118" spans="1:12" ht="12.75">
      <c r="A118" s="682">
        <v>87</v>
      </c>
      <c r="B118" s="913" t="s">
        <v>822</v>
      </c>
      <c r="C118" s="828">
        <v>0</v>
      </c>
      <c r="D118" s="912"/>
      <c r="E118" s="852">
        <v>0</v>
      </c>
      <c r="F118" s="854">
        <v>0</v>
      </c>
      <c r="G118" s="861"/>
      <c r="H118" s="861"/>
      <c r="I118" s="861"/>
      <c r="J118" s="851">
        <v>0</v>
      </c>
      <c r="K118" s="851">
        <v>0</v>
      </c>
      <c r="L118" s="1327"/>
    </row>
    <row r="119" spans="1:12" ht="13.5" thickBot="1">
      <c r="A119" s="684">
        <v>88</v>
      </c>
      <c r="B119" s="690" t="s">
        <v>818</v>
      </c>
      <c r="C119" s="708">
        <v>437625000</v>
      </c>
      <c r="D119" s="822"/>
      <c r="E119" s="693">
        <v>437625000</v>
      </c>
      <c r="F119" s="693">
        <v>0</v>
      </c>
      <c r="G119" s="728"/>
      <c r="H119" s="728"/>
      <c r="I119" s="729"/>
      <c r="J119" s="695">
        <f>7875000+429750000</f>
        <v>437625000</v>
      </c>
      <c r="K119" s="695">
        <v>0</v>
      </c>
      <c r="L119" s="1327"/>
    </row>
    <row r="120" spans="1:12" ht="13.5" thickBot="1">
      <c r="A120" s="684">
        <v>89</v>
      </c>
      <c r="B120" s="696" t="s">
        <v>819</v>
      </c>
      <c r="C120" s="697">
        <f>SUM(C118:C119)</f>
        <v>437625000</v>
      </c>
      <c r="D120" s="734"/>
      <c r="E120" s="698">
        <f>SUM(E118:E119)</f>
        <v>437625000</v>
      </c>
      <c r="F120" s="698">
        <f>SUM(F118:F119)</f>
        <v>0</v>
      </c>
      <c r="G120" s="734"/>
      <c r="H120" s="734"/>
      <c r="I120" s="735"/>
      <c r="J120" s="702">
        <f>SUM(J118:J119)</f>
        <v>437625000</v>
      </c>
      <c r="K120" s="702">
        <f>SUM(K117:K119)</f>
        <v>40000</v>
      </c>
      <c r="L120" s="1328"/>
    </row>
    <row r="121" spans="1:12" ht="13.5" thickBot="1">
      <c r="A121" s="684"/>
      <c r="B121" s="1320"/>
      <c r="C121" s="1321"/>
      <c r="D121" s="1321"/>
      <c r="E121" s="1321"/>
      <c r="F121" s="1321"/>
      <c r="G121" s="1321"/>
      <c r="H121" s="1321"/>
      <c r="I121" s="1321"/>
      <c r="J121" s="1321"/>
      <c r="K121" s="1322"/>
      <c r="L121" s="683"/>
    </row>
    <row r="122" spans="1:12" ht="12.75">
      <c r="A122" s="703">
        <v>90</v>
      </c>
      <c r="B122" s="721" t="s">
        <v>820</v>
      </c>
      <c r="C122" s="705">
        <v>429750000</v>
      </c>
      <c r="D122" s="901"/>
      <c r="E122" s="687">
        <v>0</v>
      </c>
      <c r="F122" s="687">
        <v>429750000</v>
      </c>
      <c r="G122" s="727"/>
      <c r="H122" s="727"/>
      <c r="I122" s="727"/>
      <c r="J122" s="1326"/>
      <c r="K122" s="1326"/>
      <c r="L122" s="689">
        <v>429750000</v>
      </c>
    </row>
    <row r="123" spans="1:12" ht="12.75">
      <c r="A123" s="703">
        <v>91</v>
      </c>
      <c r="B123" s="730" t="s">
        <v>821</v>
      </c>
      <c r="C123" s="708">
        <v>7875000</v>
      </c>
      <c r="D123" s="822"/>
      <c r="E123" s="731">
        <v>0</v>
      </c>
      <c r="F123" s="952">
        <v>7875000</v>
      </c>
      <c r="G123" s="914"/>
      <c r="H123" s="914"/>
      <c r="I123" s="915"/>
      <c r="J123" s="1327"/>
      <c r="K123" s="1327"/>
      <c r="L123" s="695">
        <v>7875000</v>
      </c>
    </row>
    <row r="124" spans="1:12" ht="13.5" thickBot="1">
      <c r="A124" s="703">
        <v>92</v>
      </c>
      <c r="B124" s="730" t="s">
        <v>1075</v>
      </c>
      <c r="C124" s="708">
        <v>0</v>
      </c>
      <c r="D124" s="822"/>
      <c r="E124" s="731">
        <v>0</v>
      </c>
      <c r="F124" s="692">
        <v>0</v>
      </c>
      <c r="G124" s="728"/>
      <c r="H124" s="728"/>
      <c r="I124" s="729"/>
      <c r="J124" s="1327"/>
      <c r="K124" s="1327"/>
      <c r="L124" s="695">
        <v>40000</v>
      </c>
    </row>
    <row r="125" spans="1:12" ht="13.5" thickBot="1">
      <c r="A125" s="722">
        <v>93</v>
      </c>
      <c r="B125" s="723" t="s">
        <v>375</v>
      </c>
      <c r="C125" s="711">
        <f>SUM(C122:C124)</f>
        <v>437625000</v>
      </c>
      <c r="D125" s="736"/>
      <c r="E125" s="724">
        <f>SUM(E122:E124)</f>
        <v>0</v>
      </c>
      <c r="F125" s="724">
        <f>SUM(F122:F124)</f>
        <v>437625000</v>
      </c>
      <c r="G125" s="736"/>
      <c r="H125" s="736"/>
      <c r="I125" s="736"/>
      <c r="J125" s="1329"/>
      <c r="K125" s="1329"/>
      <c r="L125" s="713">
        <f>SUM(L122:L124)</f>
        <v>437665000</v>
      </c>
    </row>
    <row r="126" spans="1:12" ht="14.25" thickBot="1" thickTop="1">
      <c r="A126" s="684"/>
      <c r="B126" s="1320"/>
      <c r="C126" s="1321"/>
      <c r="D126" s="1321"/>
      <c r="E126" s="1321"/>
      <c r="F126" s="1321"/>
      <c r="G126" s="1321"/>
      <c r="H126" s="1321"/>
      <c r="I126" s="1321"/>
      <c r="J126" s="1321"/>
      <c r="K126" s="1322"/>
      <c r="L126" s="683"/>
    </row>
    <row r="127" spans="1:12" ht="16.5" thickBot="1" thickTop="1">
      <c r="A127" s="810">
        <v>94</v>
      </c>
      <c r="B127" s="1344" t="s">
        <v>959</v>
      </c>
      <c r="C127" s="1345"/>
      <c r="D127" s="1345"/>
      <c r="E127" s="1345"/>
      <c r="F127" s="1345"/>
      <c r="G127" s="1345"/>
      <c r="H127" s="1345"/>
      <c r="I127" s="1345"/>
      <c r="J127" s="1346"/>
      <c r="K127" s="1346"/>
      <c r="L127" s="812"/>
    </row>
    <row r="128" spans="1:12" s="921" customFormat="1" ht="25.5">
      <c r="A128" s="931">
        <v>95</v>
      </c>
      <c r="B128" s="945" t="s">
        <v>1000</v>
      </c>
      <c r="C128" s="939">
        <v>0</v>
      </c>
      <c r="D128" s="940"/>
      <c r="E128" s="941">
        <v>0</v>
      </c>
      <c r="F128" s="942">
        <v>0</v>
      </c>
      <c r="G128" s="942">
        <v>0</v>
      </c>
      <c r="H128" s="943"/>
      <c r="I128" s="943"/>
      <c r="J128" s="944">
        <v>0</v>
      </c>
      <c r="K128" s="944">
        <v>40000</v>
      </c>
      <c r="L128" s="1326"/>
    </row>
    <row r="129" spans="1:12" ht="12.75">
      <c r="A129" s="682">
        <v>96</v>
      </c>
      <c r="B129" s="913" t="s">
        <v>822</v>
      </c>
      <c r="C129" s="828">
        <v>0</v>
      </c>
      <c r="D129" s="912"/>
      <c r="E129" s="852">
        <v>0</v>
      </c>
      <c r="F129" s="854">
        <v>0</v>
      </c>
      <c r="G129" s="854">
        <v>0</v>
      </c>
      <c r="H129" s="861"/>
      <c r="I129" s="861"/>
      <c r="J129" s="851">
        <v>0</v>
      </c>
      <c r="K129" s="851">
        <v>0</v>
      </c>
      <c r="L129" s="1327"/>
    </row>
    <row r="130" spans="1:12" ht="13.5" thickBot="1">
      <c r="A130" s="684">
        <v>97</v>
      </c>
      <c r="B130" s="690" t="s">
        <v>818</v>
      </c>
      <c r="C130" s="708">
        <v>100000000</v>
      </c>
      <c r="D130" s="822"/>
      <c r="E130" s="693">
        <v>100000000</v>
      </c>
      <c r="F130" s="693">
        <v>0</v>
      </c>
      <c r="G130" s="693">
        <v>0</v>
      </c>
      <c r="H130" s="728"/>
      <c r="I130" s="729"/>
      <c r="J130" s="695">
        <v>97606050</v>
      </c>
      <c r="K130" s="695">
        <v>0</v>
      </c>
      <c r="L130" s="1327"/>
    </row>
    <row r="131" spans="1:12" ht="13.5" thickBot="1">
      <c r="A131" s="684">
        <v>98</v>
      </c>
      <c r="B131" s="696" t="s">
        <v>819</v>
      </c>
      <c r="C131" s="697">
        <f>SUM(C129:C130)</f>
        <v>100000000</v>
      </c>
      <c r="D131" s="734"/>
      <c r="E131" s="698">
        <f>SUM(E129:E130)</f>
        <v>100000000</v>
      </c>
      <c r="F131" s="698">
        <f>SUM(F129:F130)</f>
        <v>0</v>
      </c>
      <c r="G131" s="698">
        <f>SUM(G129:G130)</f>
        <v>0</v>
      </c>
      <c r="H131" s="734"/>
      <c r="I131" s="735"/>
      <c r="J131" s="702">
        <f>SUM(J129:J130)</f>
        <v>97606050</v>
      </c>
      <c r="K131" s="702">
        <f>SUM(K128:K130)</f>
        <v>40000</v>
      </c>
      <c r="L131" s="1328"/>
    </row>
    <row r="132" spans="1:12" ht="13.5" thickBot="1">
      <c r="A132" s="684"/>
      <c r="B132" s="1320"/>
      <c r="C132" s="1321"/>
      <c r="D132" s="1321"/>
      <c r="E132" s="1321"/>
      <c r="F132" s="1321"/>
      <c r="G132" s="1321"/>
      <c r="H132" s="1321"/>
      <c r="I132" s="1321"/>
      <c r="J132" s="1321"/>
      <c r="K132" s="1322"/>
      <c r="L132" s="683"/>
    </row>
    <row r="133" spans="1:12" ht="12.75">
      <c r="A133" s="703">
        <v>99</v>
      </c>
      <c r="B133" s="721" t="s">
        <v>826</v>
      </c>
      <c r="C133" s="705">
        <f>SUM(E133:G133)</f>
        <v>100000000</v>
      </c>
      <c r="D133" s="688"/>
      <c r="E133" s="687">
        <v>2393950</v>
      </c>
      <c r="F133" s="687">
        <v>85795050</v>
      </c>
      <c r="G133" s="687">
        <v>11811000</v>
      </c>
      <c r="H133" s="727"/>
      <c r="I133" s="727"/>
      <c r="J133" s="1326"/>
      <c r="K133" s="1326"/>
      <c r="L133" s="689">
        <v>97606050</v>
      </c>
    </row>
    <row r="134" spans="1:12" ht="12.75">
      <c r="A134" s="703">
        <v>100</v>
      </c>
      <c r="B134" s="820" t="s">
        <v>827</v>
      </c>
      <c r="C134" s="708">
        <v>0</v>
      </c>
      <c r="D134" s="822"/>
      <c r="E134" s="731">
        <v>0</v>
      </c>
      <c r="F134" s="731">
        <v>0</v>
      </c>
      <c r="G134" s="731">
        <v>0</v>
      </c>
      <c r="H134" s="914"/>
      <c r="I134" s="915"/>
      <c r="J134" s="1327"/>
      <c r="K134" s="1327"/>
      <c r="L134" s="695">
        <v>0</v>
      </c>
    </row>
    <row r="135" spans="1:12" ht="13.5" thickBot="1">
      <c r="A135" s="703">
        <v>101</v>
      </c>
      <c r="B135" s="730" t="s">
        <v>1075</v>
      </c>
      <c r="C135" s="708">
        <v>0</v>
      </c>
      <c r="D135" s="822"/>
      <c r="E135" s="731">
        <v>0</v>
      </c>
      <c r="F135" s="692">
        <v>0</v>
      </c>
      <c r="G135" s="692">
        <v>0</v>
      </c>
      <c r="H135" s="728"/>
      <c r="I135" s="729"/>
      <c r="J135" s="1327"/>
      <c r="K135" s="1327"/>
      <c r="L135" s="695">
        <v>40000</v>
      </c>
    </row>
    <row r="136" spans="1:12" ht="13.5" thickBot="1">
      <c r="A136" s="722">
        <v>102</v>
      </c>
      <c r="B136" s="723" t="s">
        <v>375</v>
      </c>
      <c r="C136" s="711">
        <f>SUM(C133:C134)</f>
        <v>100000000</v>
      </c>
      <c r="D136" s="736"/>
      <c r="E136" s="724">
        <f>SUM(E133:E134)</f>
        <v>2393950</v>
      </c>
      <c r="F136" s="724">
        <f>SUM(F133:F134)</f>
        <v>85795050</v>
      </c>
      <c r="G136" s="724">
        <f>SUM(G133:G134)</f>
        <v>11811000</v>
      </c>
      <c r="H136" s="736"/>
      <c r="I136" s="736"/>
      <c r="J136" s="1329"/>
      <c r="K136" s="1329"/>
      <c r="L136" s="713">
        <f>SUM(L133:L135)</f>
        <v>97646050</v>
      </c>
    </row>
    <row r="137" spans="1:12" ht="14.25" thickBot="1" thickTop="1">
      <c r="A137" s="684"/>
      <c r="B137" s="1320"/>
      <c r="C137" s="1321"/>
      <c r="D137" s="1321"/>
      <c r="E137" s="1321"/>
      <c r="F137" s="1321"/>
      <c r="G137" s="1321"/>
      <c r="H137" s="1321"/>
      <c r="I137" s="1321"/>
      <c r="J137" s="1321"/>
      <c r="K137" s="1322"/>
      <c r="L137" s="683"/>
    </row>
    <row r="138" spans="1:12" ht="16.5" thickBot="1" thickTop="1">
      <c r="A138" s="810">
        <v>103</v>
      </c>
      <c r="B138" s="1344" t="s">
        <v>960</v>
      </c>
      <c r="C138" s="1345"/>
      <c r="D138" s="1345"/>
      <c r="E138" s="1345"/>
      <c r="F138" s="1345"/>
      <c r="G138" s="1345"/>
      <c r="H138" s="1345"/>
      <c r="I138" s="1345"/>
      <c r="J138" s="1346"/>
      <c r="K138" s="1346"/>
      <c r="L138" s="812"/>
    </row>
    <row r="139" spans="1:12" ht="25.5">
      <c r="A139" s="682">
        <v>104</v>
      </c>
      <c r="B139" s="863" t="s">
        <v>1101</v>
      </c>
      <c r="C139" s="937">
        <v>0</v>
      </c>
      <c r="D139" s="947"/>
      <c r="E139" s="927">
        <v>0</v>
      </c>
      <c r="F139" s="928">
        <v>0</v>
      </c>
      <c r="G139" s="943"/>
      <c r="H139" s="943"/>
      <c r="I139" s="951"/>
      <c r="J139" s="929">
        <v>0</v>
      </c>
      <c r="K139" s="929">
        <f>40000+1208400+1077031+254000</f>
        <v>2579431</v>
      </c>
      <c r="L139" s="1326"/>
    </row>
    <row r="140" spans="1:12" ht="12.75">
      <c r="A140" s="682">
        <v>105</v>
      </c>
      <c r="B140" s="911" t="s">
        <v>822</v>
      </c>
      <c r="C140" s="828">
        <v>0</v>
      </c>
      <c r="D140" s="822"/>
      <c r="E140" s="852">
        <v>0</v>
      </c>
      <c r="F140" s="854">
        <v>0</v>
      </c>
      <c r="G140" s="861"/>
      <c r="H140" s="861"/>
      <c r="I140" s="862"/>
      <c r="J140" s="851">
        <v>0</v>
      </c>
      <c r="K140" s="851">
        <v>0</v>
      </c>
      <c r="L140" s="1327"/>
    </row>
    <row r="141" spans="1:12" ht="13.5" thickBot="1">
      <c r="A141" s="684">
        <v>106</v>
      </c>
      <c r="B141" s="690" t="s">
        <v>818</v>
      </c>
      <c r="C141" s="708">
        <v>118000000</v>
      </c>
      <c r="D141" s="822"/>
      <c r="E141" s="693">
        <v>112219000</v>
      </c>
      <c r="F141" s="693">
        <v>5781000</v>
      </c>
      <c r="G141" s="728"/>
      <c r="H141" s="728"/>
      <c r="I141" s="729"/>
      <c r="J141" s="695">
        <v>106361800</v>
      </c>
      <c r="K141" s="695">
        <v>0</v>
      </c>
      <c r="L141" s="1327"/>
    </row>
    <row r="142" spans="1:12" ht="13.5" thickBot="1">
      <c r="A142" s="684">
        <v>107</v>
      </c>
      <c r="B142" s="696" t="s">
        <v>819</v>
      </c>
      <c r="C142" s="697">
        <f>SUM(C139:C141)</f>
        <v>118000000</v>
      </c>
      <c r="D142" s="734"/>
      <c r="E142" s="698">
        <f>SUM(E139:E141)</f>
        <v>112219000</v>
      </c>
      <c r="F142" s="698">
        <f>SUM(F139:F141)</f>
        <v>5781000</v>
      </c>
      <c r="G142" s="734"/>
      <c r="H142" s="734"/>
      <c r="I142" s="735"/>
      <c r="J142" s="702">
        <f>SUM(J139:J141)</f>
        <v>106361800</v>
      </c>
      <c r="K142" s="702">
        <f>SUM(K139:K141)</f>
        <v>2579431</v>
      </c>
      <c r="L142" s="1328"/>
    </row>
    <row r="143" spans="1:12" ht="13.5" thickBot="1">
      <c r="A143" s="684"/>
      <c r="B143" s="1320"/>
      <c r="C143" s="1321"/>
      <c r="D143" s="1321"/>
      <c r="E143" s="1321"/>
      <c r="F143" s="1321"/>
      <c r="G143" s="1321"/>
      <c r="H143" s="1321"/>
      <c r="I143" s="1321"/>
      <c r="J143" s="1321"/>
      <c r="K143" s="1322"/>
      <c r="L143" s="683"/>
    </row>
    <row r="144" spans="1:12" ht="12.75">
      <c r="A144" s="703">
        <v>108</v>
      </c>
      <c r="B144" s="904" t="s">
        <v>1075</v>
      </c>
      <c r="C144" s="705">
        <v>0</v>
      </c>
      <c r="D144" s="901"/>
      <c r="E144" s="687">
        <v>0</v>
      </c>
      <c r="F144" s="687">
        <v>0</v>
      </c>
      <c r="G144" s="688"/>
      <c r="H144" s="688"/>
      <c r="I144" s="688"/>
      <c r="J144" s="1326"/>
      <c r="K144" s="1326"/>
      <c r="L144" s="689">
        <f>40000+1208400+254000</f>
        <v>1502400</v>
      </c>
    </row>
    <row r="145" spans="1:12" ht="12.75">
      <c r="A145" s="703">
        <v>109</v>
      </c>
      <c r="B145" s="704" t="s">
        <v>820</v>
      </c>
      <c r="C145" s="708">
        <f>SUM(E145:G145)</f>
        <v>118000000</v>
      </c>
      <c r="D145" s="822"/>
      <c r="E145" s="693">
        <v>5857200</v>
      </c>
      <c r="F145" s="693">
        <v>112142800</v>
      </c>
      <c r="G145" s="861"/>
      <c r="H145" s="861"/>
      <c r="I145" s="861"/>
      <c r="J145" s="1327"/>
      <c r="K145" s="1327"/>
      <c r="L145" s="851">
        <f>106361800+1077031</f>
        <v>107438831</v>
      </c>
    </row>
    <row r="146" spans="1:12" ht="13.5" thickBot="1">
      <c r="A146" s="703">
        <v>110</v>
      </c>
      <c r="B146" s="730" t="s">
        <v>825</v>
      </c>
      <c r="C146" s="733">
        <v>0</v>
      </c>
      <c r="D146" s="822"/>
      <c r="E146" s="902">
        <v>0</v>
      </c>
      <c r="F146" s="903">
        <v>0</v>
      </c>
      <c r="G146" s="728"/>
      <c r="H146" s="728"/>
      <c r="I146" s="729"/>
      <c r="J146" s="1327"/>
      <c r="K146" s="1327"/>
      <c r="L146" s="695">
        <v>0</v>
      </c>
    </row>
    <row r="147" spans="1:12" ht="13.5" thickBot="1">
      <c r="A147" s="722">
        <v>111</v>
      </c>
      <c r="B147" s="723" t="s">
        <v>375</v>
      </c>
      <c r="C147" s="711">
        <f>SUM(C145:C146)</f>
        <v>118000000</v>
      </c>
      <c r="D147" s="736"/>
      <c r="E147" s="724">
        <f>SUM(E145:E146)</f>
        <v>5857200</v>
      </c>
      <c r="F147" s="724">
        <f>SUM(F145:F146)</f>
        <v>112142800</v>
      </c>
      <c r="G147" s="736"/>
      <c r="H147" s="736"/>
      <c r="I147" s="736"/>
      <c r="J147" s="1329"/>
      <c r="K147" s="1329"/>
      <c r="L147" s="713">
        <f>SUM(L144:L146)</f>
        <v>108941231</v>
      </c>
    </row>
    <row r="148" spans="1:12" ht="14.25" thickBot="1" thickTop="1">
      <c r="A148" s="725"/>
      <c r="B148" s="829"/>
      <c r="C148" s="830"/>
      <c r="D148" s="831"/>
      <c r="E148" s="832"/>
      <c r="F148" s="832"/>
      <c r="G148" s="831"/>
      <c r="H148" s="831"/>
      <c r="I148" s="831"/>
      <c r="J148" s="833"/>
      <c r="K148" s="833"/>
      <c r="L148" s="834"/>
    </row>
    <row r="149" spans="1:12" ht="16.5" thickBot="1" thickTop="1">
      <c r="A149" s="810">
        <v>112</v>
      </c>
      <c r="B149" s="1344" t="s">
        <v>961</v>
      </c>
      <c r="C149" s="1345"/>
      <c r="D149" s="1345"/>
      <c r="E149" s="1345"/>
      <c r="F149" s="1345"/>
      <c r="G149" s="1345"/>
      <c r="H149" s="1345"/>
      <c r="I149" s="1345"/>
      <c r="J149" s="1346"/>
      <c r="K149" s="1346"/>
      <c r="L149" s="812"/>
    </row>
    <row r="150" spans="1:12" s="921" customFormat="1" ht="25.5">
      <c r="A150" s="931">
        <v>113</v>
      </c>
      <c r="B150" s="946" t="s">
        <v>1000</v>
      </c>
      <c r="C150" s="939">
        <v>0</v>
      </c>
      <c r="D150" s="947"/>
      <c r="E150" s="941">
        <v>0</v>
      </c>
      <c r="F150" s="942">
        <v>0</v>
      </c>
      <c r="G150" s="943"/>
      <c r="H150" s="943"/>
      <c r="I150" s="951"/>
      <c r="J150" s="944">
        <v>0</v>
      </c>
      <c r="K150" s="944">
        <f>40000+829010</f>
        <v>869010</v>
      </c>
      <c r="L150" s="1326"/>
    </row>
    <row r="151" spans="1:12" ht="12.75">
      <c r="A151" s="682">
        <v>114</v>
      </c>
      <c r="B151" s="911" t="s">
        <v>822</v>
      </c>
      <c r="C151" s="828">
        <v>0</v>
      </c>
      <c r="D151" s="822"/>
      <c r="E151" s="852">
        <v>0</v>
      </c>
      <c r="F151" s="854">
        <v>0</v>
      </c>
      <c r="G151" s="861"/>
      <c r="H151" s="861"/>
      <c r="I151" s="862"/>
      <c r="J151" s="851">
        <v>0</v>
      </c>
      <c r="K151" s="851">
        <v>0</v>
      </c>
      <c r="L151" s="1327"/>
    </row>
    <row r="152" spans="1:12" ht="13.5" thickBot="1">
      <c r="A152" s="684">
        <v>115</v>
      </c>
      <c r="B152" s="690" t="s">
        <v>818</v>
      </c>
      <c r="C152" s="708">
        <v>50000000</v>
      </c>
      <c r="D152" s="822"/>
      <c r="E152" s="693">
        <v>50000000</v>
      </c>
      <c r="F152" s="693">
        <v>0</v>
      </c>
      <c r="G152" s="728"/>
      <c r="H152" s="728"/>
      <c r="I152" s="729"/>
      <c r="J152" s="695">
        <v>47550000</v>
      </c>
      <c r="K152" s="695">
        <v>0</v>
      </c>
      <c r="L152" s="1327"/>
    </row>
    <row r="153" spans="1:12" ht="13.5" thickBot="1">
      <c r="A153" s="684">
        <v>116</v>
      </c>
      <c r="B153" s="696" t="s">
        <v>819</v>
      </c>
      <c r="C153" s="697">
        <f>SUM(C150:C152)</f>
        <v>50000000</v>
      </c>
      <c r="D153" s="734"/>
      <c r="E153" s="698">
        <f>SUM(E150:E152)</f>
        <v>50000000</v>
      </c>
      <c r="F153" s="698">
        <f>SUM(F150:F152)</f>
        <v>0</v>
      </c>
      <c r="G153" s="734"/>
      <c r="H153" s="734"/>
      <c r="I153" s="735"/>
      <c r="J153" s="702">
        <f>SUM(J150:J152)</f>
        <v>47550000</v>
      </c>
      <c r="K153" s="702">
        <f>SUM(K150:K152)</f>
        <v>869010</v>
      </c>
      <c r="L153" s="1328"/>
    </row>
    <row r="154" spans="1:12" ht="13.5" thickBot="1">
      <c r="A154" s="684"/>
      <c r="B154" s="1320"/>
      <c r="C154" s="1321"/>
      <c r="D154" s="1321"/>
      <c r="E154" s="1321"/>
      <c r="F154" s="1321"/>
      <c r="G154" s="1321"/>
      <c r="H154" s="1321"/>
      <c r="I154" s="1321"/>
      <c r="J154" s="1321"/>
      <c r="K154" s="1322"/>
      <c r="L154" s="683"/>
    </row>
    <row r="155" spans="1:12" ht="12.75">
      <c r="A155" s="703">
        <v>117</v>
      </c>
      <c r="B155" s="721" t="s">
        <v>826</v>
      </c>
      <c r="C155" s="705">
        <v>50000000</v>
      </c>
      <c r="D155" s="688"/>
      <c r="E155" s="835">
        <v>2450000</v>
      </c>
      <c r="F155" s="835">
        <v>47550000</v>
      </c>
      <c r="G155" s="727"/>
      <c r="H155" s="727"/>
      <c r="I155" s="727"/>
      <c r="J155" s="1326"/>
      <c r="K155" s="1326"/>
      <c r="L155" s="689">
        <v>47550000</v>
      </c>
    </row>
    <row r="156" spans="1:12" ht="12.75">
      <c r="A156" s="703">
        <v>118</v>
      </c>
      <c r="B156" s="730" t="s">
        <v>827</v>
      </c>
      <c r="C156" s="708">
        <v>0</v>
      </c>
      <c r="D156" s="822"/>
      <c r="E156" s="731">
        <v>0</v>
      </c>
      <c r="F156" s="731">
        <v>0</v>
      </c>
      <c r="G156" s="694"/>
      <c r="H156" s="694"/>
      <c r="I156" s="908"/>
      <c r="J156" s="1327"/>
      <c r="K156" s="1327"/>
      <c r="L156" s="695">
        <v>829010</v>
      </c>
    </row>
    <row r="157" spans="1:12" ht="13.5" thickBot="1">
      <c r="A157" s="703">
        <v>119</v>
      </c>
      <c r="B157" s="730" t="s">
        <v>1075</v>
      </c>
      <c r="C157" s="708">
        <v>0</v>
      </c>
      <c r="D157" s="822"/>
      <c r="E157" s="731">
        <v>0</v>
      </c>
      <c r="F157" s="731">
        <v>0</v>
      </c>
      <c r="G157" s="948"/>
      <c r="H157" s="948"/>
      <c r="I157" s="949"/>
      <c r="J157" s="1327"/>
      <c r="K157" s="1327"/>
      <c r="L157" s="695">
        <v>40000</v>
      </c>
    </row>
    <row r="158" spans="1:12" ht="13.5" thickBot="1">
      <c r="A158" s="722">
        <v>120</v>
      </c>
      <c r="B158" s="723" t="s">
        <v>375</v>
      </c>
      <c r="C158" s="711">
        <f>SUM(C155:C156)</f>
        <v>50000000</v>
      </c>
      <c r="D158" s="736"/>
      <c r="E158" s="724">
        <f>SUM(E155:E156)</f>
        <v>2450000</v>
      </c>
      <c r="F158" s="724">
        <f>SUM(F155:F156)</f>
        <v>47550000</v>
      </c>
      <c r="G158" s="736"/>
      <c r="H158" s="736"/>
      <c r="I158" s="736"/>
      <c r="J158" s="1329"/>
      <c r="K158" s="1329"/>
      <c r="L158" s="713">
        <f>SUM(L155:L156)</f>
        <v>48379010</v>
      </c>
    </row>
    <row r="159" spans="1:12" ht="14.25" thickBot="1" thickTop="1">
      <c r="A159" s="703"/>
      <c r="B159" s="836"/>
      <c r="C159" s="837"/>
      <c r="D159" s="838"/>
      <c r="E159" s="837"/>
      <c r="F159" s="837"/>
      <c r="G159" s="838"/>
      <c r="H159" s="838"/>
      <c r="I159" s="838"/>
      <c r="J159" s="839"/>
      <c r="K159" s="839"/>
      <c r="L159" s="840"/>
    </row>
    <row r="160" spans="1:12" ht="16.5" thickBot="1" thickTop="1">
      <c r="A160" s="810">
        <v>121</v>
      </c>
      <c r="B160" s="1344" t="s">
        <v>962</v>
      </c>
      <c r="C160" s="1345"/>
      <c r="D160" s="1345"/>
      <c r="E160" s="1345"/>
      <c r="F160" s="1345"/>
      <c r="G160" s="1345"/>
      <c r="H160" s="1345"/>
      <c r="I160" s="1345"/>
      <c r="J160" s="1346"/>
      <c r="K160" s="1346"/>
      <c r="L160" s="812"/>
    </row>
    <row r="161" spans="1:12" ht="12.75">
      <c r="A161" s="682">
        <v>122</v>
      </c>
      <c r="B161" s="740" t="s">
        <v>822</v>
      </c>
      <c r="C161" s="705">
        <v>0</v>
      </c>
      <c r="D161" s="822"/>
      <c r="E161" s="687">
        <v>0</v>
      </c>
      <c r="F161" s="726">
        <v>0</v>
      </c>
      <c r="G161" s="841">
        <v>0</v>
      </c>
      <c r="H161" s="841">
        <v>0</v>
      </c>
      <c r="I161" s="841">
        <v>0</v>
      </c>
      <c r="J161" s="689">
        <v>0</v>
      </c>
      <c r="K161" s="689">
        <v>0</v>
      </c>
      <c r="L161" s="1326"/>
    </row>
    <row r="162" spans="1:12" ht="13.5" thickBot="1">
      <c r="A162" s="684">
        <v>123</v>
      </c>
      <c r="B162" s="690" t="s">
        <v>818</v>
      </c>
      <c r="C162" s="708">
        <v>21635062</v>
      </c>
      <c r="D162" s="822"/>
      <c r="E162" s="693">
        <v>21635062</v>
      </c>
      <c r="F162" s="693">
        <v>0</v>
      </c>
      <c r="G162" s="842">
        <v>0</v>
      </c>
      <c r="H162" s="842">
        <v>0</v>
      </c>
      <c r="I162" s="843">
        <v>0</v>
      </c>
      <c r="J162" s="695">
        <f>19772715+55</f>
        <v>19772770</v>
      </c>
      <c r="K162" s="695"/>
      <c r="L162" s="1327"/>
    </row>
    <row r="163" spans="1:12" ht="13.5" thickBot="1">
      <c r="A163" s="684">
        <v>124</v>
      </c>
      <c r="B163" s="696" t="s">
        <v>819</v>
      </c>
      <c r="C163" s="697">
        <f>SUM(C161:C162)</f>
        <v>21635062</v>
      </c>
      <c r="D163" s="734"/>
      <c r="E163" s="698">
        <f aca="true" t="shared" si="4" ref="E163:K163">SUM(E161:E162)</f>
        <v>21635062</v>
      </c>
      <c r="F163" s="698">
        <f t="shared" si="4"/>
        <v>0</v>
      </c>
      <c r="G163" s="698">
        <f t="shared" si="4"/>
        <v>0</v>
      </c>
      <c r="H163" s="698">
        <f t="shared" si="4"/>
        <v>0</v>
      </c>
      <c r="I163" s="698">
        <f t="shared" si="4"/>
        <v>0</v>
      </c>
      <c r="J163" s="702">
        <f t="shared" si="4"/>
        <v>19772770</v>
      </c>
      <c r="K163" s="702">
        <f t="shared" si="4"/>
        <v>0</v>
      </c>
      <c r="L163" s="1328"/>
    </row>
    <row r="164" spans="1:12" ht="13.5" thickBot="1">
      <c r="A164" s="684"/>
      <c r="B164" s="1320"/>
      <c r="C164" s="1321"/>
      <c r="D164" s="1321"/>
      <c r="E164" s="1321"/>
      <c r="F164" s="1321"/>
      <c r="G164" s="1321"/>
      <c r="H164" s="1321"/>
      <c r="I164" s="1321"/>
      <c r="J164" s="1321"/>
      <c r="K164" s="1322"/>
      <c r="L164" s="683"/>
    </row>
    <row r="165" spans="1:12" ht="12.75">
      <c r="A165" s="703">
        <v>125</v>
      </c>
      <c r="B165" s="721" t="s">
        <v>823</v>
      </c>
      <c r="C165" s="705">
        <v>10295000</v>
      </c>
      <c r="D165" s="688"/>
      <c r="E165" s="835">
        <v>717000</v>
      </c>
      <c r="F165" s="835">
        <v>3123000</v>
      </c>
      <c r="G165" s="835">
        <v>2880000</v>
      </c>
      <c r="H165" s="835">
        <v>2880000</v>
      </c>
      <c r="I165" s="835">
        <v>695000</v>
      </c>
      <c r="J165" s="1349"/>
      <c r="K165" s="1349"/>
      <c r="L165" s="705">
        <v>9578000</v>
      </c>
    </row>
    <row r="166" spans="1:12" ht="12.75">
      <c r="A166" s="703">
        <v>126</v>
      </c>
      <c r="B166" s="707" t="s">
        <v>821</v>
      </c>
      <c r="C166" s="828">
        <v>10510062</v>
      </c>
      <c r="D166" s="819"/>
      <c r="E166" s="844">
        <v>315347</v>
      </c>
      <c r="F166" s="844">
        <f>3984278+55</f>
        <v>3984333</v>
      </c>
      <c r="G166" s="845">
        <v>2149813</v>
      </c>
      <c r="H166" s="845">
        <v>2149812</v>
      </c>
      <c r="I166" s="845">
        <v>1910757</v>
      </c>
      <c r="J166" s="1350"/>
      <c r="K166" s="1350"/>
      <c r="L166" s="828">
        <f>10194715+55</f>
        <v>10194770</v>
      </c>
    </row>
    <row r="167" spans="1:12" ht="13.5" thickBot="1">
      <c r="A167" s="703">
        <v>127</v>
      </c>
      <c r="B167" s="820" t="s">
        <v>820</v>
      </c>
      <c r="C167" s="708">
        <v>830000</v>
      </c>
      <c r="D167" s="822"/>
      <c r="E167" s="857">
        <v>829945</v>
      </c>
      <c r="F167" s="731">
        <f>55-55</f>
        <v>0</v>
      </c>
      <c r="G167" s="842">
        <v>0</v>
      </c>
      <c r="H167" s="842">
        <v>0</v>
      </c>
      <c r="I167" s="843">
        <v>0</v>
      </c>
      <c r="J167" s="1327"/>
      <c r="K167" s="1327"/>
      <c r="L167" s="708">
        <f>55-55</f>
        <v>0</v>
      </c>
    </row>
    <row r="168" spans="1:12" ht="13.5" thickBot="1">
      <c r="A168" s="722">
        <v>128</v>
      </c>
      <c r="B168" s="723" t="s">
        <v>375</v>
      </c>
      <c r="C168" s="711">
        <f>SUM(C165:C167)</f>
        <v>21635062</v>
      </c>
      <c r="D168" s="736"/>
      <c r="E168" s="724">
        <f>SUM(E165:E167)</f>
        <v>1862292</v>
      </c>
      <c r="F168" s="724">
        <f>SUM(F165:F167)</f>
        <v>7107333</v>
      </c>
      <c r="G168" s="724">
        <f>SUM(G165:G167)</f>
        <v>5029813</v>
      </c>
      <c r="H168" s="724">
        <f>SUM(H165:H167)</f>
        <v>5029812</v>
      </c>
      <c r="I168" s="724">
        <f>SUM(I165:I167)</f>
        <v>2605757</v>
      </c>
      <c r="J168" s="1329"/>
      <c r="K168" s="1329"/>
      <c r="L168" s="713">
        <f>SUM(L165:L167)</f>
        <v>19772770</v>
      </c>
    </row>
    <row r="169" spans="1:12" ht="14.25" thickBot="1" thickTop="1">
      <c r="A169" s="684"/>
      <c r="B169" s="1320"/>
      <c r="C169" s="1321"/>
      <c r="D169" s="1321"/>
      <c r="E169" s="1321"/>
      <c r="F169" s="1321"/>
      <c r="G169" s="1321"/>
      <c r="H169" s="1321"/>
      <c r="I169" s="1321"/>
      <c r="J169" s="1321"/>
      <c r="K169" s="1322"/>
      <c r="L169" s="683"/>
    </row>
    <row r="170" spans="1:12" ht="16.5" thickBot="1" thickTop="1">
      <c r="A170" s="810">
        <v>129</v>
      </c>
      <c r="B170" s="1323" t="s">
        <v>1045</v>
      </c>
      <c r="C170" s="1324"/>
      <c r="D170" s="1324"/>
      <c r="E170" s="1324"/>
      <c r="F170" s="1324"/>
      <c r="G170" s="1324"/>
      <c r="H170" s="1324"/>
      <c r="I170" s="1324"/>
      <c r="J170" s="1325"/>
      <c r="K170" s="1325"/>
      <c r="L170" s="812"/>
    </row>
    <row r="171" spans="1:12" ht="12.75">
      <c r="A171" s="682">
        <v>130</v>
      </c>
      <c r="B171" s="685" t="s">
        <v>822</v>
      </c>
      <c r="C171" s="715">
        <v>0</v>
      </c>
      <c r="D171" s="815"/>
      <c r="E171" s="815"/>
      <c r="F171" s="716">
        <v>0</v>
      </c>
      <c r="G171" s="716">
        <v>0</v>
      </c>
      <c r="H171" s="716">
        <v>0</v>
      </c>
      <c r="I171" s="815"/>
      <c r="J171" s="689">
        <v>0</v>
      </c>
      <c r="K171" s="689">
        <v>0</v>
      </c>
      <c r="L171" s="1326"/>
    </row>
    <row r="172" spans="1:12" ht="13.5" thickBot="1">
      <c r="A172" s="717">
        <v>131</v>
      </c>
      <c r="B172" s="690" t="s">
        <v>818</v>
      </c>
      <c r="C172" s="718">
        <v>6119772</v>
      </c>
      <c r="D172" s="816"/>
      <c r="E172" s="816"/>
      <c r="F172" s="693">
        <v>4083324</v>
      </c>
      <c r="G172" s="693">
        <v>0</v>
      </c>
      <c r="H172" s="693">
        <v>2036448</v>
      </c>
      <c r="I172" s="816"/>
      <c r="J172" s="695">
        <v>0</v>
      </c>
      <c r="K172" s="695">
        <v>4083324</v>
      </c>
      <c r="L172" s="1327"/>
    </row>
    <row r="173" spans="1:12" ht="13.5" thickBot="1">
      <c r="A173" s="684">
        <v>132</v>
      </c>
      <c r="B173" s="696" t="s">
        <v>819</v>
      </c>
      <c r="C173" s="697">
        <f>SUM(C171:C172)</f>
        <v>6119772</v>
      </c>
      <c r="D173" s="699"/>
      <c r="E173" s="699"/>
      <c r="F173" s="698">
        <f>SUM(F171:F172)</f>
        <v>4083324</v>
      </c>
      <c r="G173" s="698">
        <f>SUM(G171:G172)</f>
        <v>0</v>
      </c>
      <c r="H173" s="698">
        <f>SUM(H171:H172)</f>
        <v>2036448</v>
      </c>
      <c r="I173" s="699"/>
      <c r="J173" s="702">
        <f>SUM(J171:J172)</f>
        <v>0</v>
      </c>
      <c r="K173" s="702">
        <f>SUM(K171:K172)</f>
        <v>4083324</v>
      </c>
      <c r="L173" s="1328"/>
    </row>
    <row r="174" spans="1:12" ht="13.5" thickBot="1">
      <c r="A174" s="684"/>
      <c r="B174" s="1320"/>
      <c r="C174" s="1321"/>
      <c r="D174" s="1321"/>
      <c r="E174" s="1321"/>
      <c r="F174" s="1321"/>
      <c r="G174" s="1321"/>
      <c r="H174" s="1321"/>
      <c r="I174" s="1321"/>
      <c r="J174" s="1321"/>
      <c r="K174" s="1322"/>
      <c r="L174" s="683"/>
    </row>
    <row r="175" spans="1:12" ht="12.75">
      <c r="A175" s="720">
        <v>133</v>
      </c>
      <c r="B175" s="721" t="s">
        <v>823</v>
      </c>
      <c r="C175" s="886">
        <f>SUM(F175:H175)</f>
        <v>2588370</v>
      </c>
      <c r="D175" s="817"/>
      <c r="E175" s="817"/>
      <c r="F175" s="687">
        <v>970639</v>
      </c>
      <c r="G175" s="726">
        <v>1294185</v>
      </c>
      <c r="H175" s="726">
        <v>323546</v>
      </c>
      <c r="I175" s="817"/>
      <c r="J175" s="1326"/>
      <c r="K175" s="1326"/>
      <c r="L175" s="689">
        <v>970639</v>
      </c>
    </row>
    <row r="176" spans="1:12" ht="12.75">
      <c r="A176" s="703">
        <v>134</v>
      </c>
      <c r="B176" s="707" t="s">
        <v>821</v>
      </c>
      <c r="C176" s="887">
        <f>SUM(F176:H176)</f>
        <v>521854</v>
      </c>
      <c r="D176" s="819"/>
      <c r="E176" s="819"/>
      <c r="F176" s="693">
        <v>296854</v>
      </c>
      <c r="G176" s="719">
        <v>180000</v>
      </c>
      <c r="H176" s="719">
        <v>45000</v>
      </c>
      <c r="I176" s="819"/>
      <c r="J176" s="1327"/>
      <c r="K176" s="1327"/>
      <c r="L176" s="695">
        <v>296854</v>
      </c>
    </row>
    <row r="177" spans="1:12" ht="12.75">
      <c r="A177" s="703">
        <v>135</v>
      </c>
      <c r="B177" s="820" t="s">
        <v>820</v>
      </c>
      <c r="C177" s="887">
        <f>SUM(F177:H177)</f>
        <v>973100</v>
      </c>
      <c r="D177" s="819"/>
      <c r="E177" s="819"/>
      <c r="F177" s="693">
        <v>779383</v>
      </c>
      <c r="G177" s="719">
        <v>193717</v>
      </c>
      <c r="H177" s="719">
        <v>0</v>
      </c>
      <c r="I177" s="819"/>
      <c r="J177" s="1327"/>
      <c r="K177" s="1327"/>
      <c r="L177" s="695">
        <v>779383</v>
      </c>
    </row>
    <row r="178" spans="1:12" ht="13.5" thickBot="1">
      <c r="A178" s="703">
        <v>136</v>
      </c>
      <c r="B178" s="820" t="s">
        <v>1046</v>
      </c>
      <c r="C178" s="888">
        <f>SUM(F178:H178)</f>
        <v>2036448</v>
      </c>
      <c r="D178" s="822"/>
      <c r="E178" s="822"/>
      <c r="F178" s="692">
        <v>2036448</v>
      </c>
      <c r="G178" s="719">
        <v>0</v>
      </c>
      <c r="H178" s="719">
        <v>0</v>
      </c>
      <c r="I178" s="822"/>
      <c r="J178" s="1327"/>
      <c r="K178" s="1327"/>
      <c r="L178" s="695">
        <v>2036448</v>
      </c>
    </row>
    <row r="179" spans="1:12" ht="13.5" thickBot="1">
      <c r="A179" s="722">
        <v>137</v>
      </c>
      <c r="B179" s="723" t="s">
        <v>375</v>
      </c>
      <c r="C179" s="711">
        <f>SUM(C175:C178)</f>
        <v>6119772</v>
      </c>
      <c r="D179" s="736"/>
      <c r="E179" s="736"/>
      <c r="F179" s="724">
        <f>SUM(F175:F178)</f>
        <v>4083324</v>
      </c>
      <c r="G179" s="724">
        <f>SUM(G175:G178)</f>
        <v>1667902</v>
      </c>
      <c r="H179" s="724">
        <f>SUM(H175:H178)</f>
        <v>368546</v>
      </c>
      <c r="I179" s="736"/>
      <c r="J179" s="1329"/>
      <c r="K179" s="1329"/>
      <c r="L179" s="713">
        <f>SUM(L175:L178)</f>
        <v>4083324</v>
      </c>
    </row>
    <row r="180" spans="1:12" ht="14.25" thickBot="1" thickTop="1">
      <c r="A180" s="684"/>
      <c r="B180" s="1320"/>
      <c r="C180" s="1321"/>
      <c r="D180" s="1321"/>
      <c r="E180" s="1321"/>
      <c r="F180" s="1321"/>
      <c r="G180" s="1321"/>
      <c r="H180" s="1321"/>
      <c r="I180" s="1321"/>
      <c r="J180" s="1321"/>
      <c r="K180" s="1322"/>
      <c r="L180" s="683"/>
    </row>
    <row r="181" spans="1:12" ht="19.5" thickBot="1" thickTop="1">
      <c r="A181" s="846">
        <v>138</v>
      </c>
      <c r="B181" s="1338" t="s">
        <v>768</v>
      </c>
      <c r="C181" s="1339"/>
      <c r="D181" s="1339"/>
      <c r="E181" s="1339"/>
      <c r="F181" s="1339"/>
      <c r="G181" s="1339"/>
      <c r="H181" s="1339"/>
      <c r="I181" s="1339"/>
      <c r="J181" s="1339"/>
      <c r="K181" s="1339"/>
      <c r="L181" s="1340"/>
    </row>
    <row r="182" spans="1:12" ht="14.25" thickBot="1" thickTop="1">
      <c r="A182" s="714"/>
      <c r="B182" s="1341"/>
      <c r="C182" s="1342"/>
      <c r="D182" s="1342"/>
      <c r="E182" s="1342"/>
      <c r="F182" s="1342"/>
      <c r="G182" s="1342"/>
      <c r="H182" s="1342"/>
      <c r="I182" s="1342"/>
      <c r="J182" s="1342"/>
      <c r="K182" s="1342"/>
      <c r="L182" s="1343"/>
    </row>
    <row r="183" spans="1:12" ht="16.5" thickBot="1" thickTop="1">
      <c r="A183" s="810">
        <v>139</v>
      </c>
      <c r="B183" s="1347" t="s">
        <v>954</v>
      </c>
      <c r="C183" s="1348"/>
      <c r="D183" s="1348"/>
      <c r="E183" s="1348"/>
      <c r="F183" s="1348"/>
      <c r="G183" s="1348"/>
      <c r="H183" s="1348"/>
      <c r="I183" s="1348"/>
      <c r="J183" s="1348"/>
      <c r="K183" s="1348"/>
      <c r="L183" s="847"/>
    </row>
    <row r="184" spans="1:12" ht="12.75">
      <c r="A184" s="682">
        <v>140</v>
      </c>
      <c r="B184" s="732" t="s">
        <v>822</v>
      </c>
      <c r="C184" s="848">
        <v>0</v>
      </c>
      <c r="D184" s="849"/>
      <c r="E184" s="850">
        <v>0</v>
      </c>
      <c r="F184" s="850">
        <v>0</v>
      </c>
      <c r="G184" s="850">
        <v>0</v>
      </c>
      <c r="H184" s="850"/>
      <c r="I184" s="849"/>
      <c r="J184" s="851">
        <v>0</v>
      </c>
      <c r="K184" s="851">
        <v>0</v>
      </c>
      <c r="L184" s="1327"/>
    </row>
    <row r="185" spans="1:12" ht="13.5" thickBot="1">
      <c r="A185" s="717">
        <v>141</v>
      </c>
      <c r="B185" s="690" t="s">
        <v>818</v>
      </c>
      <c r="C185" s="718">
        <v>88217316</v>
      </c>
      <c r="D185" s="816"/>
      <c r="E185" s="693">
        <v>45094449</v>
      </c>
      <c r="F185" s="693">
        <v>0</v>
      </c>
      <c r="G185" s="693">
        <v>0</v>
      </c>
      <c r="H185" s="693">
        <v>43122867</v>
      </c>
      <c r="I185" s="816"/>
      <c r="J185" s="695">
        <v>27430982</v>
      </c>
      <c r="K185" s="695">
        <v>0</v>
      </c>
      <c r="L185" s="1327"/>
    </row>
    <row r="186" spans="1:12" ht="13.5" thickBot="1">
      <c r="A186" s="684">
        <v>142</v>
      </c>
      <c r="B186" s="696" t="s">
        <v>819</v>
      </c>
      <c r="C186" s="697">
        <f>SUM(C184:C185)</f>
        <v>88217316</v>
      </c>
      <c r="D186" s="699"/>
      <c r="E186" s="698">
        <f>SUM(E184:E185)</f>
        <v>45094449</v>
      </c>
      <c r="F186" s="698">
        <f>SUM(F184:F185)</f>
        <v>0</v>
      </c>
      <c r="G186" s="698">
        <f>SUM(G184:G185)</f>
        <v>0</v>
      </c>
      <c r="H186" s="698">
        <f>SUM(H184:H185)</f>
        <v>43122867</v>
      </c>
      <c r="I186" s="699"/>
      <c r="J186" s="702">
        <f>SUM(J184:J185)</f>
        <v>27430982</v>
      </c>
      <c r="K186" s="702">
        <f>SUM(K184:K185)</f>
        <v>0</v>
      </c>
      <c r="L186" s="1328"/>
    </row>
    <row r="187" spans="1:12" ht="13.5" thickBot="1">
      <c r="A187" s="684"/>
      <c r="B187" s="1320"/>
      <c r="C187" s="1321"/>
      <c r="D187" s="1321"/>
      <c r="E187" s="1321"/>
      <c r="F187" s="1321"/>
      <c r="G187" s="1321"/>
      <c r="H187" s="1321"/>
      <c r="I187" s="1321"/>
      <c r="J187" s="1321"/>
      <c r="K187" s="1322"/>
      <c r="L187" s="683"/>
    </row>
    <row r="188" spans="1:12" ht="12.75">
      <c r="A188" s="720">
        <v>143</v>
      </c>
      <c r="B188" s="721" t="s">
        <v>823</v>
      </c>
      <c r="C188" s="827">
        <f>SUM(E188:H188)</f>
        <v>53041950</v>
      </c>
      <c r="D188" s="817"/>
      <c r="E188" s="687">
        <v>4082460</v>
      </c>
      <c r="F188" s="726">
        <v>23773325</v>
      </c>
      <c r="G188" s="726">
        <v>23773325</v>
      </c>
      <c r="H188" s="726">
        <v>1412840</v>
      </c>
      <c r="I188" s="817"/>
      <c r="J188" s="1326"/>
      <c r="K188" s="1326"/>
      <c r="L188" s="689">
        <f>23031236+628528-672871</f>
        <v>22986893</v>
      </c>
    </row>
    <row r="189" spans="1:12" ht="12.75">
      <c r="A189" s="703">
        <v>144</v>
      </c>
      <c r="B189" s="707" t="s">
        <v>821</v>
      </c>
      <c r="C189" s="708">
        <f>SUM(E189:H189)</f>
        <v>33488176</v>
      </c>
      <c r="D189" s="819"/>
      <c r="E189" s="693">
        <v>12718558</v>
      </c>
      <c r="F189" s="719">
        <v>10002127</v>
      </c>
      <c r="G189" s="719">
        <v>10002126</v>
      </c>
      <c r="H189" s="719">
        <v>765365</v>
      </c>
      <c r="I189" s="819"/>
      <c r="J189" s="1327"/>
      <c r="K189" s="1327"/>
      <c r="L189" s="695">
        <v>4399746</v>
      </c>
    </row>
    <row r="190" spans="1:12" ht="13.5" thickBot="1">
      <c r="A190" s="703">
        <v>145</v>
      </c>
      <c r="B190" s="820" t="s">
        <v>820</v>
      </c>
      <c r="C190" s="828">
        <f>SUM(E190:H190)</f>
        <v>1687190</v>
      </c>
      <c r="D190" s="822"/>
      <c r="E190" s="693">
        <v>862449</v>
      </c>
      <c r="F190" s="719">
        <v>412371</v>
      </c>
      <c r="G190" s="719">
        <v>412370</v>
      </c>
      <c r="H190" s="719">
        <v>0</v>
      </c>
      <c r="I190" s="822"/>
      <c r="J190" s="1327"/>
      <c r="K190" s="1327"/>
      <c r="L190" s="695">
        <v>0</v>
      </c>
    </row>
    <row r="191" spans="1:12" ht="13.5" thickBot="1">
      <c r="A191" s="722">
        <v>146</v>
      </c>
      <c r="B191" s="723" t="s">
        <v>375</v>
      </c>
      <c r="C191" s="711">
        <f>SUM(C188:C190)</f>
        <v>88217316</v>
      </c>
      <c r="D191" s="736"/>
      <c r="E191" s="724">
        <f>SUM(E188:E190)</f>
        <v>17663467</v>
      </c>
      <c r="F191" s="724">
        <f>SUM(F188:F190)</f>
        <v>34187823</v>
      </c>
      <c r="G191" s="724">
        <f>SUM(G188:G190)</f>
        <v>34187821</v>
      </c>
      <c r="H191" s="724">
        <f>SUM(H188:H190)</f>
        <v>2178205</v>
      </c>
      <c r="I191" s="736"/>
      <c r="J191" s="1329"/>
      <c r="K191" s="1329"/>
      <c r="L191" s="713">
        <f>SUM(L188:L190)</f>
        <v>27386639</v>
      </c>
    </row>
    <row r="192" spans="1:12" ht="14.25" thickBot="1" thickTop="1">
      <c r="A192" s="714"/>
      <c r="B192" s="1341"/>
      <c r="C192" s="1342"/>
      <c r="D192" s="1342"/>
      <c r="E192" s="1342"/>
      <c r="F192" s="1342"/>
      <c r="G192" s="1342"/>
      <c r="H192" s="1342"/>
      <c r="I192" s="1342"/>
      <c r="J192" s="1342"/>
      <c r="K192" s="1342"/>
      <c r="L192" s="1343"/>
    </row>
    <row r="193" spans="1:12" ht="16.5" thickBot="1" thickTop="1">
      <c r="A193" s="810">
        <v>147</v>
      </c>
      <c r="B193" s="1323" t="s">
        <v>963</v>
      </c>
      <c r="C193" s="1324"/>
      <c r="D193" s="1324"/>
      <c r="E193" s="1324"/>
      <c r="F193" s="1324"/>
      <c r="G193" s="1324"/>
      <c r="H193" s="1324"/>
      <c r="I193" s="1324"/>
      <c r="J193" s="1325"/>
      <c r="K193" s="1325"/>
      <c r="L193" s="812"/>
    </row>
    <row r="194" spans="1:12" ht="12.75">
      <c r="A194" s="682">
        <v>148</v>
      </c>
      <c r="B194" s="685" t="s">
        <v>822</v>
      </c>
      <c r="C194" s="715">
        <v>0</v>
      </c>
      <c r="D194" s="716">
        <v>0</v>
      </c>
      <c r="E194" s="716">
        <v>0</v>
      </c>
      <c r="F194" s="716">
        <v>0</v>
      </c>
      <c r="G194" s="815"/>
      <c r="H194" s="815"/>
      <c r="I194" s="815"/>
      <c r="J194" s="689">
        <v>0</v>
      </c>
      <c r="K194" s="689">
        <v>0</v>
      </c>
      <c r="L194" s="1326"/>
    </row>
    <row r="195" spans="1:12" ht="13.5" thickBot="1">
      <c r="A195" s="717">
        <v>149</v>
      </c>
      <c r="B195" s="690" t="s">
        <v>818</v>
      </c>
      <c r="C195" s="718">
        <f>SUM(D195:F195)</f>
        <v>40000000</v>
      </c>
      <c r="D195" s="693">
        <v>39200000</v>
      </c>
      <c r="E195" s="693">
        <v>0</v>
      </c>
      <c r="F195" s="693">
        <v>800000</v>
      </c>
      <c r="G195" s="816"/>
      <c r="H195" s="816"/>
      <c r="I195" s="816"/>
      <c r="J195" s="695">
        <v>5459106</v>
      </c>
      <c r="K195" s="695">
        <v>0</v>
      </c>
      <c r="L195" s="1327"/>
    </row>
    <row r="196" spans="1:12" ht="13.5" thickBot="1">
      <c r="A196" s="684">
        <v>150</v>
      </c>
      <c r="B196" s="696" t="s">
        <v>819</v>
      </c>
      <c r="C196" s="697">
        <f>SUM(C194:C195)</f>
        <v>40000000</v>
      </c>
      <c r="D196" s="698">
        <f>SUM(D194:D195)</f>
        <v>39200000</v>
      </c>
      <c r="E196" s="698">
        <f>SUM(E194:E195)</f>
        <v>0</v>
      </c>
      <c r="F196" s="698">
        <f>SUM(F194:F195)</f>
        <v>800000</v>
      </c>
      <c r="G196" s="699"/>
      <c r="H196" s="699"/>
      <c r="I196" s="699"/>
      <c r="J196" s="702">
        <f>SUM(J194:J195)</f>
        <v>5459106</v>
      </c>
      <c r="K196" s="702">
        <f>SUM(K194:K195)</f>
        <v>0</v>
      </c>
      <c r="L196" s="1328"/>
    </row>
    <row r="197" spans="1:12" ht="13.5" thickBot="1">
      <c r="A197" s="684"/>
      <c r="B197" s="1320"/>
      <c r="C197" s="1321"/>
      <c r="D197" s="1321"/>
      <c r="E197" s="1321"/>
      <c r="F197" s="1321"/>
      <c r="G197" s="1321"/>
      <c r="H197" s="1321"/>
      <c r="I197" s="1321"/>
      <c r="J197" s="1321"/>
      <c r="K197" s="1322"/>
      <c r="L197" s="683"/>
    </row>
    <row r="198" spans="1:12" ht="12.75">
      <c r="A198" s="720">
        <v>151</v>
      </c>
      <c r="B198" s="721" t="s">
        <v>823</v>
      </c>
      <c r="C198" s="827">
        <f>SUM(D198:F198)</f>
        <v>12988120</v>
      </c>
      <c r="D198" s="687">
        <v>1760137</v>
      </c>
      <c r="E198" s="687">
        <v>8475898</v>
      </c>
      <c r="F198" s="726">
        <v>2752085</v>
      </c>
      <c r="G198" s="817"/>
      <c r="H198" s="817"/>
      <c r="I198" s="817"/>
      <c r="J198" s="1326"/>
      <c r="K198" s="1326"/>
      <c r="L198" s="689">
        <f>2752085+4697-66565</f>
        <v>2690217</v>
      </c>
    </row>
    <row r="199" spans="1:12" ht="12.75">
      <c r="A199" s="703">
        <v>152</v>
      </c>
      <c r="B199" s="707" t="s">
        <v>821</v>
      </c>
      <c r="C199" s="708">
        <f>SUM(D199:F199)</f>
        <v>23158258</v>
      </c>
      <c r="D199" s="693">
        <v>2486374</v>
      </c>
      <c r="E199" s="693">
        <v>17164863</v>
      </c>
      <c r="F199" s="719">
        <v>3507021</v>
      </c>
      <c r="G199" s="819"/>
      <c r="H199" s="819"/>
      <c r="I199" s="819"/>
      <c r="J199" s="1327"/>
      <c r="K199" s="1327"/>
      <c r="L199" s="695">
        <f>2707021+61868</f>
        <v>2768889</v>
      </c>
    </row>
    <row r="200" spans="1:12" ht="13.5" thickBot="1">
      <c r="A200" s="703">
        <v>153</v>
      </c>
      <c r="B200" s="820" t="s">
        <v>820</v>
      </c>
      <c r="C200" s="860">
        <f>SUM(D200:F200)</f>
        <v>3853622</v>
      </c>
      <c r="D200" s="693">
        <v>1441069</v>
      </c>
      <c r="E200" s="693">
        <v>2412553</v>
      </c>
      <c r="F200" s="719">
        <v>0</v>
      </c>
      <c r="G200" s="822"/>
      <c r="H200" s="822"/>
      <c r="I200" s="822"/>
      <c r="J200" s="1327"/>
      <c r="K200" s="1327"/>
      <c r="L200" s="695">
        <v>0</v>
      </c>
    </row>
    <row r="201" spans="1:12" ht="13.5" thickBot="1">
      <c r="A201" s="722">
        <v>154</v>
      </c>
      <c r="B201" s="723" t="s">
        <v>375</v>
      </c>
      <c r="C201" s="711">
        <f>SUM(C198:C200)</f>
        <v>40000000</v>
      </c>
      <c r="D201" s="724">
        <f>SUM(D198:D200)</f>
        <v>5687580</v>
      </c>
      <c r="E201" s="724">
        <f>SUM(E198:E200)</f>
        <v>28053314</v>
      </c>
      <c r="F201" s="724">
        <f>SUM(F198:F200)</f>
        <v>6259106</v>
      </c>
      <c r="G201" s="736"/>
      <c r="H201" s="736"/>
      <c r="I201" s="736"/>
      <c r="J201" s="1329"/>
      <c r="K201" s="1329"/>
      <c r="L201" s="713">
        <f>SUM(L198:L200)</f>
        <v>5459106</v>
      </c>
    </row>
    <row r="202" ht="14.25" thickBot="1" thickTop="1"/>
    <row r="203" spans="1:12" ht="19.5" thickBot="1" thickTop="1">
      <c r="A203" s="846">
        <v>155</v>
      </c>
      <c r="B203" s="1338" t="s">
        <v>833</v>
      </c>
      <c r="C203" s="1339"/>
      <c r="D203" s="1339"/>
      <c r="E203" s="1339"/>
      <c r="F203" s="1339"/>
      <c r="G203" s="1339"/>
      <c r="H203" s="1339"/>
      <c r="I203" s="1339"/>
      <c r="J203" s="1339"/>
      <c r="K203" s="1339"/>
      <c r="L203" s="1340"/>
    </row>
    <row r="204" spans="1:12" ht="14.25" thickBot="1" thickTop="1">
      <c r="A204" s="1330"/>
      <c r="B204" s="1331"/>
      <c r="C204" s="1331"/>
      <c r="D204" s="1331"/>
      <c r="E204" s="1331"/>
      <c r="F204" s="1331"/>
      <c r="G204" s="1331"/>
      <c r="H204" s="1331"/>
      <c r="I204" s="1331"/>
      <c r="J204" s="1331"/>
      <c r="K204" s="1331"/>
      <c r="L204" s="1332"/>
    </row>
    <row r="205" spans="1:12" ht="16.5" thickBot="1" thickTop="1">
      <c r="A205" s="810">
        <v>156</v>
      </c>
      <c r="B205" s="1333" t="s">
        <v>956</v>
      </c>
      <c r="C205" s="1334"/>
      <c r="D205" s="1334"/>
      <c r="E205" s="1334"/>
      <c r="F205" s="1334"/>
      <c r="G205" s="1334"/>
      <c r="H205" s="1334"/>
      <c r="I205" s="1334"/>
      <c r="J205" s="1334"/>
      <c r="K205" s="1334"/>
      <c r="L205" s="1335"/>
    </row>
    <row r="206" spans="1:12" ht="12.75">
      <c r="A206" s="682">
        <v>157</v>
      </c>
      <c r="B206" s="685" t="s">
        <v>822</v>
      </c>
      <c r="C206" s="715">
        <v>0</v>
      </c>
      <c r="D206" s="815"/>
      <c r="E206" s="815"/>
      <c r="F206" s="716">
        <v>0</v>
      </c>
      <c r="G206" s="815"/>
      <c r="H206" s="815"/>
      <c r="I206" s="815"/>
      <c r="J206" s="689">
        <v>0</v>
      </c>
      <c r="K206" s="689">
        <v>0</v>
      </c>
      <c r="L206" s="1326"/>
    </row>
    <row r="207" spans="1:12" ht="13.5" thickBot="1">
      <c r="A207" s="717">
        <v>158</v>
      </c>
      <c r="B207" s="690" t="s">
        <v>818</v>
      </c>
      <c r="C207" s="718">
        <v>25000000</v>
      </c>
      <c r="D207" s="816"/>
      <c r="E207" s="816"/>
      <c r="F207" s="693">
        <v>25000000</v>
      </c>
      <c r="G207" s="816"/>
      <c r="H207" s="816"/>
      <c r="I207" s="816"/>
      <c r="J207" s="695">
        <v>0</v>
      </c>
      <c r="K207" s="695">
        <v>25000000</v>
      </c>
      <c r="L207" s="1327"/>
    </row>
    <row r="208" spans="1:12" ht="13.5" thickBot="1">
      <c r="A208" s="684">
        <v>159</v>
      </c>
      <c r="B208" s="696" t="s">
        <v>819</v>
      </c>
      <c r="C208" s="697">
        <f>SUM(C206:C207)</f>
        <v>25000000</v>
      </c>
      <c r="D208" s="699"/>
      <c r="E208" s="699"/>
      <c r="F208" s="698">
        <f>SUM(F206:F207)</f>
        <v>25000000</v>
      </c>
      <c r="G208" s="699"/>
      <c r="H208" s="699"/>
      <c r="I208" s="699"/>
      <c r="J208" s="702">
        <f>SUM(J206:J207)</f>
        <v>0</v>
      </c>
      <c r="K208" s="702">
        <f>SUM(K206:K207)</f>
        <v>25000000</v>
      </c>
      <c r="L208" s="1328"/>
    </row>
    <row r="209" spans="1:12" ht="13.5" thickBot="1">
      <c r="A209" s="684"/>
      <c r="B209" s="1320"/>
      <c r="C209" s="1321"/>
      <c r="D209" s="1321"/>
      <c r="E209" s="1321"/>
      <c r="F209" s="1321"/>
      <c r="G209" s="1321"/>
      <c r="H209" s="1321"/>
      <c r="I209" s="1321"/>
      <c r="J209" s="1321"/>
      <c r="K209" s="1322"/>
      <c r="L209" s="683"/>
    </row>
    <row r="210" spans="1:12" ht="12.75">
      <c r="A210" s="720">
        <v>160</v>
      </c>
      <c r="B210" s="721" t="s">
        <v>823</v>
      </c>
      <c r="C210" s="827">
        <f>SUM(E210:H210)</f>
        <v>8407749</v>
      </c>
      <c r="D210" s="817"/>
      <c r="E210" s="817"/>
      <c r="F210" s="687">
        <v>8407749</v>
      </c>
      <c r="G210" s="817"/>
      <c r="H210" s="817"/>
      <c r="I210" s="817"/>
      <c r="J210" s="1326"/>
      <c r="K210" s="1326"/>
      <c r="L210" s="689">
        <v>8407749</v>
      </c>
    </row>
    <row r="211" spans="1:12" ht="12.75">
      <c r="A211" s="703">
        <v>161</v>
      </c>
      <c r="B211" s="707" t="s">
        <v>821</v>
      </c>
      <c r="C211" s="708">
        <f>SUM(E211:H211)</f>
        <v>14095151</v>
      </c>
      <c r="D211" s="819"/>
      <c r="E211" s="819"/>
      <c r="F211" s="693">
        <v>14095151</v>
      </c>
      <c r="G211" s="819"/>
      <c r="H211" s="819"/>
      <c r="I211" s="819"/>
      <c r="J211" s="1327"/>
      <c r="K211" s="1327"/>
      <c r="L211" s="695">
        <v>14095151</v>
      </c>
    </row>
    <row r="212" spans="1:12" ht="13.5" thickBot="1">
      <c r="A212" s="703">
        <v>162</v>
      </c>
      <c r="B212" s="820" t="s">
        <v>820</v>
      </c>
      <c r="C212" s="828">
        <f>SUM(E212:H212)</f>
        <v>2497100</v>
      </c>
      <c r="D212" s="822"/>
      <c r="E212" s="822"/>
      <c r="F212" s="692">
        <v>2497100</v>
      </c>
      <c r="G212" s="822"/>
      <c r="H212" s="822"/>
      <c r="I212" s="822"/>
      <c r="J212" s="1327"/>
      <c r="K212" s="1327"/>
      <c r="L212" s="695">
        <v>2497100</v>
      </c>
    </row>
    <row r="213" spans="1:12" ht="13.5" thickBot="1">
      <c r="A213" s="722">
        <v>163</v>
      </c>
      <c r="B213" s="723" t="s">
        <v>375</v>
      </c>
      <c r="C213" s="711">
        <f>SUM(C210:C212)</f>
        <v>25000000</v>
      </c>
      <c r="D213" s="736"/>
      <c r="E213" s="736"/>
      <c r="F213" s="724">
        <f>SUM(F210:F212)</f>
        <v>25000000</v>
      </c>
      <c r="G213" s="736"/>
      <c r="H213" s="736"/>
      <c r="I213" s="737"/>
      <c r="J213" s="1329"/>
      <c r="K213" s="1329"/>
      <c r="L213" s="713">
        <f>SUM(L210:L212)</f>
        <v>25000000</v>
      </c>
    </row>
    <row r="214" spans="1:11" s="956" customFormat="1" ht="13.5" thickTop="1">
      <c r="A214" s="756"/>
      <c r="B214" s="1321"/>
      <c r="C214" s="1321"/>
      <c r="D214" s="1321"/>
      <c r="E214" s="1321"/>
      <c r="F214" s="1321"/>
      <c r="G214" s="1321"/>
      <c r="H214" s="1321"/>
      <c r="I214" s="1321"/>
      <c r="J214" s="1321"/>
      <c r="K214" s="1321"/>
    </row>
  </sheetData>
  <sheetProtection/>
  <mergeCells count="128">
    <mergeCell ref="B60:L60"/>
    <mergeCell ref="B109:K109"/>
    <mergeCell ref="L105:L108"/>
    <mergeCell ref="L117:L120"/>
    <mergeCell ref="L128:L131"/>
    <mergeCell ref="B52:K52"/>
    <mergeCell ref="L53:L55"/>
    <mergeCell ref="B56:K56"/>
    <mergeCell ref="J57:J59"/>
    <mergeCell ref="K57:K59"/>
    <mergeCell ref="B51:L51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  <mergeCell ref="J27:J31"/>
    <mergeCell ref="B12:L12"/>
    <mergeCell ref="B13:K13"/>
    <mergeCell ref="L14:L16"/>
    <mergeCell ref="B17:K17"/>
    <mergeCell ref="K18:K20"/>
    <mergeCell ref="B21:L21"/>
    <mergeCell ref="J18:J20"/>
    <mergeCell ref="B33:K33"/>
    <mergeCell ref="L34:L36"/>
    <mergeCell ref="B61:K61"/>
    <mergeCell ref="L62:L65"/>
    <mergeCell ref="B66:K66"/>
    <mergeCell ref="B22:K22"/>
    <mergeCell ref="L23:L25"/>
    <mergeCell ref="B26:K26"/>
    <mergeCell ref="K27:K31"/>
    <mergeCell ref="B32:L32"/>
    <mergeCell ref="B37:K37"/>
    <mergeCell ref="K38:K41"/>
    <mergeCell ref="B43:K43"/>
    <mergeCell ref="L44:L46"/>
    <mergeCell ref="B47:K47"/>
    <mergeCell ref="K48:K50"/>
    <mergeCell ref="J38:J41"/>
    <mergeCell ref="J48:J50"/>
    <mergeCell ref="B42:L42"/>
    <mergeCell ref="B80:L80"/>
    <mergeCell ref="B81:K81"/>
    <mergeCell ref="L82:L84"/>
    <mergeCell ref="B85:K85"/>
    <mergeCell ref="K86:K91"/>
    <mergeCell ref="B92:L92"/>
    <mergeCell ref="J86:J91"/>
    <mergeCell ref="B103:K103"/>
    <mergeCell ref="B104:K104"/>
    <mergeCell ref="B93:K93"/>
    <mergeCell ref="L94:L96"/>
    <mergeCell ref="B97:K97"/>
    <mergeCell ref="K98:K102"/>
    <mergeCell ref="J98:J102"/>
    <mergeCell ref="K110:K114"/>
    <mergeCell ref="B115:K115"/>
    <mergeCell ref="B116:K116"/>
    <mergeCell ref="B121:K121"/>
    <mergeCell ref="K122:K125"/>
    <mergeCell ref="J110:J114"/>
    <mergeCell ref="J122:J125"/>
    <mergeCell ref="B126:K126"/>
    <mergeCell ref="B127:K127"/>
    <mergeCell ref="B132:K132"/>
    <mergeCell ref="K133:K136"/>
    <mergeCell ref="B137:K137"/>
    <mergeCell ref="J133:J136"/>
    <mergeCell ref="B138:K138"/>
    <mergeCell ref="L139:L142"/>
    <mergeCell ref="B143:K143"/>
    <mergeCell ref="B149:K149"/>
    <mergeCell ref="L150:L153"/>
    <mergeCell ref="J144:J147"/>
    <mergeCell ref="K144:K147"/>
    <mergeCell ref="B154:K154"/>
    <mergeCell ref="K155:K158"/>
    <mergeCell ref="B160:K160"/>
    <mergeCell ref="L161:L163"/>
    <mergeCell ref="B164:K164"/>
    <mergeCell ref="K165:K168"/>
    <mergeCell ref="J155:J158"/>
    <mergeCell ref="J165:J168"/>
    <mergeCell ref="B197:K197"/>
    <mergeCell ref="K198:K201"/>
    <mergeCell ref="J188:J191"/>
    <mergeCell ref="J198:J201"/>
    <mergeCell ref="B181:L181"/>
    <mergeCell ref="B182:L182"/>
    <mergeCell ref="B183:K183"/>
    <mergeCell ref="L184:L186"/>
    <mergeCell ref="B187:K187"/>
    <mergeCell ref="J67:J69"/>
    <mergeCell ref="K67:K69"/>
    <mergeCell ref="B70:L70"/>
    <mergeCell ref="B71:K71"/>
    <mergeCell ref="L72:L74"/>
    <mergeCell ref="B75:K75"/>
    <mergeCell ref="J76:J79"/>
    <mergeCell ref="K76:K79"/>
    <mergeCell ref="C86:C87"/>
    <mergeCell ref="C98:C99"/>
    <mergeCell ref="B203:L203"/>
    <mergeCell ref="K188:K191"/>
    <mergeCell ref="B192:L192"/>
    <mergeCell ref="B193:K193"/>
    <mergeCell ref="L194:L196"/>
    <mergeCell ref="B180:K180"/>
    <mergeCell ref="B214:K214"/>
    <mergeCell ref="A204:L204"/>
    <mergeCell ref="B205:L205"/>
    <mergeCell ref="L206:L208"/>
    <mergeCell ref="B209:K209"/>
    <mergeCell ref="J210:J213"/>
    <mergeCell ref="K210:K213"/>
    <mergeCell ref="B169:K169"/>
    <mergeCell ref="B170:K170"/>
    <mergeCell ref="L171:L173"/>
    <mergeCell ref="B174:K174"/>
    <mergeCell ref="J175:J179"/>
    <mergeCell ref="K175:K179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55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86" customWidth="1"/>
    <col min="2" max="4" width="9.125" style="186" customWidth="1"/>
    <col min="5" max="5" width="40.375" style="186" customWidth="1"/>
    <col min="6" max="6" width="16.125" style="186" bestFit="1" customWidth="1"/>
    <col min="7" max="7" width="14.125" style="186" bestFit="1" customWidth="1"/>
    <col min="8" max="9" width="14.875" style="186" customWidth="1"/>
    <col min="10" max="10" width="16.00390625" style="186" bestFit="1" customWidth="1"/>
    <col min="11" max="16384" width="9.125" style="186" customWidth="1"/>
  </cols>
  <sheetData>
    <row r="1" spans="1:10" s="190" customFormat="1" ht="12.75">
      <c r="A1" s="1002" t="s">
        <v>1178</v>
      </c>
      <c r="B1" s="1002"/>
      <c r="C1" s="1002"/>
      <c r="D1" s="1002"/>
      <c r="E1" s="1002"/>
      <c r="F1" s="1002"/>
      <c r="G1" s="1002"/>
      <c r="H1" s="1002"/>
      <c r="I1" s="1002"/>
      <c r="J1" s="1002"/>
    </row>
    <row r="2" spans="1:10" s="190" customFormat="1" ht="9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</row>
    <row r="3" spans="1:10" s="190" customFormat="1" ht="16.5">
      <c r="A3" s="1003" t="s">
        <v>865</v>
      </c>
      <c r="B3" s="1003"/>
      <c r="C3" s="1003"/>
      <c r="D3" s="1003"/>
      <c r="E3" s="1003"/>
      <c r="F3" s="1003"/>
      <c r="G3" s="1003"/>
      <c r="H3" s="1003"/>
      <c r="I3" s="1003"/>
      <c r="J3" s="1003"/>
    </row>
    <row r="4" spans="1:10" s="190" customFormat="1" ht="12.75">
      <c r="A4" s="191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78" customHeight="1">
      <c r="A5" s="1004" t="s">
        <v>0</v>
      </c>
      <c r="B5" s="1005"/>
      <c r="C5" s="1005"/>
      <c r="D5" s="1005"/>
      <c r="E5" s="1006"/>
      <c r="F5" s="193" t="s">
        <v>87</v>
      </c>
      <c r="G5" s="193" t="s">
        <v>377</v>
      </c>
      <c r="H5" s="193" t="s">
        <v>768</v>
      </c>
      <c r="I5" s="193" t="s">
        <v>833</v>
      </c>
      <c r="J5" s="194" t="s">
        <v>370</v>
      </c>
    </row>
    <row r="6" spans="1:10" s="197" customFormat="1" ht="15">
      <c r="A6" s="195" t="s">
        <v>439</v>
      </c>
      <c r="B6" s="1007" t="s">
        <v>440</v>
      </c>
      <c r="C6" s="1008"/>
      <c r="D6" s="1008"/>
      <c r="E6" s="1009"/>
      <c r="F6" s="196" t="s">
        <v>441</v>
      </c>
      <c r="G6" s="196" t="s">
        <v>442</v>
      </c>
      <c r="H6" s="196" t="s">
        <v>443</v>
      </c>
      <c r="I6" s="196" t="s">
        <v>444</v>
      </c>
      <c r="J6" s="196" t="s">
        <v>446</v>
      </c>
    </row>
    <row r="7" spans="1:11" ht="14.25" customHeight="1">
      <c r="A7" s="198" t="s">
        <v>1</v>
      </c>
      <c r="B7" s="1010" t="s">
        <v>347</v>
      </c>
      <c r="C7" s="1010"/>
      <c r="D7" s="1010"/>
      <c r="E7" s="1010"/>
      <c r="F7" s="185">
        <f>136546622+36347085+11080125+812250+20900-338000+2193899+565720+1059890+3179670-2666710+24000000+1500000-1725000+2350000+801000+200000</f>
        <v>215927451</v>
      </c>
      <c r="G7" s="185">
        <f>103642037+2326520+200000+1420400+338000+47334+2742+2666710+1582900+325371+1725000-3000-5700000-115000-100000</f>
        <v>108359014</v>
      </c>
      <c r="H7" s="185">
        <f>163138725-240000+220000+56100+1229250+24000+12000+45000+10000-91000+3-3+4697-800-25500-177773-150000+5476073+6558094+28001+2781486-1500000-2300000</f>
        <v>175098353</v>
      </c>
      <c r="I7" s="185">
        <f>17165696+1500000+223500+1-1+600000-70805+584816+37184</f>
        <v>20040391</v>
      </c>
      <c r="J7" s="869">
        <f>SUM(F7:I7)</f>
        <v>519425209</v>
      </c>
      <c r="K7" s="628"/>
    </row>
    <row r="8" spans="1:11" ht="13.5" customHeight="1">
      <c r="A8" s="198" t="s">
        <v>3</v>
      </c>
      <c r="B8" s="1010" t="s">
        <v>4</v>
      </c>
      <c r="C8" s="1010"/>
      <c r="D8" s="1010"/>
      <c r="E8" s="1010"/>
      <c r="F8" s="185">
        <f>27233284+3543768+1080288+158389+4081-65910+383932+99001+92742+278226-520008+4680000+575000-301875-191+73817+53948+131474-200000</f>
        <v>37299966</v>
      </c>
      <c r="G8" s="185">
        <f>20846432+453671+39000+293204+65910-8955+520008+303260+33428+301875-2105-1860949-266525-46400</f>
        <v>20671854</v>
      </c>
      <c r="H8" s="185">
        <f>42572412-46800+42900+10940+215116-66565-2140-4973-11082-50000-75000+375052-2916269-6602437-262500-520000</f>
        <v>32658654</v>
      </c>
      <c r="I8" s="185">
        <f>3698515+775525+39112-19829-200000-12429-21940</f>
        <v>4258954</v>
      </c>
      <c r="J8" s="869">
        <f aca="true" t="shared" si="0" ref="J8:J73">SUM(F8:I8)</f>
        <v>94889428</v>
      </c>
      <c r="K8" s="628"/>
    </row>
    <row r="9" spans="1:11" ht="12" customHeight="1">
      <c r="A9" s="198" t="s">
        <v>5</v>
      </c>
      <c r="B9" s="1010" t="s">
        <v>6</v>
      </c>
      <c r="C9" s="1010"/>
      <c r="D9" s="1010"/>
      <c r="E9" s="1010"/>
      <c r="F9" s="185">
        <f>327018687+180000+220000+8618030+22660742+2730247+4347090+296854+8004000-2108200-413+413+88787+2794000+754380+1208400+300000+248400+30000+200000+516434+128723+40000+40000+40000+40000+40000-28680000-4844+23576063-165615+1875000+254000+161080+6019800-367914-162937-12976+106606-27360+17097+50000-429210+6750+377257+874745-72900+196950+75340+121160+80000+90000-917430-2006767+160013-160013-12662400</f>
        <v>366808069</v>
      </c>
      <c r="G9" s="185">
        <f>22317134+1537859+247115+2108200-829010+6213+6147-6147+269840+76049-5118075-41339-40562-3</f>
        <v>20533421</v>
      </c>
      <c r="H9" s="185">
        <f>66124238-1073150+10500000+656145-600000+889000-889000-273095-36576+1166000+889000-889000-592498-46143+9906+19812+69342+49530+69342+39600-39600+61868-1633725-1736616-1000000-1000000-320000-400000-590000-374909-49820-92889-139700-153990-2300000</f>
        <v>66313072</v>
      </c>
      <c r="I9" s="185">
        <f>28552341-1270000+622539+7367584+614391+300000+81000+558800+203200+8000-8000-783939-600000+67920+3354000-140000-530730-16077-4023</f>
        <v>38377006</v>
      </c>
      <c r="J9" s="869">
        <f t="shared" si="0"/>
        <v>492031568</v>
      </c>
      <c r="K9" s="628"/>
    </row>
    <row r="10" spans="1:11" ht="12.75">
      <c r="A10" s="198" t="s">
        <v>8</v>
      </c>
      <c r="B10" s="1010" t="s">
        <v>9</v>
      </c>
      <c r="C10" s="1010"/>
      <c r="D10" s="1010"/>
      <c r="E10" s="1010"/>
      <c r="F10" s="185">
        <f>SUM(F11,F12,F15:F20)</f>
        <v>3804900</v>
      </c>
      <c r="G10" s="185">
        <f>SUM(G11,G12,G15:G20)</f>
        <v>0</v>
      </c>
      <c r="H10" s="185">
        <f>SUM(H11,H12,H15:H20)</f>
        <v>0</v>
      </c>
      <c r="I10" s="185">
        <f>SUM(I11,I12,I15:I20)</f>
        <v>0</v>
      </c>
      <c r="J10" s="869">
        <f t="shared" si="0"/>
        <v>3804900</v>
      </c>
      <c r="K10" s="628"/>
    </row>
    <row r="11" spans="1:11" ht="12.75" hidden="1">
      <c r="A11" s="181"/>
      <c r="B11" s="181" t="s">
        <v>10</v>
      </c>
      <c r="C11" s="993" t="s">
        <v>11</v>
      </c>
      <c r="D11" s="995"/>
      <c r="E11" s="994"/>
      <c r="F11" s="184">
        <v>0</v>
      </c>
      <c r="G11" s="184">
        <v>0</v>
      </c>
      <c r="H11" s="184">
        <v>0</v>
      </c>
      <c r="I11" s="184">
        <v>0</v>
      </c>
      <c r="J11" s="185">
        <f t="shared" si="0"/>
        <v>0</v>
      </c>
      <c r="K11" s="628"/>
    </row>
    <row r="12" spans="1:11" ht="12.75" hidden="1">
      <c r="A12" s="181"/>
      <c r="B12" s="181" t="s">
        <v>12</v>
      </c>
      <c r="C12" s="996" t="s">
        <v>13</v>
      </c>
      <c r="D12" s="996"/>
      <c r="E12" s="996"/>
      <c r="F12" s="184">
        <f>SUM(F13:F14)</f>
        <v>0</v>
      </c>
      <c r="G12" s="184">
        <f>SUM(G13:G14)</f>
        <v>0</v>
      </c>
      <c r="H12" s="184">
        <f>SUM(H13:H14)</f>
        <v>0</v>
      </c>
      <c r="I12" s="184">
        <f>SUM(I13:I14)</f>
        <v>0</v>
      </c>
      <c r="J12" s="185">
        <f t="shared" si="0"/>
        <v>0</v>
      </c>
      <c r="K12" s="628"/>
    </row>
    <row r="13" spans="1:11" ht="23.25" customHeight="1" hidden="1">
      <c r="A13" s="187"/>
      <c r="B13" s="181"/>
      <c r="C13" s="187"/>
      <c r="D13" s="991" t="s">
        <v>658</v>
      </c>
      <c r="E13" s="992"/>
      <c r="F13" s="188">
        <v>0</v>
      </c>
      <c r="G13" s="188">
        <f>7430000-7430000</f>
        <v>0</v>
      </c>
      <c r="H13" s="188">
        <v>0</v>
      </c>
      <c r="I13" s="188">
        <v>0</v>
      </c>
      <c r="J13" s="199">
        <f t="shared" si="0"/>
        <v>0</v>
      </c>
      <c r="K13" s="628"/>
    </row>
    <row r="14" spans="1:11" ht="22.5" customHeight="1" hidden="1">
      <c r="A14" s="187"/>
      <c r="B14" s="181"/>
      <c r="C14" s="187"/>
      <c r="D14" s="1011" t="s">
        <v>659</v>
      </c>
      <c r="E14" s="1012"/>
      <c r="F14" s="188">
        <v>0</v>
      </c>
      <c r="G14" s="188">
        <v>0</v>
      </c>
      <c r="H14" s="188">
        <v>0</v>
      </c>
      <c r="I14" s="188">
        <v>0</v>
      </c>
      <c r="J14" s="199">
        <f t="shared" si="0"/>
        <v>0</v>
      </c>
      <c r="K14" s="628"/>
    </row>
    <row r="15" spans="1:11" ht="12.75" hidden="1">
      <c r="A15" s="181"/>
      <c r="B15" s="181" t="s">
        <v>128</v>
      </c>
      <c r="C15" s="996" t="s">
        <v>129</v>
      </c>
      <c r="D15" s="996"/>
      <c r="E15" s="996"/>
      <c r="F15" s="184">
        <v>0</v>
      </c>
      <c r="G15" s="184">
        <v>0</v>
      </c>
      <c r="H15" s="184">
        <v>0</v>
      </c>
      <c r="I15" s="184">
        <v>0</v>
      </c>
      <c r="J15" s="199">
        <f t="shared" si="0"/>
        <v>0</v>
      </c>
      <c r="K15" s="628"/>
    </row>
    <row r="16" spans="1:11" ht="12" customHeight="1" hidden="1">
      <c r="A16" s="181"/>
      <c r="B16" s="181" t="s">
        <v>130</v>
      </c>
      <c r="C16" s="993" t="s">
        <v>131</v>
      </c>
      <c r="D16" s="995"/>
      <c r="E16" s="994"/>
      <c r="F16" s="184">
        <f aca="true" t="shared" si="1" ref="F16:I17">SUM(F17:F18)</f>
        <v>0</v>
      </c>
      <c r="G16" s="184">
        <f t="shared" si="1"/>
        <v>0</v>
      </c>
      <c r="H16" s="184">
        <f t="shared" si="1"/>
        <v>0</v>
      </c>
      <c r="I16" s="184">
        <f t="shared" si="1"/>
        <v>0</v>
      </c>
      <c r="J16" s="199">
        <f t="shared" si="0"/>
        <v>0</v>
      </c>
      <c r="K16" s="628"/>
    </row>
    <row r="17" spans="1:11" ht="13.5" customHeight="1" hidden="1">
      <c r="A17" s="187"/>
      <c r="B17" s="181" t="s">
        <v>132</v>
      </c>
      <c r="C17" s="181" t="s">
        <v>133</v>
      </c>
      <c r="D17" s="182"/>
      <c r="E17" s="183"/>
      <c r="F17" s="184">
        <f t="shared" si="1"/>
        <v>0</v>
      </c>
      <c r="G17" s="184">
        <f t="shared" si="1"/>
        <v>0</v>
      </c>
      <c r="H17" s="184">
        <f t="shared" si="1"/>
        <v>0</v>
      </c>
      <c r="I17" s="184">
        <f t="shared" si="1"/>
        <v>0</v>
      </c>
      <c r="J17" s="199">
        <f t="shared" si="0"/>
        <v>0</v>
      </c>
      <c r="K17" s="628"/>
    </row>
    <row r="18" spans="1:11" ht="12.75" hidden="1">
      <c r="A18" s="181"/>
      <c r="B18" s="181" t="s">
        <v>134</v>
      </c>
      <c r="C18" s="993" t="s">
        <v>135</v>
      </c>
      <c r="D18" s="995"/>
      <c r="E18" s="994"/>
      <c r="F18" s="184">
        <f>SUM(F19)</f>
        <v>0</v>
      </c>
      <c r="G18" s="184">
        <f>SUM(G19)</f>
        <v>0</v>
      </c>
      <c r="H18" s="184">
        <f>SUM(H19)</f>
        <v>0</v>
      </c>
      <c r="I18" s="184">
        <f>SUM(I19)</f>
        <v>0</v>
      </c>
      <c r="J18" s="199">
        <f t="shared" si="0"/>
        <v>0</v>
      </c>
      <c r="K18" s="628"/>
    </row>
    <row r="19" spans="1:11" ht="12.75" hidden="1">
      <c r="A19" s="181"/>
      <c r="B19" s="181" t="s">
        <v>136</v>
      </c>
      <c r="C19" s="996" t="s">
        <v>14</v>
      </c>
      <c r="D19" s="996"/>
      <c r="E19" s="996"/>
      <c r="F19" s="184">
        <v>0</v>
      </c>
      <c r="G19" s="184">
        <v>0</v>
      </c>
      <c r="H19" s="184">
        <v>0</v>
      </c>
      <c r="I19" s="184">
        <v>0</v>
      </c>
      <c r="J19" s="199">
        <f t="shared" si="0"/>
        <v>0</v>
      </c>
      <c r="K19" s="628"/>
    </row>
    <row r="20" spans="1:11" ht="12.75">
      <c r="A20" s="181"/>
      <c r="B20" s="181" t="s">
        <v>137</v>
      </c>
      <c r="C20" s="993" t="s">
        <v>138</v>
      </c>
      <c r="D20" s="995"/>
      <c r="E20" s="994"/>
      <c r="F20" s="184">
        <f>SUM(F21:F22)</f>
        <v>3804900</v>
      </c>
      <c r="G20" s="184">
        <f>SUM(G21:G22)</f>
        <v>0</v>
      </c>
      <c r="H20" s="184">
        <f>SUM(H21:H22)</f>
        <v>0</v>
      </c>
      <c r="I20" s="184">
        <f>SUM(I21:I22)</f>
        <v>0</v>
      </c>
      <c r="J20" s="199">
        <f t="shared" si="0"/>
        <v>3804900</v>
      </c>
      <c r="K20" s="628"/>
    </row>
    <row r="21" spans="1:11" ht="12.75">
      <c r="A21" s="187"/>
      <c r="B21" s="187"/>
      <c r="C21" s="187"/>
      <c r="D21" s="993" t="s">
        <v>1102</v>
      </c>
      <c r="E21" s="994"/>
      <c r="F21" s="188">
        <v>1500000</v>
      </c>
      <c r="G21" s="188">
        <v>0</v>
      </c>
      <c r="H21" s="188">
        <v>0</v>
      </c>
      <c r="I21" s="188">
        <v>0</v>
      </c>
      <c r="J21" s="199">
        <f t="shared" si="0"/>
        <v>1500000</v>
      </c>
      <c r="K21" s="628"/>
    </row>
    <row r="22" spans="1:11" s="189" customFormat="1" ht="12.75">
      <c r="A22" s="187"/>
      <c r="B22" s="187"/>
      <c r="C22" s="187"/>
      <c r="D22" s="993" t="s">
        <v>612</v>
      </c>
      <c r="E22" s="994"/>
      <c r="F22" s="188">
        <v>2304900</v>
      </c>
      <c r="G22" s="188">
        <v>0</v>
      </c>
      <c r="H22" s="188">
        <v>0</v>
      </c>
      <c r="I22" s="188">
        <v>0</v>
      </c>
      <c r="J22" s="199">
        <f t="shared" si="0"/>
        <v>2304900</v>
      </c>
      <c r="K22" s="628"/>
    </row>
    <row r="23" spans="1:11" ht="12" customHeight="1">
      <c r="A23" s="198" t="s">
        <v>139</v>
      </c>
      <c r="B23" s="997" t="s">
        <v>140</v>
      </c>
      <c r="C23" s="998"/>
      <c r="D23" s="998"/>
      <c r="E23" s="999"/>
      <c r="F23" s="185">
        <f>SUM(F57+F46+F45+F43+F42+F41+F40+F29+F28+F27+F26+F24+F25)</f>
        <v>256989319</v>
      </c>
      <c r="G23" s="185">
        <f>SUM(G57+G46+G43+G42+G41+G40+G29+G28+G27+G26+G24+G25)</f>
        <v>0</v>
      </c>
      <c r="H23" s="185">
        <f>SUM(H57+H46+H43+H42+H41+H40+H29+H28+H27+H26+H24+H25)</f>
        <v>0</v>
      </c>
      <c r="I23" s="185">
        <f>SUM(I57+I46+I43+I42+I41+I40+I29+I28+I27+I26+I24+I25)</f>
        <v>0</v>
      </c>
      <c r="J23" s="869">
        <f t="shared" si="0"/>
        <v>256989319</v>
      </c>
      <c r="K23" s="628"/>
    </row>
    <row r="24" spans="1:11" ht="6" customHeight="1" hidden="1">
      <c r="A24" s="187"/>
      <c r="B24" s="187"/>
      <c r="C24" s="187" t="s">
        <v>141</v>
      </c>
      <c r="D24" s="187" t="s">
        <v>142</v>
      </c>
      <c r="E24" s="187"/>
      <c r="F24" s="188">
        <v>0</v>
      </c>
      <c r="G24" s="188">
        <v>0</v>
      </c>
      <c r="H24" s="188">
        <v>0</v>
      </c>
      <c r="I24" s="188">
        <v>0</v>
      </c>
      <c r="J24" s="199">
        <f t="shared" si="0"/>
        <v>0</v>
      </c>
      <c r="K24" s="629"/>
    </row>
    <row r="25" spans="1:11" ht="15" customHeight="1">
      <c r="A25" s="187"/>
      <c r="B25" s="187"/>
      <c r="C25" s="187" t="s">
        <v>143</v>
      </c>
      <c r="D25" s="187" t="s">
        <v>144</v>
      </c>
      <c r="E25" s="187"/>
      <c r="F25" s="188">
        <f>46343378+586418+216600</f>
        <v>47146396</v>
      </c>
      <c r="G25" s="188">
        <v>0</v>
      </c>
      <c r="H25" s="188">
        <v>0</v>
      </c>
      <c r="I25" s="188">
        <v>0</v>
      </c>
      <c r="J25" s="199">
        <f t="shared" si="0"/>
        <v>47146396</v>
      </c>
      <c r="K25" s="629"/>
    </row>
    <row r="26" spans="1:11" ht="12.75" hidden="1">
      <c r="A26" s="187"/>
      <c r="B26" s="187"/>
      <c r="C26" s="187" t="s">
        <v>145</v>
      </c>
      <c r="D26" s="1000" t="s">
        <v>146</v>
      </c>
      <c r="E26" s="1001"/>
      <c r="F26" s="188">
        <v>0</v>
      </c>
      <c r="G26" s="188">
        <v>0</v>
      </c>
      <c r="H26" s="188">
        <v>0</v>
      </c>
      <c r="I26" s="188">
        <v>0</v>
      </c>
      <c r="J26" s="199">
        <f t="shared" si="0"/>
        <v>0</v>
      </c>
      <c r="K26" s="629"/>
    </row>
    <row r="27" spans="1:11" ht="12.75" hidden="1">
      <c r="A27" s="187"/>
      <c r="B27" s="187"/>
      <c r="C27" s="187" t="s">
        <v>147</v>
      </c>
      <c r="D27" s="1000" t="s">
        <v>148</v>
      </c>
      <c r="E27" s="1001"/>
      <c r="F27" s="188">
        <v>0</v>
      </c>
      <c r="G27" s="188">
        <v>0</v>
      </c>
      <c r="H27" s="188">
        <v>0</v>
      </c>
      <c r="I27" s="188">
        <v>0</v>
      </c>
      <c r="J27" s="199">
        <f t="shared" si="0"/>
        <v>0</v>
      </c>
      <c r="K27" s="629"/>
    </row>
    <row r="28" spans="1:11" ht="12.75" hidden="1">
      <c r="A28" s="187"/>
      <c r="B28" s="187"/>
      <c r="C28" s="187" t="s">
        <v>169</v>
      </c>
      <c r="D28" s="1000" t="s">
        <v>170</v>
      </c>
      <c r="E28" s="1001"/>
      <c r="F28" s="188">
        <v>0</v>
      </c>
      <c r="G28" s="188">
        <v>0</v>
      </c>
      <c r="H28" s="188">
        <v>0</v>
      </c>
      <c r="I28" s="188">
        <v>0</v>
      </c>
      <c r="J28" s="199">
        <f t="shared" si="0"/>
        <v>0</v>
      </c>
      <c r="K28" s="629"/>
    </row>
    <row r="29" spans="1:11" ht="12.75" hidden="1">
      <c r="A29" s="187"/>
      <c r="B29" s="187"/>
      <c r="C29" s="187" t="s">
        <v>171</v>
      </c>
      <c r="D29" s="1000" t="s">
        <v>172</v>
      </c>
      <c r="E29" s="1001"/>
      <c r="F29" s="188">
        <f>SUM(F30:F39)</f>
        <v>0</v>
      </c>
      <c r="G29" s="188">
        <f>SUM(G30:G39)</f>
        <v>0</v>
      </c>
      <c r="H29" s="188">
        <f>SUM(H30:H39)</f>
        <v>0</v>
      </c>
      <c r="I29" s="188">
        <f>SUM(I30:I39)</f>
        <v>0</v>
      </c>
      <c r="J29" s="199">
        <f t="shared" si="0"/>
        <v>0</v>
      </c>
      <c r="K29" s="629"/>
    </row>
    <row r="30" spans="1:11" ht="12.75" hidden="1">
      <c r="A30" s="200"/>
      <c r="B30" s="200"/>
      <c r="C30" s="201" t="s">
        <v>2</v>
      </c>
      <c r="D30" s="201" t="s">
        <v>149</v>
      </c>
      <c r="E30" s="201" t="s">
        <v>150</v>
      </c>
      <c r="F30" s="202">
        <v>0</v>
      </c>
      <c r="G30" s="202">
        <v>0</v>
      </c>
      <c r="H30" s="202">
        <v>0</v>
      </c>
      <c r="I30" s="202">
        <v>0</v>
      </c>
      <c r="J30" s="199">
        <f t="shared" si="0"/>
        <v>0</v>
      </c>
      <c r="K30" s="629"/>
    </row>
    <row r="31" spans="1:11" ht="12.75" hidden="1">
      <c r="A31" s="200"/>
      <c r="B31" s="200"/>
      <c r="C31" s="201"/>
      <c r="D31" s="201" t="s">
        <v>151</v>
      </c>
      <c r="E31" s="201" t="s">
        <v>152</v>
      </c>
      <c r="F31" s="202">
        <v>0</v>
      </c>
      <c r="G31" s="202">
        <v>0</v>
      </c>
      <c r="H31" s="202">
        <v>0</v>
      </c>
      <c r="I31" s="202">
        <v>0</v>
      </c>
      <c r="J31" s="199">
        <f t="shared" si="0"/>
        <v>0</v>
      </c>
      <c r="K31" s="629"/>
    </row>
    <row r="32" spans="1:11" ht="12.75" hidden="1">
      <c r="A32" s="200"/>
      <c r="B32" s="200"/>
      <c r="C32" s="201"/>
      <c r="D32" s="201" t="s">
        <v>153</v>
      </c>
      <c r="E32" s="201" t="s">
        <v>154</v>
      </c>
      <c r="F32" s="202">
        <v>0</v>
      </c>
      <c r="G32" s="202">
        <v>0</v>
      </c>
      <c r="H32" s="202">
        <v>0</v>
      </c>
      <c r="I32" s="202">
        <v>0</v>
      </c>
      <c r="J32" s="199">
        <f t="shared" si="0"/>
        <v>0</v>
      </c>
      <c r="K32" s="629"/>
    </row>
    <row r="33" spans="1:11" ht="12.75" hidden="1">
      <c r="A33" s="200"/>
      <c r="B33" s="200"/>
      <c r="C33" s="201"/>
      <c r="D33" s="201" t="s">
        <v>155</v>
      </c>
      <c r="E33" s="201" t="s">
        <v>156</v>
      </c>
      <c r="F33" s="202">
        <v>0</v>
      </c>
      <c r="G33" s="202">
        <v>0</v>
      </c>
      <c r="H33" s="202">
        <v>0</v>
      </c>
      <c r="I33" s="202">
        <v>0</v>
      </c>
      <c r="J33" s="199">
        <f t="shared" si="0"/>
        <v>0</v>
      </c>
      <c r="K33" s="629"/>
    </row>
    <row r="34" spans="1:11" ht="12.75" hidden="1">
      <c r="A34" s="200"/>
      <c r="B34" s="200"/>
      <c r="C34" s="201"/>
      <c r="D34" s="201" t="s">
        <v>157</v>
      </c>
      <c r="E34" s="201" t="s">
        <v>158</v>
      </c>
      <c r="F34" s="202">
        <v>0</v>
      </c>
      <c r="G34" s="202">
        <v>0</v>
      </c>
      <c r="H34" s="202">
        <v>0</v>
      </c>
      <c r="I34" s="202">
        <v>0</v>
      </c>
      <c r="J34" s="199">
        <f t="shared" si="0"/>
        <v>0</v>
      </c>
      <c r="K34" s="629"/>
    </row>
    <row r="35" spans="1:11" ht="12.75" hidden="1">
      <c r="A35" s="200"/>
      <c r="B35" s="200"/>
      <c r="C35" s="201"/>
      <c r="D35" s="201" t="s">
        <v>159</v>
      </c>
      <c r="E35" s="201" t="s">
        <v>160</v>
      </c>
      <c r="F35" s="202">
        <v>0</v>
      </c>
      <c r="G35" s="202">
        <v>0</v>
      </c>
      <c r="H35" s="202">
        <v>0</v>
      </c>
      <c r="I35" s="202">
        <v>0</v>
      </c>
      <c r="J35" s="199">
        <f t="shared" si="0"/>
        <v>0</v>
      </c>
      <c r="K35" s="629"/>
    </row>
    <row r="36" spans="1:11" ht="0.75" customHeight="1" hidden="1">
      <c r="A36" s="200"/>
      <c r="B36" s="200"/>
      <c r="C36" s="201"/>
      <c r="D36" s="201" t="s">
        <v>161</v>
      </c>
      <c r="E36" s="201" t="s">
        <v>162</v>
      </c>
      <c r="F36" s="202">
        <v>0</v>
      </c>
      <c r="G36" s="202">
        <v>0</v>
      </c>
      <c r="H36" s="202">
        <v>0</v>
      </c>
      <c r="I36" s="202">
        <v>0</v>
      </c>
      <c r="J36" s="199">
        <f t="shared" si="0"/>
        <v>0</v>
      </c>
      <c r="K36" s="629"/>
    </row>
    <row r="37" spans="1:11" ht="12.75" hidden="1">
      <c r="A37" s="200"/>
      <c r="B37" s="200"/>
      <c r="C37" s="201"/>
      <c r="D37" s="201" t="s">
        <v>163</v>
      </c>
      <c r="E37" s="201" t="s">
        <v>164</v>
      </c>
      <c r="F37" s="202">
        <v>0</v>
      </c>
      <c r="G37" s="202">
        <v>0</v>
      </c>
      <c r="H37" s="202">
        <v>0</v>
      </c>
      <c r="I37" s="202">
        <v>0</v>
      </c>
      <c r="J37" s="199">
        <f t="shared" si="0"/>
        <v>0</v>
      </c>
      <c r="K37" s="629"/>
    </row>
    <row r="38" spans="1:11" ht="12.75" hidden="1">
      <c r="A38" s="200"/>
      <c r="B38" s="200"/>
      <c r="C38" s="201"/>
      <c r="D38" s="201" t="s">
        <v>165</v>
      </c>
      <c r="E38" s="201" t="s">
        <v>166</v>
      </c>
      <c r="F38" s="202">
        <v>0</v>
      </c>
      <c r="G38" s="202">
        <v>0</v>
      </c>
      <c r="H38" s="202">
        <v>0</v>
      </c>
      <c r="I38" s="202">
        <v>0</v>
      </c>
      <c r="J38" s="199">
        <f t="shared" si="0"/>
        <v>0</v>
      </c>
      <c r="K38" s="629"/>
    </row>
    <row r="39" spans="1:11" ht="12.75" hidden="1">
      <c r="A39" s="200"/>
      <c r="B39" s="200"/>
      <c r="C39" s="201"/>
      <c r="D39" s="201" t="s">
        <v>167</v>
      </c>
      <c r="E39" s="201" t="s">
        <v>168</v>
      </c>
      <c r="F39" s="202">
        <v>0</v>
      </c>
      <c r="G39" s="202">
        <v>0</v>
      </c>
      <c r="H39" s="202">
        <v>0</v>
      </c>
      <c r="I39" s="202">
        <v>0</v>
      </c>
      <c r="J39" s="199">
        <f t="shared" si="0"/>
        <v>0</v>
      </c>
      <c r="K39" s="629"/>
    </row>
    <row r="40" spans="1:11" ht="12.75" hidden="1">
      <c r="A40" s="187"/>
      <c r="B40" s="187"/>
      <c r="C40" s="187" t="s">
        <v>173</v>
      </c>
      <c r="D40" s="1000" t="s">
        <v>174</v>
      </c>
      <c r="E40" s="1001"/>
      <c r="F40" s="188">
        <v>0</v>
      </c>
      <c r="G40" s="188">
        <v>0</v>
      </c>
      <c r="H40" s="188">
        <v>0</v>
      </c>
      <c r="I40" s="188">
        <v>0</v>
      </c>
      <c r="J40" s="199">
        <f t="shared" si="0"/>
        <v>0</v>
      </c>
      <c r="K40" s="629"/>
    </row>
    <row r="41" spans="1:11" ht="12.75" hidden="1">
      <c r="A41" s="187"/>
      <c r="B41" s="187"/>
      <c r="C41" s="187" t="s">
        <v>175</v>
      </c>
      <c r="D41" s="1000" t="s">
        <v>546</v>
      </c>
      <c r="E41" s="1001"/>
      <c r="F41" s="188">
        <v>0</v>
      </c>
      <c r="G41" s="188">
        <v>0</v>
      </c>
      <c r="H41" s="188">
        <v>0</v>
      </c>
      <c r="I41" s="188">
        <v>0</v>
      </c>
      <c r="J41" s="199">
        <f t="shared" si="0"/>
        <v>0</v>
      </c>
      <c r="K41" s="629"/>
    </row>
    <row r="42" spans="1:11" ht="12.75" hidden="1">
      <c r="A42" s="187"/>
      <c r="B42" s="187"/>
      <c r="C42" s="187" t="s">
        <v>186</v>
      </c>
      <c r="D42" s="1000" t="s">
        <v>187</v>
      </c>
      <c r="E42" s="1001"/>
      <c r="F42" s="188">
        <v>0</v>
      </c>
      <c r="G42" s="188">
        <v>0</v>
      </c>
      <c r="H42" s="188">
        <v>0</v>
      </c>
      <c r="I42" s="188">
        <v>0</v>
      </c>
      <c r="J42" s="199">
        <f t="shared" si="0"/>
        <v>0</v>
      </c>
      <c r="K42" s="629"/>
    </row>
    <row r="43" spans="1:11" ht="12.75" hidden="1">
      <c r="A43" s="187"/>
      <c r="B43" s="187"/>
      <c r="C43" s="187" t="s">
        <v>188</v>
      </c>
      <c r="D43" s="1000" t="s">
        <v>189</v>
      </c>
      <c r="E43" s="1001"/>
      <c r="F43" s="188">
        <v>0</v>
      </c>
      <c r="G43" s="188">
        <v>0</v>
      </c>
      <c r="H43" s="188">
        <v>0</v>
      </c>
      <c r="I43" s="188">
        <v>0</v>
      </c>
      <c r="J43" s="199">
        <f t="shared" si="0"/>
        <v>0</v>
      </c>
      <c r="K43" s="629"/>
    </row>
    <row r="44" spans="1:11" ht="12.75" hidden="1">
      <c r="A44" s="187"/>
      <c r="B44" s="187"/>
      <c r="C44" s="187" t="s">
        <v>190</v>
      </c>
      <c r="D44" s="1000" t="s">
        <v>586</v>
      </c>
      <c r="E44" s="1001"/>
      <c r="F44" s="188">
        <v>0</v>
      </c>
      <c r="G44" s="188">
        <v>0</v>
      </c>
      <c r="H44" s="188">
        <v>0</v>
      </c>
      <c r="I44" s="188">
        <v>0</v>
      </c>
      <c r="J44" s="199">
        <f t="shared" si="0"/>
        <v>0</v>
      </c>
      <c r="K44" s="629"/>
    </row>
    <row r="45" spans="1:11" ht="12.75">
      <c r="A45" s="187"/>
      <c r="B45" s="187"/>
      <c r="C45" s="187" t="s">
        <v>171</v>
      </c>
      <c r="D45" s="991" t="s">
        <v>867</v>
      </c>
      <c r="E45" s="992"/>
      <c r="F45" s="188">
        <f>1170350+46053+4844-100000-50897-15000+65897</f>
        <v>1121247</v>
      </c>
      <c r="G45" s="188">
        <v>0</v>
      </c>
      <c r="H45" s="188">
        <v>0</v>
      </c>
      <c r="I45" s="188">
        <v>0</v>
      </c>
      <c r="J45" s="199">
        <f t="shared" si="0"/>
        <v>1121247</v>
      </c>
      <c r="K45" s="629"/>
    </row>
    <row r="46" spans="1:11" ht="12.75">
      <c r="A46" s="187"/>
      <c r="B46" s="187"/>
      <c r="C46" s="187" t="s">
        <v>192</v>
      </c>
      <c r="D46" s="991" t="s">
        <v>191</v>
      </c>
      <c r="E46" s="992"/>
      <c r="F46" s="188">
        <f>177647755+10858846-1618094+100000-1564044</f>
        <v>185424463</v>
      </c>
      <c r="G46" s="188">
        <f>SUM(G47:G56)</f>
        <v>0</v>
      </c>
      <c r="H46" s="188">
        <f>SUM(H47:H56)</f>
        <v>0</v>
      </c>
      <c r="I46" s="188">
        <f>SUM(I47:I56)</f>
        <v>0</v>
      </c>
      <c r="J46" s="199">
        <f t="shared" si="0"/>
        <v>185424463</v>
      </c>
      <c r="K46" s="629"/>
    </row>
    <row r="47" spans="1:11" ht="12.75" hidden="1">
      <c r="A47" s="203"/>
      <c r="B47" s="203"/>
      <c r="C47" s="201" t="s">
        <v>2</v>
      </c>
      <c r="D47" s="252" t="s">
        <v>149</v>
      </c>
      <c r="E47" s="252" t="s">
        <v>176</v>
      </c>
      <c r="F47" s="202">
        <v>0</v>
      </c>
      <c r="G47" s="202">
        <v>0</v>
      </c>
      <c r="H47" s="202">
        <v>0</v>
      </c>
      <c r="I47" s="202">
        <v>0</v>
      </c>
      <c r="J47" s="199">
        <f t="shared" si="0"/>
        <v>0</v>
      </c>
      <c r="K47" s="629"/>
    </row>
    <row r="48" spans="1:11" ht="12.75" hidden="1">
      <c r="A48" s="203"/>
      <c r="B48" s="203"/>
      <c r="C48" s="201"/>
      <c r="D48" s="252" t="s">
        <v>151</v>
      </c>
      <c r="E48" s="252" t="s">
        <v>583</v>
      </c>
      <c r="F48" s="202">
        <v>0</v>
      </c>
      <c r="G48" s="202"/>
      <c r="H48" s="202"/>
      <c r="I48" s="202"/>
      <c r="J48" s="199">
        <f t="shared" si="0"/>
        <v>0</v>
      </c>
      <c r="K48" s="629"/>
    </row>
    <row r="49" spans="1:11" ht="12.75" hidden="1">
      <c r="A49" s="203"/>
      <c r="B49" s="203"/>
      <c r="C49" s="201"/>
      <c r="D49" s="252" t="s">
        <v>153</v>
      </c>
      <c r="E49" s="252" t="s">
        <v>177</v>
      </c>
      <c r="F49" s="202">
        <f>100000</f>
        <v>100000</v>
      </c>
      <c r="G49" s="202">
        <v>0</v>
      </c>
      <c r="H49" s="202">
        <v>0</v>
      </c>
      <c r="I49" s="202">
        <v>0</v>
      </c>
      <c r="J49" s="199">
        <f t="shared" si="0"/>
        <v>100000</v>
      </c>
      <c r="K49" s="629"/>
    </row>
    <row r="50" spans="1:11" ht="12.75" hidden="1">
      <c r="A50" s="203"/>
      <c r="B50" s="203"/>
      <c r="C50" s="201"/>
      <c r="D50" s="252" t="s">
        <v>155</v>
      </c>
      <c r="E50" s="252" t="s">
        <v>178</v>
      </c>
      <c r="F50" s="202">
        <v>0</v>
      </c>
      <c r="G50" s="202">
        <v>0</v>
      </c>
      <c r="H50" s="202">
        <v>0</v>
      </c>
      <c r="I50" s="202">
        <v>0</v>
      </c>
      <c r="J50" s="199">
        <f t="shared" si="0"/>
        <v>0</v>
      </c>
      <c r="K50" s="629"/>
    </row>
    <row r="51" spans="1:11" ht="12.75" hidden="1">
      <c r="A51" s="203"/>
      <c r="B51" s="203"/>
      <c r="C51" s="201"/>
      <c r="D51" s="252" t="s">
        <v>157</v>
      </c>
      <c r="E51" s="252" t="s">
        <v>179</v>
      </c>
      <c r="F51" s="202">
        <v>0</v>
      </c>
      <c r="G51" s="202">
        <v>0</v>
      </c>
      <c r="H51" s="202">
        <v>0</v>
      </c>
      <c r="I51" s="202">
        <v>0</v>
      </c>
      <c r="J51" s="199">
        <f t="shared" si="0"/>
        <v>0</v>
      </c>
      <c r="K51" s="629"/>
    </row>
    <row r="52" spans="1:11" ht="12.75" hidden="1">
      <c r="A52" s="203"/>
      <c r="B52" s="203"/>
      <c r="C52" s="201"/>
      <c r="D52" s="252" t="s">
        <v>159</v>
      </c>
      <c r="E52" s="252" t="s">
        <v>180</v>
      </c>
      <c r="F52" s="202">
        <v>0</v>
      </c>
      <c r="G52" s="202">
        <v>0</v>
      </c>
      <c r="H52" s="202">
        <v>0</v>
      </c>
      <c r="I52" s="202">
        <v>0</v>
      </c>
      <c r="J52" s="199">
        <f t="shared" si="0"/>
        <v>0</v>
      </c>
      <c r="K52" s="629"/>
    </row>
    <row r="53" spans="1:11" ht="12.75" hidden="1">
      <c r="A53" s="200"/>
      <c r="B53" s="200"/>
      <c r="C53" s="201"/>
      <c r="D53" s="252" t="s">
        <v>161</v>
      </c>
      <c r="E53" s="252" t="s">
        <v>181</v>
      </c>
      <c r="F53" s="202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202">
        <v>0</v>
      </c>
      <c r="H53" s="202">
        <v>0</v>
      </c>
      <c r="I53" s="202">
        <v>0</v>
      </c>
      <c r="J53" s="199">
        <f t="shared" si="0"/>
        <v>208924042</v>
      </c>
      <c r="K53" s="629"/>
    </row>
    <row r="54" spans="1:11" ht="12.75" hidden="1">
      <c r="A54" s="200"/>
      <c r="B54" s="200"/>
      <c r="C54" s="201"/>
      <c r="D54" s="252" t="s">
        <v>163</v>
      </c>
      <c r="E54" s="252" t="s">
        <v>182</v>
      </c>
      <c r="F54" s="202">
        <f>3224350+35026110</f>
        <v>38250460</v>
      </c>
      <c r="G54" s="202">
        <v>0</v>
      </c>
      <c r="H54" s="202">
        <v>0</v>
      </c>
      <c r="I54" s="202">
        <v>0</v>
      </c>
      <c r="J54" s="199">
        <f t="shared" si="0"/>
        <v>38250460</v>
      </c>
      <c r="K54" s="629"/>
    </row>
    <row r="55" spans="1:11" ht="12.75" hidden="1">
      <c r="A55" s="203"/>
      <c r="B55" s="203"/>
      <c r="C55" s="201"/>
      <c r="D55" s="252" t="s">
        <v>165</v>
      </c>
      <c r="E55" s="252" t="s">
        <v>184</v>
      </c>
      <c r="F55" s="202">
        <v>0</v>
      </c>
      <c r="G55" s="202">
        <v>0</v>
      </c>
      <c r="H55" s="202">
        <v>0</v>
      </c>
      <c r="I55" s="202">
        <v>0</v>
      </c>
      <c r="J55" s="199">
        <f t="shared" si="0"/>
        <v>0</v>
      </c>
      <c r="K55" s="629"/>
    </row>
    <row r="56" spans="1:11" ht="12.75" hidden="1">
      <c r="A56" s="203"/>
      <c r="B56" s="203"/>
      <c r="C56" s="201"/>
      <c r="D56" s="252" t="s">
        <v>167</v>
      </c>
      <c r="E56" s="252" t="s">
        <v>185</v>
      </c>
      <c r="F56" s="202">
        <v>0</v>
      </c>
      <c r="G56" s="202">
        <v>0</v>
      </c>
      <c r="H56" s="202">
        <v>0</v>
      </c>
      <c r="I56" s="202">
        <v>0</v>
      </c>
      <c r="J56" s="199">
        <f t="shared" si="0"/>
        <v>0</v>
      </c>
      <c r="K56" s="629"/>
    </row>
    <row r="57" spans="1:11" ht="12.75">
      <c r="A57" s="203"/>
      <c r="B57" s="203"/>
      <c r="C57" s="187" t="s">
        <v>587</v>
      </c>
      <c r="D57" s="991" t="s">
        <v>193</v>
      </c>
      <c r="E57" s="992"/>
      <c r="F57" s="188">
        <f>SUM(F58:F64)</f>
        <v>23297213</v>
      </c>
      <c r="G57" s="188">
        <f>SUM(G58:G61)</f>
        <v>0</v>
      </c>
      <c r="H57" s="188">
        <f>SUM(H58:H61)</f>
        <v>0</v>
      </c>
      <c r="I57" s="188">
        <f>SUM(I58:I61)</f>
        <v>0</v>
      </c>
      <c r="J57" s="199">
        <f t="shared" si="0"/>
        <v>23297213</v>
      </c>
      <c r="K57" s="629"/>
    </row>
    <row r="58" spans="1:11" ht="12.75">
      <c r="A58" s="200"/>
      <c r="B58" s="200"/>
      <c r="C58" s="204" t="s">
        <v>2</v>
      </c>
      <c r="D58" s="205"/>
      <c r="E58" s="206" t="s">
        <v>438</v>
      </c>
      <c r="F58" s="202">
        <f>1000000-180000-220000-512000</f>
        <v>88000</v>
      </c>
      <c r="G58" s="202">
        <v>0</v>
      </c>
      <c r="H58" s="202">
        <v>0</v>
      </c>
      <c r="I58" s="202">
        <v>0</v>
      </c>
      <c r="J58" s="199">
        <f t="shared" si="0"/>
        <v>88000</v>
      </c>
      <c r="K58" s="629"/>
    </row>
    <row r="59" spans="1:11" ht="12.75">
      <c r="A59" s="200"/>
      <c r="B59" s="200"/>
      <c r="C59" s="201"/>
      <c r="D59" s="205"/>
      <c r="E59" s="206" t="s">
        <v>473</v>
      </c>
      <c r="F59" s="202">
        <f>1000000-1000000+1618094-603515-397884-11225-196500-182700-226270</f>
        <v>0</v>
      </c>
      <c r="G59" s="202">
        <v>0</v>
      </c>
      <c r="H59" s="202">
        <v>0</v>
      </c>
      <c r="I59" s="202">
        <v>0</v>
      </c>
      <c r="J59" s="199">
        <f t="shared" si="0"/>
        <v>0</v>
      </c>
      <c r="K59" s="629"/>
    </row>
    <row r="60" spans="1:11" ht="12.75">
      <c r="A60" s="200"/>
      <c r="B60" s="200"/>
      <c r="C60" s="201"/>
      <c r="D60" s="205"/>
      <c r="E60" s="206" t="s">
        <v>701</v>
      </c>
      <c r="F60" s="202">
        <f>350000+926229</f>
        <v>1276229</v>
      </c>
      <c r="G60" s="202">
        <v>0</v>
      </c>
      <c r="H60" s="202">
        <v>0</v>
      </c>
      <c r="I60" s="202">
        <v>0</v>
      </c>
      <c r="J60" s="199">
        <f t="shared" si="0"/>
        <v>1276229</v>
      </c>
      <c r="K60" s="629"/>
    </row>
    <row r="61" spans="1:11" ht="22.5" hidden="1">
      <c r="A61" s="200"/>
      <c r="B61" s="200"/>
      <c r="C61" s="201"/>
      <c r="D61" s="205"/>
      <c r="E61" s="627" t="s">
        <v>1010</v>
      </c>
      <c r="F61" s="202">
        <f>200000-200000</f>
        <v>0</v>
      </c>
      <c r="G61" s="202">
        <v>0</v>
      </c>
      <c r="H61" s="202">
        <v>0</v>
      </c>
      <c r="I61" s="202">
        <v>0</v>
      </c>
      <c r="J61" s="199">
        <f t="shared" si="0"/>
        <v>0</v>
      </c>
      <c r="K61" s="629"/>
    </row>
    <row r="62" spans="1:11" ht="22.5">
      <c r="A62" s="200"/>
      <c r="B62" s="200"/>
      <c r="C62" s="201"/>
      <c r="D62" s="873"/>
      <c r="E62" s="874" t="s">
        <v>1015</v>
      </c>
      <c r="F62" s="875">
        <v>2036448</v>
      </c>
      <c r="G62" s="972">
        <v>0</v>
      </c>
      <c r="H62" s="972">
        <v>0</v>
      </c>
      <c r="I62" s="972">
        <v>0</v>
      </c>
      <c r="J62" s="199">
        <f t="shared" si="0"/>
        <v>2036448</v>
      </c>
      <c r="K62" s="629"/>
    </row>
    <row r="63" spans="1:11" ht="12.75">
      <c r="A63" s="200"/>
      <c r="B63" s="200"/>
      <c r="C63" s="201"/>
      <c r="D63" s="873"/>
      <c r="E63" s="874" t="s">
        <v>1142</v>
      </c>
      <c r="F63" s="875">
        <f>4841519</f>
        <v>4841519</v>
      </c>
      <c r="G63" s="202">
        <v>0</v>
      </c>
      <c r="H63" s="202">
        <v>0</v>
      </c>
      <c r="I63" s="202">
        <v>0</v>
      </c>
      <c r="J63" s="199">
        <f t="shared" si="0"/>
        <v>4841519</v>
      </c>
      <c r="K63" s="629"/>
    </row>
    <row r="64" spans="1:11" s="878" customFormat="1" ht="27.75" customHeight="1">
      <c r="A64" s="871"/>
      <c r="B64" s="871"/>
      <c r="C64" s="872"/>
      <c r="D64" s="873"/>
      <c r="E64" s="874" t="s">
        <v>1143</v>
      </c>
      <c r="F64" s="875">
        <v>15055017</v>
      </c>
      <c r="G64" s="972">
        <v>0</v>
      </c>
      <c r="H64" s="972">
        <v>0</v>
      </c>
      <c r="I64" s="972">
        <v>0</v>
      </c>
      <c r="J64" s="876">
        <f t="shared" si="0"/>
        <v>15055017</v>
      </c>
      <c r="K64" s="877"/>
    </row>
    <row r="65" spans="1:11" ht="12" customHeight="1">
      <c r="A65" s="198" t="s">
        <v>121</v>
      </c>
      <c r="B65" s="997" t="s">
        <v>372</v>
      </c>
      <c r="C65" s="998"/>
      <c r="D65" s="998"/>
      <c r="E65" s="999"/>
      <c r="F65" s="185">
        <f>1034106071+138684+779383+620000+1578000+94270+14850-23410448+1077031+87249+764084+367914+162937+12976-106606+228000+66600-196950+12700+1205767</f>
        <v>1017602512</v>
      </c>
      <c r="G65" s="185">
        <f>1016000+226270+40565</f>
        <v>1282835</v>
      </c>
      <c r="H65" s="185">
        <f>946150+36576+592498+46143-108966-39624-69342+374909+49820+92889+139700+34940+119050</f>
        <v>2214743</v>
      </c>
      <c r="I65" s="185">
        <f>3132100+783939-592795</f>
        <v>3323244</v>
      </c>
      <c r="J65" s="869">
        <f t="shared" si="0"/>
        <v>1024423334</v>
      </c>
      <c r="K65" s="628"/>
    </row>
    <row r="66" spans="1:11" ht="12.75">
      <c r="A66" s="198" t="s">
        <v>123</v>
      </c>
      <c r="B66" s="997" t="s">
        <v>122</v>
      </c>
      <c r="C66" s="998"/>
      <c r="D66" s="998"/>
      <c r="E66" s="999"/>
      <c r="F66" s="185">
        <f>187022953+1600000+829010+29999998+16000000+152749-228000-4816519-1300460+12662400</f>
        <v>241922131</v>
      </c>
      <c r="G66" s="185">
        <f>41339</f>
        <v>41339</v>
      </c>
      <c r="H66" s="185">
        <f>273095</f>
        <v>273095</v>
      </c>
      <c r="I66" s="185">
        <v>0</v>
      </c>
      <c r="J66" s="869">
        <f t="shared" si="0"/>
        <v>242236565</v>
      </c>
      <c r="K66" s="628"/>
    </row>
    <row r="67" spans="1:11" ht="12.75">
      <c r="A67" s="198" t="s">
        <v>125</v>
      </c>
      <c r="B67" s="997" t="s">
        <v>124</v>
      </c>
      <c r="C67" s="998"/>
      <c r="D67" s="998"/>
      <c r="E67" s="999"/>
      <c r="F67" s="185">
        <f>SUM(F68:F76)</f>
        <v>10522420</v>
      </c>
      <c r="G67" s="185">
        <f>SUM(G68:G76)</f>
        <v>0</v>
      </c>
      <c r="H67" s="185">
        <f>SUM(H68:H76)</f>
        <v>0</v>
      </c>
      <c r="I67" s="185">
        <f>SUM(I68:I76)</f>
        <v>0</v>
      </c>
      <c r="J67" s="869">
        <f t="shared" si="0"/>
        <v>10522420</v>
      </c>
      <c r="K67" s="628"/>
    </row>
    <row r="68" spans="1:11" ht="12.75" hidden="1">
      <c r="A68" s="181"/>
      <c r="B68" s="181" t="s">
        <v>195</v>
      </c>
      <c r="C68" s="996" t="s">
        <v>196</v>
      </c>
      <c r="D68" s="996"/>
      <c r="E68" s="996"/>
      <c r="F68" s="184">
        <v>0</v>
      </c>
      <c r="G68" s="184">
        <v>0</v>
      </c>
      <c r="H68" s="184">
        <v>0</v>
      </c>
      <c r="I68" s="184">
        <v>0</v>
      </c>
      <c r="J68" s="185">
        <f t="shared" si="0"/>
        <v>0</v>
      </c>
      <c r="K68" s="628"/>
    </row>
    <row r="69" spans="1:11" ht="12.75" hidden="1">
      <c r="A69" s="181"/>
      <c r="B69" s="181" t="s">
        <v>197</v>
      </c>
      <c r="C69" s="996" t="s">
        <v>198</v>
      </c>
      <c r="D69" s="996"/>
      <c r="E69" s="996"/>
      <c r="F69" s="184">
        <v>0</v>
      </c>
      <c r="G69" s="184">
        <v>0</v>
      </c>
      <c r="H69" s="184">
        <v>0</v>
      </c>
      <c r="I69" s="184">
        <v>0</v>
      </c>
      <c r="J69" s="185">
        <f t="shared" si="0"/>
        <v>0</v>
      </c>
      <c r="K69" s="628"/>
    </row>
    <row r="70" spans="1:11" ht="12.75" hidden="1">
      <c r="A70" s="181" t="s">
        <v>194</v>
      </c>
      <c r="B70" s="181" t="s">
        <v>199</v>
      </c>
      <c r="C70" s="996" t="s">
        <v>200</v>
      </c>
      <c r="D70" s="996"/>
      <c r="E70" s="996"/>
      <c r="F70" s="184">
        <v>0</v>
      </c>
      <c r="G70" s="184">
        <v>0</v>
      </c>
      <c r="H70" s="184">
        <v>0</v>
      </c>
      <c r="I70" s="184">
        <v>0</v>
      </c>
      <c r="J70" s="185">
        <f t="shared" si="0"/>
        <v>0</v>
      </c>
      <c r="K70" s="628"/>
    </row>
    <row r="71" spans="1:11" ht="12.75" hidden="1">
      <c r="A71" s="181"/>
      <c r="B71" s="181" t="s">
        <v>201</v>
      </c>
      <c r="C71" s="996" t="s">
        <v>202</v>
      </c>
      <c r="D71" s="996"/>
      <c r="E71" s="996"/>
      <c r="F71" s="184">
        <v>0</v>
      </c>
      <c r="G71" s="184">
        <v>0</v>
      </c>
      <c r="H71" s="184">
        <v>0</v>
      </c>
      <c r="I71" s="184">
        <v>0</v>
      </c>
      <c r="J71" s="185">
        <f t="shared" si="0"/>
        <v>0</v>
      </c>
      <c r="K71" s="628"/>
    </row>
    <row r="72" spans="1:11" ht="12.75" hidden="1">
      <c r="A72" s="181"/>
      <c r="B72" s="181" t="s">
        <v>203</v>
      </c>
      <c r="C72" s="996" t="s">
        <v>204</v>
      </c>
      <c r="D72" s="996"/>
      <c r="E72" s="996"/>
      <c r="F72" s="184">
        <v>0</v>
      </c>
      <c r="G72" s="184">
        <v>0</v>
      </c>
      <c r="H72" s="184">
        <v>0</v>
      </c>
      <c r="I72" s="184">
        <v>0</v>
      </c>
      <c r="J72" s="185">
        <f t="shared" si="0"/>
        <v>0</v>
      </c>
      <c r="K72" s="628"/>
    </row>
    <row r="73" spans="1:11" ht="12.75" hidden="1">
      <c r="A73" s="181"/>
      <c r="B73" s="181" t="s">
        <v>205</v>
      </c>
      <c r="C73" s="996" t="s">
        <v>206</v>
      </c>
      <c r="D73" s="996"/>
      <c r="E73" s="996"/>
      <c r="F73" s="184">
        <v>0</v>
      </c>
      <c r="G73" s="184">
        <v>0</v>
      </c>
      <c r="H73" s="184">
        <v>0</v>
      </c>
      <c r="I73" s="184">
        <v>0</v>
      </c>
      <c r="J73" s="185">
        <f t="shared" si="0"/>
        <v>0</v>
      </c>
      <c r="K73" s="628"/>
    </row>
    <row r="74" spans="1:11" ht="12.75" hidden="1">
      <c r="A74" s="181"/>
      <c r="B74" s="181" t="s">
        <v>207</v>
      </c>
      <c r="C74" s="996" t="s">
        <v>208</v>
      </c>
      <c r="D74" s="996"/>
      <c r="E74" s="996"/>
      <c r="F74" s="184">
        <v>0</v>
      </c>
      <c r="G74" s="184">
        <v>0</v>
      </c>
      <c r="H74" s="184">
        <v>0</v>
      </c>
      <c r="I74" s="184">
        <v>0</v>
      </c>
      <c r="J74" s="185">
        <f>SUM(F74:I74)</f>
        <v>0</v>
      </c>
      <c r="K74" s="628"/>
    </row>
    <row r="75" spans="1:11" ht="12.75" hidden="1">
      <c r="A75" s="181"/>
      <c r="B75" s="181" t="s">
        <v>209</v>
      </c>
      <c r="C75" s="996" t="s">
        <v>589</v>
      </c>
      <c r="D75" s="996"/>
      <c r="E75" s="996"/>
      <c r="F75" s="184">
        <v>0</v>
      </c>
      <c r="G75" s="184">
        <v>0</v>
      </c>
      <c r="H75" s="184">
        <v>0</v>
      </c>
      <c r="I75" s="184">
        <v>0</v>
      </c>
      <c r="J75" s="185">
        <f>SUM(F75:I75)</f>
        <v>0</v>
      </c>
      <c r="K75" s="628"/>
    </row>
    <row r="76" spans="1:11" ht="12.75">
      <c r="A76" s="181"/>
      <c r="B76" s="181" t="s">
        <v>588</v>
      </c>
      <c r="C76" s="996" t="s">
        <v>700</v>
      </c>
      <c r="D76" s="996"/>
      <c r="E76" s="996"/>
      <c r="F76" s="184">
        <f>5449520+5000000+72900</f>
        <v>10522420</v>
      </c>
      <c r="G76" s="184">
        <v>0</v>
      </c>
      <c r="H76" s="184">
        <v>0</v>
      </c>
      <c r="I76" s="184">
        <v>0</v>
      </c>
      <c r="J76" s="199">
        <f>SUM(F76:I76)</f>
        <v>10522420</v>
      </c>
      <c r="K76" s="628"/>
    </row>
    <row r="77" spans="1:11" ht="12.75">
      <c r="A77" s="198" t="s">
        <v>127</v>
      </c>
      <c r="B77" s="997" t="s">
        <v>126</v>
      </c>
      <c r="C77" s="998"/>
      <c r="D77" s="998"/>
      <c r="E77" s="999"/>
      <c r="F77" s="185">
        <f>17347428+19299537</f>
        <v>36646965</v>
      </c>
      <c r="G77" s="185">
        <v>0</v>
      </c>
      <c r="H77" s="185">
        <v>0</v>
      </c>
      <c r="I77" s="185">
        <v>0</v>
      </c>
      <c r="J77" s="869">
        <f>SUM(F77:I77)</f>
        <v>36646965</v>
      </c>
      <c r="K77" s="628"/>
    </row>
    <row r="78" spans="1:10" ht="12.75">
      <c r="A78" s="207"/>
      <c r="B78" s="208"/>
      <c r="C78" s="208"/>
      <c r="D78" s="208"/>
      <c r="E78" s="208"/>
      <c r="F78" s="209"/>
      <c r="G78" s="210"/>
      <c r="H78" s="210"/>
      <c r="I78" s="210"/>
      <c r="J78" s="211"/>
    </row>
    <row r="79" spans="1:10" ht="15.75">
      <c r="A79" s="1013" t="s">
        <v>210</v>
      </c>
      <c r="B79" s="1014"/>
      <c r="C79" s="1014"/>
      <c r="D79" s="1014"/>
      <c r="E79" s="1015"/>
      <c r="F79" s="212">
        <f>SUM(F7+F8+F9+F10+F23+F65+F66+F67+F77)</f>
        <v>2187523733</v>
      </c>
      <c r="G79" s="212">
        <f>SUM(G7+G8+G9+G10+G23+G65+G66+G67+G77)</f>
        <v>150888463</v>
      </c>
      <c r="H79" s="212">
        <f>SUM(H7+H8+H9+H10+H23+H65+H66+H67+H77)</f>
        <v>276557917</v>
      </c>
      <c r="I79" s="212">
        <f>SUM(I7+I8+I9+I10+I23+I65+I66+I67+I77)</f>
        <v>65999595</v>
      </c>
      <c r="J79" s="212">
        <f>SUM(J7+J8+J9+J10+J23+J65+J66+J67+J77)</f>
        <v>2680969708</v>
      </c>
    </row>
  </sheetData>
  <sheetProtection/>
  <mergeCells count="46">
    <mergeCell ref="C76:E76"/>
    <mergeCell ref="B77:E77"/>
    <mergeCell ref="A79:E79"/>
    <mergeCell ref="C70:E70"/>
    <mergeCell ref="C71:E71"/>
    <mergeCell ref="C72:E72"/>
    <mergeCell ref="C73:E73"/>
    <mergeCell ref="C74:E74"/>
    <mergeCell ref="C75:E75"/>
    <mergeCell ref="B67:E67"/>
    <mergeCell ref="C68:E68"/>
    <mergeCell ref="C69:E69"/>
    <mergeCell ref="B66:E66"/>
    <mergeCell ref="D46:E46"/>
    <mergeCell ref="D57:E57"/>
    <mergeCell ref="B65:E65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C1">
      <selection activeCell="B2" sqref="B2:I2"/>
    </sheetView>
  </sheetViews>
  <sheetFormatPr defaultColWidth="9.00390625" defaultRowHeight="12.75"/>
  <cols>
    <col min="1" max="1" width="4.125" style="100" bestFit="1" customWidth="1"/>
    <col min="2" max="2" width="55.125" style="38" bestFit="1" customWidth="1"/>
    <col min="3" max="3" width="13.375" style="38" bestFit="1" customWidth="1"/>
    <col min="4" max="5" width="15.125" style="38" bestFit="1" customWidth="1"/>
    <col min="6" max="6" width="53.875" style="38" bestFit="1" customWidth="1"/>
    <col min="7" max="7" width="15.00390625" style="38" bestFit="1" customWidth="1"/>
    <col min="8" max="9" width="15.875" style="38" bestFit="1" customWidth="1"/>
    <col min="10" max="16384" width="9.125" style="38" customWidth="1"/>
  </cols>
  <sheetData>
    <row r="1" spans="6:10" ht="12.75" customHeight="1">
      <c r="F1" s="1019" t="s">
        <v>1179</v>
      </c>
      <c r="G1" s="1020"/>
      <c r="H1" s="1020"/>
      <c r="I1" s="1020"/>
      <c r="J1" s="87"/>
    </row>
    <row r="2" spans="2:9" ht="15.75">
      <c r="B2" s="1021" t="s">
        <v>866</v>
      </c>
      <c r="C2" s="1021"/>
      <c r="D2" s="1021"/>
      <c r="E2" s="1021"/>
      <c r="F2" s="1021"/>
      <c r="G2" s="1021"/>
      <c r="H2" s="1021"/>
      <c r="I2" s="1021"/>
    </row>
    <row r="3" ht="8.25" customHeight="1"/>
    <row r="4" spans="1:9" s="39" customFormat="1" ht="15" customHeight="1">
      <c r="A4" s="1023" t="s">
        <v>445</v>
      </c>
      <c r="B4" s="1022" t="s">
        <v>449</v>
      </c>
      <c r="C4" s="1022"/>
      <c r="D4" s="1022"/>
      <c r="E4" s="1022"/>
      <c r="F4" s="1022" t="s">
        <v>367</v>
      </c>
      <c r="G4" s="1022"/>
      <c r="H4" s="1022"/>
      <c r="I4" s="1022"/>
    </row>
    <row r="5" spans="1:9" s="42" customFormat="1" ht="14.25">
      <c r="A5" s="1023"/>
      <c r="B5" s="40" t="s">
        <v>366</v>
      </c>
      <c r="C5" s="41" t="s">
        <v>342</v>
      </c>
      <c r="D5" s="41" t="s">
        <v>341</v>
      </c>
      <c r="E5" s="41" t="s">
        <v>434</v>
      </c>
      <c r="F5" s="40" t="s">
        <v>366</v>
      </c>
      <c r="G5" s="41" t="s">
        <v>342</v>
      </c>
      <c r="H5" s="41" t="s">
        <v>341</v>
      </c>
      <c r="I5" s="41" t="s">
        <v>434</v>
      </c>
    </row>
    <row r="6" spans="1:9" s="99" customFormat="1" ht="12">
      <c r="A6" s="1023"/>
      <c r="B6" s="98" t="s">
        <v>439</v>
      </c>
      <c r="C6" s="98" t="s">
        <v>440</v>
      </c>
      <c r="D6" s="98" t="s">
        <v>441</v>
      </c>
      <c r="E6" s="98" t="s">
        <v>442</v>
      </c>
      <c r="F6" s="98" t="s">
        <v>443</v>
      </c>
      <c r="G6" s="98" t="s">
        <v>444</v>
      </c>
      <c r="H6" s="98" t="s">
        <v>446</v>
      </c>
      <c r="I6" s="98" t="s">
        <v>447</v>
      </c>
    </row>
    <row r="7" spans="1:9" s="63" customFormat="1" ht="14.25">
      <c r="A7" s="98">
        <v>1</v>
      </c>
      <c r="B7" s="62" t="s">
        <v>527</v>
      </c>
      <c r="C7" s="80">
        <f>SUM(C8)</f>
        <v>1049699879</v>
      </c>
      <c r="D7" s="80">
        <f>SUM(D32,D8)</f>
        <v>136525069</v>
      </c>
      <c r="E7" s="80">
        <f aca="true" t="shared" si="0" ref="E7:E30">SUM(C7:D7)</f>
        <v>1186224948</v>
      </c>
      <c r="F7" s="62" t="s">
        <v>528</v>
      </c>
      <c r="G7" s="80">
        <f>SUM(G8,G32)</f>
        <v>1347243888</v>
      </c>
      <c r="H7" s="80">
        <f>SUM(H8,H32)</f>
        <v>1297078855</v>
      </c>
      <c r="I7" s="80">
        <f aca="true" t="shared" si="1" ref="I7:I18">SUM(G7:H7)</f>
        <v>2644322743</v>
      </c>
    </row>
    <row r="8" spans="1:9" s="72" customFormat="1" ht="12.75">
      <c r="A8" s="101">
        <v>2</v>
      </c>
      <c r="B8" s="69" t="s">
        <v>467</v>
      </c>
      <c r="C8" s="70">
        <f>SUM(C28+C18+C13+C9)</f>
        <v>1049699879</v>
      </c>
      <c r="D8" s="70">
        <f>SUM(D28+D18+D13+D9)</f>
        <v>0</v>
      </c>
      <c r="E8" s="70">
        <f t="shared" si="0"/>
        <v>1049699879</v>
      </c>
      <c r="F8" s="71" t="s">
        <v>470</v>
      </c>
      <c r="G8" s="70">
        <f>SUM(G9:G13)</f>
        <v>1347243888</v>
      </c>
      <c r="H8" s="70">
        <f>SUM(H9:H13)</f>
        <v>19896536</v>
      </c>
      <c r="I8" s="70">
        <f t="shared" si="1"/>
        <v>1367140424</v>
      </c>
    </row>
    <row r="9" spans="1:9" s="45" customFormat="1" ht="12.75">
      <c r="A9" s="101">
        <v>3</v>
      </c>
      <c r="B9" s="78" t="s">
        <v>15</v>
      </c>
      <c r="C9" s="59">
        <f>SUM(C10:C12)</f>
        <v>710333979</v>
      </c>
      <c r="D9" s="59">
        <v>0</v>
      </c>
      <c r="E9" s="59">
        <f t="shared" si="0"/>
        <v>710333979</v>
      </c>
      <c r="F9" s="79" t="s">
        <v>471</v>
      </c>
      <c r="G9" s="59">
        <f>422579600+36347085+11080125+812250+20900-338000+200000+1420400+338000+220000+56100+2193899+565720+1059890+3179670-2666710+24000000+47334+2742+2666710+1229250+1500000+223500+1582900+1500000-1725000+325371+1725000+24000+12000+45000+10000-91000+3-3+4697+1-1+600000+2350000+801000+200000-70805+584816+37184-3000-5700000-115000-100000-800-25500-177773-150000+5476073+6558094+28001+2781486-1500000-2300000</f>
        <v>519425209</v>
      </c>
      <c r="H9" s="59">
        <v>0</v>
      </c>
      <c r="I9" s="59">
        <f t="shared" si="1"/>
        <v>519425209</v>
      </c>
    </row>
    <row r="10" spans="1:9" s="45" customFormat="1" ht="12.75">
      <c r="A10" s="98">
        <v>4</v>
      </c>
      <c r="B10" s="56" t="s">
        <v>16</v>
      </c>
      <c r="C10" s="61">
        <f>474324803+593921+81261+10844656+862312+10464000+10858846+3401000+2145000+2556000+356000+2554017+2948333-3775427-38709-463855-90634</f>
        <v>517621524</v>
      </c>
      <c r="D10" s="61">
        <v>0</v>
      </c>
      <c r="E10" s="61">
        <f t="shared" si="0"/>
        <v>517621524</v>
      </c>
      <c r="F10" s="79" t="s">
        <v>714</v>
      </c>
      <c r="G10" s="59">
        <f>94757514+3543768+1080288+158389+4081-65910+39000+293204+65910+42900+10940+383932+99001+92742+278226-520008+4680000-8955+520008+215116+775525+39112+303260+575000-301875+33428+301875-66565-191+73817+53948+131474-200000-19829-200000-12429-21940-2105-1860949-266525-46400-2140-4973-11082-50000-75000+375052-2916269-6602437-262500-520000</f>
        <v>94889428</v>
      </c>
      <c r="H10" s="59">
        <v>0</v>
      </c>
      <c r="I10" s="59">
        <f t="shared" si="1"/>
        <v>94889428</v>
      </c>
    </row>
    <row r="11" spans="1:9" s="45" customFormat="1" ht="12.75">
      <c r="A11" s="101">
        <v>5</v>
      </c>
      <c r="B11" s="56" t="s">
        <v>712</v>
      </c>
      <c r="C11" s="61">
        <v>0</v>
      </c>
      <c r="D11" s="61">
        <v>0</v>
      </c>
      <c r="E11" s="61">
        <f t="shared" si="0"/>
        <v>0</v>
      </c>
      <c r="F11" s="79" t="s">
        <v>38</v>
      </c>
      <c r="G11" s="59">
        <f>441669250+180000+220000+8618030+22660742+2730247+4347090+296854+8004000-2108200+413-413+1537859+247115+2108200+622539+10500000+656145+88787-600000+2794000+754380+1208400+300000+248400+30000+200000+516434+128723+40000+40000+40000+40000+40000-28680000-4844+23576063-165615-829010+6213+6147-6147+889000-889000+7367584+614391+300000+81000-273095-36576+269840+1875000+254000+161080+6019800-367914-162937-12976+106606+76049+1166000-889000+889000-592498-46143+9906+19812+69342+49530+69342+39600-39600+61868+558800+203200+8000-8000-783939-600000-27360+17097+50000-429210+6750+377257+874745-72900+196950+75340+121160+80000+90000-917430-2006767+160013-160013-12662400+67920+3354000-140000-530730-16077-4023-5118075-41339-40562-3-1633725-1736616-1000000-1000000-320000-400000-590000-374909-49820-92889-139700-153990-2300000</f>
        <v>492031568</v>
      </c>
      <c r="H11" s="59">
        <v>0</v>
      </c>
      <c r="I11" s="59">
        <f t="shared" si="1"/>
        <v>492031568</v>
      </c>
    </row>
    <row r="12" spans="1:9" s="45" customFormat="1" ht="12.75">
      <c r="A12" s="101">
        <v>6</v>
      </c>
      <c r="B12" s="56" t="s">
        <v>17</v>
      </c>
      <c r="C12" s="61">
        <f>136641874-6854236-6737965+42621100+16507503+3303941+1960719+2577831+1152632+3457896+47334+1444366+262612+2156000+1166000-7430000+434848</f>
        <v>192712455</v>
      </c>
      <c r="D12" s="61">
        <v>0</v>
      </c>
      <c r="E12" s="61">
        <f t="shared" si="0"/>
        <v>192712455</v>
      </c>
      <c r="F12" s="79" t="s">
        <v>39</v>
      </c>
      <c r="G12" s="59">
        <f>11234900-7430000</f>
        <v>3804900</v>
      </c>
      <c r="H12" s="59">
        <v>0</v>
      </c>
      <c r="I12" s="59">
        <f t="shared" si="1"/>
        <v>3804900</v>
      </c>
    </row>
    <row r="13" spans="1:9" s="45" customFormat="1" ht="12.75">
      <c r="A13" s="98">
        <v>7</v>
      </c>
      <c r="B13" s="78" t="s">
        <v>21</v>
      </c>
      <c r="C13" s="59">
        <f>SUM(C14:C17)</f>
        <v>256215142</v>
      </c>
      <c r="D13" s="59">
        <f>SUM(D14:D17)</f>
        <v>0</v>
      </c>
      <c r="E13" s="59">
        <f t="shared" si="0"/>
        <v>256215142</v>
      </c>
      <c r="F13" s="82" t="s">
        <v>40</v>
      </c>
      <c r="G13" s="59">
        <f>SUM(G14:G18)</f>
        <v>237092783</v>
      </c>
      <c r="H13" s="59">
        <f>SUM(H14:H18)</f>
        <v>19896536</v>
      </c>
      <c r="I13" s="59">
        <f t="shared" si="1"/>
        <v>256989319</v>
      </c>
    </row>
    <row r="14" spans="1:9" s="46" customFormat="1" ht="12.75">
      <c r="A14" s="101">
        <v>8</v>
      </c>
      <c r="B14" s="56" t="s">
        <v>111</v>
      </c>
      <c r="C14" s="61">
        <f>232130000+432632+127765+874745</f>
        <v>233565142</v>
      </c>
      <c r="D14" s="61">
        <v>0</v>
      </c>
      <c r="E14" s="61">
        <f t="shared" si="0"/>
        <v>233565142</v>
      </c>
      <c r="F14" s="58" t="s">
        <v>791</v>
      </c>
      <c r="G14" s="61">
        <f>46343378+586418+216600</f>
        <v>47146396</v>
      </c>
      <c r="H14" s="61">
        <v>0</v>
      </c>
      <c r="I14" s="61">
        <f t="shared" si="1"/>
        <v>47146396</v>
      </c>
    </row>
    <row r="15" spans="1:9" s="46" customFormat="1" ht="12.75">
      <c r="A15" s="98">
        <v>9</v>
      </c>
      <c r="B15" s="57" t="s">
        <v>829</v>
      </c>
      <c r="C15" s="61">
        <v>50000</v>
      </c>
      <c r="D15" s="61">
        <v>0</v>
      </c>
      <c r="E15" s="61">
        <f t="shared" si="0"/>
        <v>50000</v>
      </c>
      <c r="F15" s="58" t="s">
        <v>713</v>
      </c>
      <c r="G15" s="61">
        <v>0</v>
      </c>
      <c r="H15" s="61">
        <v>0</v>
      </c>
      <c r="I15" s="61">
        <f t="shared" si="1"/>
        <v>0</v>
      </c>
    </row>
    <row r="16" spans="1:9" s="46" customFormat="1" ht="12.75">
      <c r="A16" s="101">
        <v>10</v>
      </c>
      <c r="B16" s="57" t="s">
        <v>830</v>
      </c>
      <c r="C16" s="61">
        <v>22000000</v>
      </c>
      <c r="D16" s="61">
        <v>0</v>
      </c>
      <c r="E16" s="61">
        <f t="shared" si="0"/>
        <v>22000000</v>
      </c>
      <c r="F16" s="58" t="s">
        <v>868</v>
      </c>
      <c r="G16" s="61">
        <f>1170350+46053+4844-100000-50897-15000+65897</f>
        <v>1121247</v>
      </c>
      <c r="H16" s="61">
        <v>0</v>
      </c>
      <c r="I16" s="61">
        <f t="shared" si="1"/>
        <v>1121247</v>
      </c>
    </row>
    <row r="17" spans="1:9" s="46" customFormat="1" ht="12.75">
      <c r="A17" s="101">
        <v>11</v>
      </c>
      <c r="B17" s="56" t="s">
        <v>831</v>
      </c>
      <c r="C17" s="61">
        <v>600000</v>
      </c>
      <c r="D17" s="61">
        <v>0</v>
      </c>
      <c r="E17" s="61">
        <f t="shared" si="0"/>
        <v>600000</v>
      </c>
      <c r="F17" s="58" t="s">
        <v>869</v>
      </c>
      <c r="G17" s="61">
        <f>155533573-34818+23849000-500000-500000-700000+10858846-1618094+100000-1564044</f>
        <v>185424463</v>
      </c>
      <c r="H17" s="61">
        <v>0</v>
      </c>
      <c r="I17" s="61">
        <f t="shared" si="1"/>
        <v>185424463</v>
      </c>
    </row>
    <row r="18" spans="1:9" s="46" customFormat="1" ht="12.75">
      <c r="A18" s="98">
        <v>12</v>
      </c>
      <c r="B18" s="78" t="s">
        <v>22</v>
      </c>
      <c r="C18" s="59">
        <f>SUM(C19:C27)</f>
        <v>77130958</v>
      </c>
      <c r="D18" s="59">
        <f>SUM(D19:D27)</f>
        <v>0</v>
      </c>
      <c r="E18" s="59">
        <f t="shared" si="0"/>
        <v>77130958</v>
      </c>
      <c r="F18" s="58" t="s">
        <v>870</v>
      </c>
      <c r="G18" s="61">
        <f>26199000-23849000+200000-1000000-180000-220000+97110256+2940272-8618030+926229-926229-22660742-6854236-6737965-46053-46343378+8004000-4923623-2940272+2036448-8004000-512000-200000+1618094-603515-397884-11225-196500-182700-226270</f>
        <v>3400677</v>
      </c>
      <c r="H18" s="61">
        <f>5039360-5000000-39360+15055017+4841519</f>
        <v>19896536</v>
      </c>
      <c r="I18" s="61">
        <f t="shared" si="1"/>
        <v>23297213</v>
      </c>
    </row>
    <row r="19" spans="1:9" s="45" customFormat="1" ht="12.75">
      <c r="A19" s="101">
        <v>13</v>
      </c>
      <c r="B19" s="56" t="s">
        <v>590</v>
      </c>
      <c r="C19" s="61">
        <f>8000000+2794000+920000</f>
        <v>11714000</v>
      </c>
      <c r="D19" s="61">
        <v>0</v>
      </c>
      <c r="E19" s="61">
        <f t="shared" si="0"/>
        <v>11714000</v>
      </c>
      <c r="F19" s="82"/>
      <c r="G19" s="59"/>
      <c r="H19" s="59"/>
      <c r="I19" s="59"/>
    </row>
    <row r="20" spans="1:9" s="45" customFormat="1" ht="12.75">
      <c r="A20" s="101">
        <v>14</v>
      </c>
      <c r="B20" s="56" t="s">
        <v>23</v>
      </c>
      <c r="C20" s="61">
        <f>17817680+540000+1080000+8076772+300000+3110236+440000+160000+2112000+32790+808568+7356</f>
        <v>34485402</v>
      </c>
      <c r="D20" s="61">
        <v>0</v>
      </c>
      <c r="E20" s="61">
        <f t="shared" si="0"/>
        <v>34485402</v>
      </c>
      <c r="F20" s="58"/>
      <c r="G20" s="61"/>
      <c r="H20" s="61"/>
      <c r="I20" s="61"/>
    </row>
    <row r="21" spans="1:9" s="45" customFormat="1" ht="12.75">
      <c r="A21" s="98">
        <v>15</v>
      </c>
      <c r="B21" s="56" t="s">
        <v>24</v>
      </c>
      <c r="C21" s="61">
        <v>9130778</v>
      </c>
      <c r="D21" s="61">
        <v>0</v>
      </c>
      <c r="E21" s="61">
        <f t="shared" si="0"/>
        <v>9130778</v>
      </c>
      <c r="F21" s="58"/>
      <c r="G21" s="61"/>
      <c r="H21" s="61"/>
      <c r="I21" s="61"/>
    </row>
    <row r="22" spans="1:9" s="45" customFormat="1" ht="12.75">
      <c r="A22" s="101">
        <v>16</v>
      </c>
      <c r="B22" s="56" t="s">
        <v>547</v>
      </c>
      <c r="C22" s="61">
        <f>721000+25000</f>
        <v>746000</v>
      </c>
      <c r="D22" s="61">
        <v>0</v>
      </c>
      <c r="E22" s="61">
        <f t="shared" si="0"/>
        <v>746000</v>
      </c>
      <c r="F22" s="58"/>
      <c r="G22" s="61"/>
      <c r="H22" s="61"/>
      <c r="I22" s="61"/>
    </row>
    <row r="23" spans="1:9" s="45" customFormat="1" ht="12.75">
      <c r="A23" s="98">
        <v>17</v>
      </c>
      <c r="B23" s="56" t="s">
        <v>25</v>
      </c>
      <c r="C23" s="61">
        <f>6042864+323495+81402</f>
        <v>6447761</v>
      </c>
      <c r="D23" s="61">
        <v>0</v>
      </c>
      <c r="E23" s="61">
        <f t="shared" si="0"/>
        <v>6447761</v>
      </c>
      <c r="F23" s="58"/>
      <c r="G23" s="61"/>
      <c r="H23" s="61"/>
      <c r="I23" s="61"/>
    </row>
    <row r="24" spans="1:9" s="45" customFormat="1" ht="12.75">
      <c r="A24" s="101">
        <v>18</v>
      </c>
      <c r="B24" s="56" t="s">
        <v>26</v>
      </c>
      <c r="C24" s="61">
        <f>5690292+754380+248400+2180728+81000+839764+118800+43200+6750+567021+218313+87348+21978-7356</f>
        <v>10850618</v>
      </c>
      <c r="D24" s="61">
        <v>0</v>
      </c>
      <c r="E24" s="61">
        <f t="shared" si="0"/>
        <v>10850618</v>
      </c>
      <c r="F24" s="44"/>
      <c r="G24" s="61"/>
      <c r="H24" s="60"/>
      <c r="I24" s="60"/>
    </row>
    <row r="25" spans="1:9" s="45" customFormat="1" ht="12.75">
      <c r="A25" s="101">
        <v>19</v>
      </c>
      <c r="B25" s="56" t="s">
        <v>303</v>
      </c>
      <c r="C25" s="61">
        <f>30000+664721+78901+516434+128723+109120+216600+1100000+155000</f>
        <v>2999499</v>
      </c>
      <c r="D25" s="61">
        <v>0</v>
      </c>
      <c r="E25" s="61">
        <f t="shared" si="0"/>
        <v>2999499</v>
      </c>
      <c r="F25" s="44"/>
      <c r="G25" s="61"/>
      <c r="H25" s="60"/>
      <c r="I25" s="60"/>
    </row>
    <row r="26" spans="1:9" s="45" customFormat="1" ht="12.75">
      <c r="A26" s="98">
        <v>20</v>
      </c>
      <c r="B26" s="56" t="s">
        <v>735</v>
      </c>
      <c r="C26" s="61">
        <v>500</v>
      </c>
      <c r="D26" s="61">
        <v>0</v>
      </c>
      <c r="E26" s="61">
        <f t="shared" si="0"/>
        <v>500</v>
      </c>
      <c r="F26" s="44"/>
      <c r="G26" s="61"/>
      <c r="H26" s="60"/>
      <c r="I26" s="60"/>
    </row>
    <row r="27" spans="1:9" s="43" customFormat="1" ht="12.75">
      <c r="A27" s="101">
        <v>21</v>
      </c>
      <c r="B27" s="56" t="s">
        <v>736</v>
      </c>
      <c r="C27" s="61">
        <f>12081400-233171+10464000-22252229+696400</f>
        <v>756400</v>
      </c>
      <c r="D27" s="61">
        <v>0</v>
      </c>
      <c r="E27" s="61">
        <f t="shared" si="0"/>
        <v>756400</v>
      </c>
      <c r="F27" s="44"/>
      <c r="G27" s="60"/>
      <c r="H27" s="60"/>
      <c r="I27" s="60"/>
    </row>
    <row r="28" spans="1:9" s="43" customFormat="1" ht="12.75">
      <c r="A28" s="101">
        <v>22</v>
      </c>
      <c r="B28" s="78" t="s">
        <v>32</v>
      </c>
      <c r="C28" s="59">
        <f>SUM(C29:C30)</f>
        <v>6019800</v>
      </c>
      <c r="D28" s="59">
        <v>0</v>
      </c>
      <c r="E28" s="59">
        <f t="shared" si="0"/>
        <v>6019800</v>
      </c>
      <c r="F28" s="44"/>
      <c r="G28" s="60"/>
      <c r="H28" s="60"/>
      <c r="I28" s="60"/>
    </row>
    <row r="29" spans="1:9" s="43" customFormat="1" ht="12.75">
      <c r="A29" s="98">
        <v>23</v>
      </c>
      <c r="B29" s="56" t="s">
        <v>33</v>
      </c>
      <c r="C29" s="61">
        <v>0</v>
      </c>
      <c r="D29" s="61">
        <v>0</v>
      </c>
      <c r="E29" s="61">
        <f t="shared" si="0"/>
        <v>0</v>
      </c>
      <c r="F29" s="44"/>
      <c r="G29" s="60"/>
      <c r="H29" s="60"/>
      <c r="I29" s="60"/>
    </row>
    <row r="30" spans="1:9" s="43" customFormat="1" ht="12.75">
      <c r="A30" s="101">
        <v>24</v>
      </c>
      <c r="B30" s="56" t="s">
        <v>34</v>
      </c>
      <c r="C30" s="61">
        <v>6019800</v>
      </c>
      <c r="D30" s="61">
        <v>0</v>
      </c>
      <c r="E30" s="61">
        <f t="shared" si="0"/>
        <v>6019800</v>
      </c>
      <c r="F30" s="44"/>
      <c r="G30" s="60"/>
      <c r="H30" s="60"/>
      <c r="I30" s="60"/>
    </row>
    <row r="31" spans="1:9" s="43" customFormat="1" ht="12.75">
      <c r="A31" s="101"/>
      <c r="B31" s="56"/>
      <c r="C31" s="61"/>
      <c r="D31" s="61"/>
      <c r="E31" s="61"/>
      <c r="F31" s="44"/>
      <c r="G31" s="60"/>
      <c r="H31" s="60"/>
      <c r="I31" s="60"/>
    </row>
    <row r="32" spans="1:9" s="72" customFormat="1" ht="12.75">
      <c r="A32" s="101">
        <v>25</v>
      </c>
      <c r="B32" s="73" t="s">
        <v>469</v>
      </c>
      <c r="C32" s="70">
        <f>SUM(C41+C36+C33)</f>
        <v>0</v>
      </c>
      <c r="D32" s="70">
        <f>SUM(D41+D36+D33)</f>
        <v>136525069</v>
      </c>
      <c r="E32" s="70">
        <f>SUM(D32:D32)</f>
        <v>136525069</v>
      </c>
      <c r="F32" s="71" t="s">
        <v>337</v>
      </c>
      <c r="G32" s="70">
        <f>SUM(G33:G35)</f>
        <v>0</v>
      </c>
      <c r="H32" s="70">
        <f>SUM(H33:H35)</f>
        <v>1277182319</v>
      </c>
      <c r="I32" s="70">
        <f aca="true" t="shared" si="2" ref="I32:I40">SUM(G32:H32)</f>
        <v>1277182319</v>
      </c>
    </row>
    <row r="33" spans="1:9" s="43" customFormat="1" ht="12.75">
      <c r="A33" s="98">
        <v>26</v>
      </c>
      <c r="B33" s="78" t="s">
        <v>18</v>
      </c>
      <c r="C33" s="59">
        <f>SUM(C34:C35)</f>
        <v>0</v>
      </c>
      <c r="D33" s="59">
        <f>SUM(D34:D35)</f>
        <v>94546285</v>
      </c>
      <c r="E33" s="59">
        <f>SUM(D33:D33)</f>
        <v>94546285</v>
      </c>
      <c r="F33" s="79" t="s">
        <v>41</v>
      </c>
      <c r="G33" s="59">
        <v>0</v>
      </c>
      <c r="H33" s="59">
        <f>1039200321+138684+779383+620000+1578000+94270+14850-23410448+36576+1077031+87249+764084+367914+162937+12976-106606+228000+592498+46143-108966-39624-69342+783939+66600-196950+12700+1205767-592795+226270+40565+374909+49820+92889+139700+34940+119050</f>
        <v>1024423334</v>
      </c>
      <c r="I33" s="59">
        <f t="shared" si="2"/>
        <v>1024423334</v>
      </c>
    </row>
    <row r="34" spans="1:9" s="43" customFormat="1" ht="12.75">
      <c r="A34" s="101">
        <v>27</v>
      </c>
      <c r="B34" s="56" t="s">
        <v>19</v>
      </c>
      <c r="C34" s="61">
        <v>0</v>
      </c>
      <c r="D34" s="61">
        <f>29999998</f>
        <v>29999998</v>
      </c>
      <c r="E34" s="61">
        <f aca="true" t="shared" si="3" ref="E34:E43">SUM(D34:D34)</f>
        <v>29999998</v>
      </c>
      <c r="F34" s="79" t="s">
        <v>42</v>
      </c>
      <c r="G34" s="59">
        <v>0</v>
      </c>
      <c r="H34" s="59">
        <f>187022953+1600000+829010+29999998+273095+16000000+152749-228000-4816519-1300460+12662400+41339</f>
        <v>242236565</v>
      </c>
      <c r="I34" s="59">
        <f t="shared" si="2"/>
        <v>242236565</v>
      </c>
    </row>
    <row r="35" spans="1:9" s="43" customFormat="1" ht="12.75">
      <c r="A35" s="101">
        <v>28</v>
      </c>
      <c r="B35" s="56" t="s">
        <v>20</v>
      </c>
      <c r="C35" s="61">
        <v>0</v>
      </c>
      <c r="D35" s="61">
        <f>27667271-39360+138684+900000+779383+1499099+16000000+1331031+401078+764084+50000+15055017</f>
        <v>64546287</v>
      </c>
      <c r="E35" s="61">
        <f t="shared" si="3"/>
        <v>64546287</v>
      </c>
      <c r="F35" s="79" t="s">
        <v>43</v>
      </c>
      <c r="G35" s="59">
        <f>SUM(G36:G40)</f>
        <v>0</v>
      </c>
      <c r="H35" s="59">
        <f>SUM(H36:H40)</f>
        <v>10522420</v>
      </c>
      <c r="I35" s="59">
        <f t="shared" si="2"/>
        <v>10522420</v>
      </c>
    </row>
    <row r="36" spans="1:9" s="43" customFormat="1" ht="12.75">
      <c r="A36" s="98">
        <v>29</v>
      </c>
      <c r="B36" s="78" t="s">
        <v>27</v>
      </c>
      <c r="C36" s="59">
        <f>SUM(C37:C40)</f>
        <v>0</v>
      </c>
      <c r="D36" s="59">
        <f>SUM(D37:D40)</f>
        <v>41978784</v>
      </c>
      <c r="E36" s="59">
        <f t="shared" si="3"/>
        <v>41978784</v>
      </c>
      <c r="F36" s="58" t="s">
        <v>44</v>
      </c>
      <c r="G36" s="61">
        <v>0</v>
      </c>
      <c r="H36" s="61">
        <v>0</v>
      </c>
      <c r="I36" s="61">
        <f t="shared" si="2"/>
        <v>0</v>
      </c>
    </row>
    <row r="37" spans="1:9" s="43" customFormat="1" ht="12.75">
      <c r="A37" s="101">
        <v>30</v>
      </c>
      <c r="B37" s="56" t="s">
        <v>28</v>
      </c>
      <c r="C37" s="61">
        <v>0</v>
      </c>
      <c r="D37" s="61">
        <v>0</v>
      </c>
      <c r="E37" s="61">
        <f t="shared" si="3"/>
        <v>0</v>
      </c>
      <c r="F37" s="58" t="s">
        <v>45</v>
      </c>
      <c r="G37" s="61">
        <v>0</v>
      </c>
      <c r="H37" s="61">
        <v>0</v>
      </c>
      <c r="I37" s="61">
        <f t="shared" si="2"/>
        <v>0</v>
      </c>
    </row>
    <row r="38" spans="1:9" s="45" customFormat="1" ht="12.75">
      <c r="A38" s="101">
        <v>31</v>
      </c>
      <c r="B38" s="56" t="s">
        <v>29</v>
      </c>
      <c r="C38" s="61">
        <f>SUM(C39:C40)</f>
        <v>0</v>
      </c>
      <c r="D38" s="61">
        <f>78841508+140105-900000+88787+200000-8458000-2581377-1300460-13206949-9632064-1212766</f>
        <v>41978784</v>
      </c>
      <c r="E38" s="61">
        <f t="shared" si="3"/>
        <v>41978784</v>
      </c>
      <c r="F38" s="58" t="s">
        <v>46</v>
      </c>
      <c r="G38" s="61">
        <v>0</v>
      </c>
      <c r="H38" s="61">
        <v>0</v>
      </c>
      <c r="I38" s="61">
        <f t="shared" si="2"/>
        <v>0</v>
      </c>
    </row>
    <row r="39" spans="1:9" s="45" customFormat="1" ht="12.75">
      <c r="A39" s="98">
        <v>32</v>
      </c>
      <c r="B39" s="56" t="s">
        <v>30</v>
      </c>
      <c r="C39" s="61">
        <v>0</v>
      </c>
      <c r="D39" s="61">
        <v>0</v>
      </c>
      <c r="E39" s="61">
        <f t="shared" si="3"/>
        <v>0</v>
      </c>
      <c r="F39" s="58" t="s">
        <v>47</v>
      </c>
      <c r="G39" s="61">
        <v>0</v>
      </c>
      <c r="H39" s="61">
        <v>0</v>
      </c>
      <c r="I39" s="61">
        <f t="shared" si="2"/>
        <v>0</v>
      </c>
    </row>
    <row r="40" spans="1:9" s="47" customFormat="1" ht="13.5">
      <c r="A40" s="101">
        <v>33</v>
      </c>
      <c r="B40" s="56" t="s">
        <v>31</v>
      </c>
      <c r="C40" s="61">
        <v>0</v>
      </c>
      <c r="D40" s="61">
        <v>0</v>
      </c>
      <c r="E40" s="61">
        <f t="shared" si="3"/>
        <v>0</v>
      </c>
      <c r="F40" s="58" t="s">
        <v>48</v>
      </c>
      <c r="G40" s="61">
        <v>0</v>
      </c>
      <c r="H40" s="61">
        <f>5449520+5000000+72900</f>
        <v>10522420</v>
      </c>
      <c r="I40" s="61">
        <f t="shared" si="2"/>
        <v>10522420</v>
      </c>
    </row>
    <row r="41" spans="1:9" s="47" customFormat="1" ht="13.5">
      <c r="A41" s="101">
        <v>34</v>
      </c>
      <c r="B41" s="78" t="s">
        <v>35</v>
      </c>
      <c r="C41" s="59">
        <f>SUM(C42:C43)</f>
        <v>0</v>
      </c>
      <c r="D41" s="59">
        <f>SUM(D42:D43)</f>
        <v>0</v>
      </c>
      <c r="E41" s="59">
        <f t="shared" si="3"/>
        <v>0</v>
      </c>
      <c r="F41" s="58"/>
      <c r="G41" s="61"/>
      <c r="H41" s="61"/>
      <c r="I41" s="61"/>
    </row>
    <row r="42" spans="1:9" s="47" customFormat="1" ht="13.5">
      <c r="A42" s="98">
        <v>35</v>
      </c>
      <c r="B42" s="56" t="s">
        <v>705</v>
      </c>
      <c r="C42" s="61">
        <v>0</v>
      </c>
      <c r="D42" s="61">
        <v>0</v>
      </c>
      <c r="E42" s="61">
        <f t="shared" si="3"/>
        <v>0</v>
      </c>
      <c r="F42" s="48"/>
      <c r="G42" s="61"/>
      <c r="H42" s="61"/>
      <c r="I42" s="61"/>
    </row>
    <row r="43" spans="1:9" s="47" customFormat="1" ht="13.5">
      <c r="A43" s="101">
        <v>36</v>
      </c>
      <c r="B43" s="56" t="s">
        <v>704</v>
      </c>
      <c r="C43" s="61">
        <v>0</v>
      </c>
      <c r="D43" s="61">
        <v>0</v>
      </c>
      <c r="E43" s="61">
        <f t="shared" si="3"/>
        <v>0</v>
      </c>
      <c r="F43" s="48"/>
      <c r="G43" s="61"/>
      <c r="H43" s="61"/>
      <c r="I43" s="61"/>
    </row>
    <row r="44" spans="1:9" s="49" customFormat="1" ht="6" customHeight="1">
      <c r="A44" s="1024"/>
      <c r="B44" s="1025"/>
      <c r="C44" s="1025"/>
      <c r="D44" s="1025"/>
      <c r="E44" s="1025"/>
      <c r="F44" s="1025"/>
      <c r="G44" s="1025"/>
      <c r="H44" s="1025"/>
      <c r="I44" s="1026"/>
    </row>
    <row r="45" spans="1:9" s="49" customFormat="1" ht="15">
      <c r="A45" s="101">
        <v>37</v>
      </c>
      <c r="B45" s="1027" t="s">
        <v>529</v>
      </c>
      <c r="C45" s="1028"/>
      <c r="D45" s="1028"/>
      <c r="E45" s="1028"/>
      <c r="F45" s="1028"/>
      <c r="G45" s="145">
        <f>C7-G7</f>
        <v>-297544009</v>
      </c>
      <c r="H45" s="145">
        <f>D7-H7</f>
        <v>-1160553786</v>
      </c>
      <c r="I45" s="145">
        <f>SUM(G45:H45)</f>
        <v>-1458097795</v>
      </c>
    </row>
    <row r="46" spans="1:9" s="49" customFormat="1" ht="6" customHeight="1">
      <c r="A46" s="1016"/>
      <c r="B46" s="1017"/>
      <c r="C46" s="1017"/>
      <c r="D46" s="1017"/>
      <c r="E46" s="1017"/>
      <c r="F46" s="1017"/>
      <c r="G46" s="1017"/>
      <c r="H46" s="1017"/>
      <c r="I46" s="1018"/>
    </row>
    <row r="47" spans="1:9" s="66" customFormat="1" ht="28.5">
      <c r="A47" s="969">
        <v>38</v>
      </c>
      <c r="B47" s="62" t="s">
        <v>338</v>
      </c>
      <c r="C47" s="973">
        <f>SUM(C48:C49)</f>
        <v>305548289</v>
      </c>
      <c r="D47" s="973">
        <f>SUM(D48:D49)</f>
        <v>1169896934</v>
      </c>
      <c r="E47" s="973">
        <f>SUM(E48:E49)</f>
        <v>1475445223</v>
      </c>
      <c r="F47" s="65"/>
      <c r="G47" s="64"/>
      <c r="H47" s="64"/>
      <c r="I47" s="64"/>
    </row>
    <row r="48" spans="1:9" s="75" customFormat="1" ht="13.5">
      <c r="A48" s="98">
        <v>39</v>
      </c>
      <c r="B48" s="76" t="s">
        <v>706</v>
      </c>
      <c r="C48" s="70">
        <f>192181163+55+97110256+1537859+622539+11156145</f>
        <v>302608017</v>
      </c>
      <c r="D48" s="70">
        <f>1164857629-55+5039360</f>
        <v>1169896934</v>
      </c>
      <c r="E48" s="70">
        <f aca="true" t="shared" si="4" ref="E48:E54">SUM(C48:D48)</f>
        <v>1472504951</v>
      </c>
      <c r="F48" s="71"/>
      <c r="G48" s="70"/>
      <c r="H48" s="70"/>
      <c r="I48" s="70"/>
    </row>
    <row r="49" spans="1:9" s="75" customFormat="1" ht="13.5">
      <c r="A49" s="98">
        <v>40</v>
      </c>
      <c r="B49" s="76" t="s">
        <v>707</v>
      </c>
      <c r="C49" s="70">
        <v>2940272</v>
      </c>
      <c r="D49" s="70">
        <v>0</v>
      </c>
      <c r="E49" s="70">
        <f t="shared" si="4"/>
        <v>2940272</v>
      </c>
      <c r="F49" s="71"/>
      <c r="G49" s="70"/>
      <c r="H49" s="70"/>
      <c r="I49" s="70"/>
    </row>
    <row r="50" spans="1:9" s="66" customFormat="1" ht="28.5">
      <c r="A50" s="969">
        <v>41</v>
      </c>
      <c r="B50" s="62" t="s">
        <v>339</v>
      </c>
      <c r="C50" s="973">
        <f>SUM(C51:C53)</f>
        <v>19299537</v>
      </c>
      <c r="D50" s="973">
        <f>SUM(D51:D53)</f>
        <v>0</v>
      </c>
      <c r="E50" s="973">
        <f t="shared" si="4"/>
        <v>19299537</v>
      </c>
      <c r="F50" s="974" t="s">
        <v>340</v>
      </c>
      <c r="G50" s="973">
        <f>SUM(G51:G53)</f>
        <v>36646965</v>
      </c>
      <c r="H50" s="973">
        <f>SUM(H51:H53)</f>
        <v>0</v>
      </c>
      <c r="I50" s="973">
        <f>SUM(G50:H50)</f>
        <v>36646965</v>
      </c>
    </row>
    <row r="51" spans="1:9" s="75" customFormat="1" ht="13.5">
      <c r="A51" s="101">
        <v>42</v>
      </c>
      <c r="B51" s="74" t="s">
        <v>708</v>
      </c>
      <c r="C51" s="70">
        <v>0</v>
      </c>
      <c r="D51" s="70">
        <v>0</v>
      </c>
      <c r="E51" s="70">
        <f t="shared" si="4"/>
        <v>0</v>
      </c>
      <c r="F51" s="71" t="s">
        <v>710</v>
      </c>
      <c r="G51" s="70">
        <v>0</v>
      </c>
      <c r="H51" s="70">
        <v>0</v>
      </c>
      <c r="I51" s="70">
        <f>SUM(G51:H51)</f>
        <v>0</v>
      </c>
    </row>
    <row r="52" spans="1:9" s="77" customFormat="1" ht="12.75">
      <c r="A52" s="101">
        <v>43</v>
      </c>
      <c r="B52" s="74" t="s">
        <v>709</v>
      </c>
      <c r="C52" s="70">
        <v>0</v>
      </c>
      <c r="D52" s="70">
        <v>0</v>
      </c>
      <c r="E52" s="70">
        <f>SUM(C52:D52)</f>
        <v>0</v>
      </c>
      <c r="F52" s="71" t="s">
        <v>711</v>
      </c>
      <c r="G52" s="70">
        <v>0</v>
      </c>
      <c r="H52" s="70">
        <v>0</v>
      </c>
      <c r="I52" s="70">
        <f>SUM(G52:H52)</f>
        <v>0</v>
      </c>
    </row>
    <row r="53" spans="1:9" s="77" customFormat="1" ht="12.75">
      <c r="A53" s="101">
        <v>44</v>
      </c>
      <c r="B53" s="74" t="s">
        <v>702</v>
      </c>
      <c r="C53" s="70">
        <f>19299537</f>
        <v>19299537</v>
      </c>
      <c r="D53" s="70">
        <v>0</v>
      </c>
      <c r="E53" s="70">
        <f>SUM(C53:D53)</f>
        <v>19299537</v>
      </c>
      <c r="F53" s="74" t="s">
        <v>703</v>
      </c>
      <c r="G53" s="70">
        <f>17347428+19299537</f>
        <v>36646965</v>
      </c>
      <c r="H53" s="70">
        <v>0</v>
      </c>
      <c r="I53" s="70">
        <f>SUM(G53:H53)</f>
        <v>36646965</v>
      </c>
    </row>
    <row r="54" spans="1:9" s="68" customFormat="1" ht="15.75">
      <c r="A54" s="101">
        <v>45</v>
      </c>
      <c r="B54" s="67" t="s">
        <v>450</v>
      </c>
      <c r="C54" s="81">
        <f>SUM(C7,C47,C50)</f>
        <v>1374547705</v>
      </c>
      <c r="D54" s="81">
        <f>SUM(D7,D47,D50)</f>
        <v>1306422003</v>
      </c>
      <c r="E54" s="81">
        <f t="shared" si="4"/>
        <v>2680969708</v>
      </c>
      <c r="F54" s="67" t="s">
        <v>348</v>
      </c>
      <c r="G54" s="81">
        <f>SUM(G7,G50)</f>
        <v>1383890853</v>
      </c>
      <c r="H54" s="81">
        <f>SUM(H7,H50)</f>
        <v>1297078855</v>
      </c>
      <c r="I54" s="81">
        <f>SUM(G54:H54)</f>
        <v>2680969708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3"/>
  <sheetViews>
    <sheetView zoomScale="95" zoomScaleNormal="95" zoomScalePageLayoutView="0" workbookViewId="0" topLeftCell="C1">
      <pane xSplit="4" ySplit="8" topLeftCell="G42" activePane="bottomRight" state="frozen"/>
      <selection pane="topLeft" activeCell="C1" sqref="C1"/>
      <selection pane="topRight" activeCell="G1" sqref="G1"/>
      <selection pane="bottomLeft" activeCell="C9" sqref="C9"/>
      <selection pane="bottomRight" activeCell="T1" sqref="T1:AB1"/>
    </sheetView>
  </sheetViews>
  <sheetFormatPr defaultColWidth="8.875" defaultRowHeight="12.75"/>
  <cols>
    <col min="1" max="1" width="7.375" style="505" hidden="1" customWidth="1"/>
    <col min="2" max="2" width="6.375" style="506" hidden="1" customWidth="1"/>
    <col min="3" max="3" width="8.75390625" style="506" hidden="1" customWidth="1"/>
    <col min="4" max="4" width="4.625" style="507" bestFit="1" customWidth="1"/>
    <col min="5" max="5" width="30.375" style="505" customWidth="1"/>
    <col min="6" max="6" width="9.25390625" style="508" hidden="1" customWidth="1"/>
    <col min="7" max="7" width="11.375" style="505" bestFit="1" customWidth="1"/>
    <col min="8" max="8" width="11.125" style="505" customWidth="1"/>
    <col min="9" max="9" width="11.375" style="505" customWidth="1"/>
    <col min="10" max="10" width="9.125" style="505" customWidth="1"/>
    <col min="11" max="11" width="10.375" style="505" customWidth="1"/>
    <col min="12" max="12" width="11.625" style="505" customWidth="1"/>
    <col min="13" max="13" width="9.25390625" style="505" customWidth="1"/>
    <col min="14" max="14" width="7.75390625" style="505" customWidth="1"/>
    <col min="15" max="15" width="9.25390625" style="505" bestFit="1" customWidth="1"/>
    <col min="16" max="16" width="7.625" style="505" customWidth="1"/>
    <col min="17" max="17" width="10.375" style="505" hidden="1" customWidth="1"/>
    <col min="18" max="18" width="9.25390625" style="505" hidden="1" customWidth="1"/>
    <col min="19" max="19" width="10.00390625" style="505" hidden="1" customWidth="1"/>
    <col min="20" max="20" width="10.375" style="505" hidden="1" customWidth="1"/>
    <col min="21" max="21" width="10.375" style="505" bestFit="1" customWidth="1"/>
    <col min="22" max="22" width="9.125" style="505" customWidth="1"/>
    <col min="23" max="23" width="9.25390625" style="505" bestFit="1" customWidth="1"/>
    <col min="24" max="24" width="12.875" style="505" bestFit="1" customWidth="1"/>
    <col min="25" max="25" width="11.375" style="505" bestFit="1" customWidth="1"/>
    <col min="26" max="26" width="10.375" style="505" bestFit="1" customWidth="1"/>
    <col min="27" max="27" width="11.25390625" style="505" customWidth="1"/>
    <col min="28" max="28" width="13.875" style="562" customWidth="1"/>
    <col min="29" max="29" width="14.375" style="505" customWidth="1"/>
    <col min="30" max="30" width="9.875" style="505" bestFit="1" customWidth="1"/>
    <col min="31" max="16384" width="8.875" style="505" customWidth="1"/>
  </cols>
  <sheetData>
    <row r="1" spans="3:28" ht="15">
      <c r="C1" s="1030"/>
      <c r="M1" s="190"/>
      <c r="N1" s="190"/>
      <c r="O1" s="190"/>
      <c r="P1" s="190"/>
      <c r="Q1" s="190"/>
      <c r="R1" s="190"/>
      <c r="S1" s="190"/>
      <c r="T1" s="1031" t="s">
        <v>1180</v>
      </c>
      <c r="U1" s="1031"/>
      <c r="V1" s="1031"/>
      <c r="W1" s="1031"/>
      <c r="X1" s="1032"/>
      <c r="Y1" s="1032"/>
      <c r="Z1" s="1032"/>
      <c r="AA1" s="1032"/>
      <c r="AB1" s="1032"/>
    </row>
    <row r="2" spans="3:28" ht="15">
      <c r="C2" s="1030"/>
      <c r="M2" s="190"/>
      <c r="N2" s="190"/>
      <c r="O2" s="190"/>
      <c r="P2" s="190"/>
      <c r="Q2" s="190"/>
      <c r="R2" s="190"/>
      <c r="S2" s="190"/>
      <c r="T2" s="621"/>
      <c r="U2" s="621"/>
      <c r="V2" s="621"/>
      <c r="W2" s="621"/>
      <c r="X2" s="622"/>
      <c r="Y2" s="622"/>
      <c r="Z2" s="622"/>
      <c r="AA2" s="622"/>
      <c r="AB2" s="622"/>
    </row>
    <row r="3" spans="1:28" ht="15.75">
      <c r="A3" s="509"/>
      <c r="B3" s="510"/>
      <c r="C3" s="1030"/>
      <c r="D3" s="510"/>
      <c r="E3" s="1033" t="s">
        <v>879</v>
      </c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</row>
    <row r="4" ht="12.75" thickBot="1">
      <c r="AB4" s="511"/>
    </row>
    <row r="5" spans="2:28" s="512" customFormat="1" ht="12.75" customHeight="1">
      <c r="B5" s="513"/>
      <c r="C5" s="513"/>
      <c r="D5" s="1034" t="s">
        <v>445</v>
      </c>
      <c r="E5" s="1037" t="s">
        <v>366</v>
      </c>
      <c r="F5" s="1040" t="s">
        <v>373</v>
      </c>
      <c r="G5" s="1046" t="s">
        <v>374</v>
      </c>
      <c r="H5" s="1047"/>
      <c r="I5" s="1047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8"/>
      <c r="AB5" s="1049" t="s">
        <v>375</v>
      </c>
    </row>
    <row r="6" spans="2:28" s="514" customFormat="1" ht="12" customHeight="1">
      <c r="B6" s="515"/>
      <c r="C6" s="515"/>
      <c r="D6" s="1035"/>
      <c r="E6" s="1038"/>
      <c r="F6" s="1041"/>
      <c r="G6" s="516" t="s">
        <v>1</v>
      </c>
      <c r="H6" s="516" t="s">
        <v>3</v>
      </c>
      <c r="I6" s="516" t="s">
        <v>5</v>
      </c>
      <c r="J6" s="516" t="s">
        <v>8</v>
      </c>
      <c r="K6" s="1043" t="s">
        <v>657</v>
      </c>
      <c r="L6" s="1044"/>
      <c r="M6" s="1044"/>
      <c r="N6" s="1044"/>
      <c r="O6" s="1044"/>
      <c r="P6" s="1044"/>
      <c r="Q6" s="1044"/>
      <c r="R6" s="1044"/>
      <c r="S6" s="1044"/>
      <c r="T6" s="1045"/>
      <c r="U6" s="518"/>
      <c r="V6" s="518"/>
      <c r="W6" s="518"/>
      <c r="X6" s="518" t="s">
        <v>121</v>
      </c>
      <c r="Y6" s="518" t="s">
        <v>123</v>
      </c>
      <c r="Z6" s="516" t="s">
        <v>125</v>
      </c>
      <c r="AA6" s="516" t="s">
        <v>127</v>
      </c>
      <c r="AB6" s="1050"/>
    </row>
    <row r="7" spans="2:28" s="514" customFormat="1" ht="63.75" customHeight="1">
      <c r="B7" s="515"/>
      <c r="C7" s="515"/>
      <c r="D7" s="1035"/>
      <c r="E7" s="1039"/>
      <c r="F7" s="1042"/>
      <c r="G7" s="519" t="s">
        <v>347</v>
      </c>
      <c r="H7" s="519" t="s">
        <v>649</v>
      </c>
      <c r="I7" s="519" t="s">
        <v>368</v>
      </c>
      <c r="J7" s="519" t="s">
        <v>9</v>
      </c>
      <c r="K7" s="519" t="s">
        <v>144</v>
      </c>
      <c r="L7" s="519" t="s">
        <v>120</v>
      </c>
      <c r="M7" s="519" t="s">
        <v>880</v>
      </c>
      <c r="N7" s="519" t="s">
        <v>438</v>
      </c>
      <c r="O7" s="519" t="s">
        <v>1103</v>
      </c>
      <c r="P7" s="519" t="s">
        <v>473</v>
      </c>
      <c r="Q7" s="519" t="s">
        <v>1021</v>
      </c>
      <c r="R7" s="519" t="s">
        <v>1022</v>
      </c>
      <c r="S7" s="519" t="s">
        <v>1023</v>
      </c>
      <c r="T7" s="519" t="s">
        <v>1104</v>
      </c>
      <c r="U7" s="519" t="s">
        <v>1135</v>
      </c>
      <c r="V7" s="519" t="s">
        <v>1137</v>
      </c>
      <c r="W7" s="519" t="s">
        <v>1020</v>
      </c>
      <c r="X7" s="517" t="s">
        <v>345</v>
      </c>
      <c r="Y7" s="517" t="s">
        <v>378</v>
      </c>
      <c r="Z7" s="519" t="s">
        <v>656</v>
      </c>
      <c r="AA7" s="519" t="s">
        <v>126</v>
      </c>
      <c r="AB7" s="1051"/>
    </row>
    <row r="8" spans="2:28" s="520" customFormat="1" ht="12">
      <c r="B8" s="521"/>
      <c r="C8" s="521"/>
      <c r="D8" s="1036"/>
      <c r="E8" s="522" t="s">
        <v>439</v>
      </c>
      <c r="F8" s="523" t="s">
        <v>440</v>
      </c>
      <c r="G8" s="524" t="s">
        <v>440</v>
      </c>
      <c r="H8" s="524" t="s">
        <v>441</v>
      </c>
      <c r="I8" s="525" t="s">
        <v>442</v>
      </c>
      <c r="J8" s="522" t="s">
        <v>443</v>
      </c>
      <c r="K8" s="522" t="s">
        <v>444</v>
      </c>
      <c r="L8" s="525" t="s">
        <v>446</v>
      </c>
      <c r="M8" s="525" t="s">
        <v>447</v>
      </c>
      <c r="N8" s="525" t="s">
        <v>397</v>
      </c>
      <c r="O8" s="525" t="s">
        <v>398</v>
      </c>
      <c r="P8" s="524" t="s">
        <v>399</v>
      </c>
      <c r="Q8" s="525"/>
      <c r="R8" s="525"/>
      <c r="S8" s="524"/>
      <c r="T8" s="524" t="s">
        <v>400</v>
      </c>
      <c r="U8" s="524" t="s">
        <v>400</v>
      </c>
      <c r="V8" s="525" t="s">
        <v>401</v>
      </c>
      <c r="W8" s="525" t="s">
        <v>402</v>
      </c>
      <c r="X8" s="526" t="s">
        <v>403</v>
      </c>
      <c r="Y8" s="527" t="s">
        <v>404</v>
      </c>
      <c r="Z8" s="528" t="s">
        <v>912</v>
      </c>
      <c r="AA8" s="528" t="s">
        <v>1136</v>
      </c>
      <c r="AB8" s="528" t="s">
        <v>1140</v>
      </c>
    </row>
    <row r="9" spans="1:28" s="536" customFormat="1" ht="24">
      <c r="A9" s="505"/>
      <c r="B9" s="506"/>
      <c r="C9" s="506" t="s">
        <v>58</v>
      </c>
      <c r="D9" s="529" t="s">
        <v>405</v>
      </c>
      <c r="E9" s="530" t="s">
        <v>59</v>
      </c>
      <c r="F9" s="531"/>
      <c r="G9" s="532">
        <f>29452346+20900</f>
        <v>29473246</v>
      </c>
      <c r="H9" s="532">
        <f>7831519+4081-191</f>
        <v>7835409</v>
      </c>
      <c r="I9" s="533">
        <f>17230314+45000-2108200-413+754380+248400+23576063-367914+50000+6750+160013</f>
        <v>39594393</v>
      </c>
      <c r="J9" s="533">
        <v>0</v>
      </c>
      <c r="K9" s="533">
        <v>0</v>
      </c>
      <c r="L9" s="533">
        <f>23349000+100000</f>
        <v>23449000</v>
      </c>
      <c r="M9" s="533">
        <f>1155350-100000</f>
        <v>1055350</v>
      </c>
      <c r="N9" s="533">
        <v>0</v>
      </c>
      <c r="O9" s="533">
        <v>0</v>
      </c>
      <c r="P9" s="533">
        <v>0</v>
      </c>
      <c r="Q9" s="533"/>
      <c r="R9" s="533"/>
      <c r="S9" s="533"/>
      <c r="T9" s="533">
        <v>0</v>
      </c>
      <c r="U9" s="533">
        <v>0</v>
      </c>
      <c r="V9" s="533">
        <v>0</v>
      </c>
      <c r="W9" s="532">
        <v>0</v>
      </c>
      <c r="X9" s="532">
        <f>94270+367914+12700</f>
        <v>474884</v>
      </c>
      <c r="Y9" s="533">
        <v>0</v>
      </c>
      <c r="Z9" s="534">
        <v>0</v>
      </c>
      <c r="AA9" s="533">
        <v>0</v>
      </c>
      <c r="AB9" s="535">
        <f aca="true" t="shared" si="0" ref="AB9:AB57">SUM(G9:AA9)</f>
        <v>101882282</v>
      </c>
    </row>
    <row r="10" spans="1:28" s="536" customFormat="1" ht="23.25" customHeight="1">
      <c r="A10" s="505"/>
      <c r="B10" s="506"/>
      <c r="C10" s="506" t="s">
        <v>931</v>
      </c>
      <c r="D10" s="537" t="s">
        <v>406</v>
      </c>
      <c r="E10" s="530" t="s">
        <v>932</v>
      </c>
      <c r="F10" s="531"/>
      <c r="G10" s="532">
        <v>0</v>
      </c>
      <c r="H10" s="532">
        <v>0</v>
      </c>
      <c r="I10" s="533">
        <v>100000</v>
      </c>
      <c r="J10" s="533">
        <v>0</v>
      </c>
      <c r="K10" s="533">
        <v>0</v>
      </c>
      <c r="L10" s="533">
        <v>0</v>
      </c>
      <c r="M10" s="533">
        <v>0</v>
      </c>
      <c r="N10" s="533">
        <v>0</v>
      </c>
      <c r="O10" s="533">
        <v>0</v>
      </c>
      <c r="P10" s="533">
        <v>0</v>
      </c>
      <c r="Q10" s="534"/>
      <c r="R10" s="534"/>
      <c r="S10" s="533"/>
      <c r="T10" s="533">
        <v>0</v>
      </c>
      <c r="U10" s="533">
        <v>0</v>
      </c>
      <c r="V10" s="533">
        <v>0</v>
      </c>
      <c r="W10" s="532">
        <v>0</v>
      </c>
      <c r="X10" s="532">
        <v>0</v>
      </c>
      <c r="Y10" s="533">
        <v>0</v>
      </c>
      <c r="Z10" s="534">
        <v>0</v>
      </c>
      <c r="AA10" s="533">
        <v>0</v>
      </c>
      <c r="AB10" s="535">
        <f t="shared" si="0"/>
        <v>100000</v>
      </c>
    </row>
    <row r="11" spans="1:28" s="536" customFormat="1" ht="24">
      <c r="A11" s="505"/>
      <c r="B11" s="506" t="s">
        <v>52</v>
      </c>
      <c r="C11" s="506" t="s">
        <v>55</v>
      </c>
      <c r="D11" s="537" t="s">
        <v>407</v>
      </c>
      <c r="E11" s="538" t="s">
        <v>1111</v>
      </c>
      <c r="F11" s="539"/>
      <c r="G11" s="540">
        <v>0</v>
      </c>
      <c r="H11" s="540">
        <v>0</v>
      </c>
      <c r="I11" s="534">
        <f>34604863+8618030+88787+200000+40000-72900+80000</f>
        <v>43558780</v>
      </c>
      <c r="J11" s="534">
        <v>0</v>
      </c>
      <c r="K11" s="534">
        <v>0</v>
      </c>
      <c r="L11" s="534">
        <v>35126000</v>
      </c>
      <c r="M11" s="534">
        <v>0</v>
      </c>
      <c r="N11" s="534">
        <v>0</v>
      </c>
      <c r="O11" s="534">
        <v>0</v>
      </c>
      <c r="P11" s="534">
        <v>0</v>
      </c>
      <c r="Q11" s="534"/>
      <c r="R11" s="534"/>
      <c r="S11" s="534"/>
      <c r="T11" s="534">
        <v>0</v>
      </c>
      <c r="U11" s="534">
        <v>0</v>
      </c>
      <c r="V11" s="534">
        <v>0</v>
      </c>
      <c r="W11" s="532">
        <v>0</v>
      </c>
      <c r="X11" s="540">
        <f>686685231-23410448</f>
        <v>663274783</v>
      </c>
      <c r="Y11" s="534">
        <f>8350000+16000000</f>
        <v>24350000</v>
      </c>
      <c r="Z11" s="534">
        <f>449520+72900</f>
        <v>522420</v>
      </c>
      <c r="AA11" s="534">
        <v>0</v>
      </c>
      <c r="AB11" s="535">
        <f t="shared" si="0"/>
        <v>766831983</v>
      </c>
    </row>
    <row r="12" spans="1:28" s="536" customFormat="1" ht="24">
      <c r="A12" s="505"/>
      <c r="B12" s="506" t="s">
        <v>54</v>
      </c>
      <c r="C12" s="506" t="s">
        <v>60</v>
      </c>
      <c r="D12" s="537" t="s">
        <v>408</v>
      </c>
      <c r="E12" s="538" t="s">
        <v>384</v>
      </c>
      <c r="F12" s="539"/>
      <c r="G12" s="540">
        <f>303150+1500000+200000</f>
        <v>2003150</v>
      </c>
      <c r="H12" s="540">
        <f>156750+575000-200000</f>
        <v>531750</v>
      </c>
      <c r="I12" s="534">
        <f>363850+1875000+6019800</f>
        <v>8258650</v>
      </c>
      <c r="J12" s="534">
        <v>0</v>
      </c>
      <c r="K12" s="534">
        <v>0</v>
      </c>
      <c r="L12" s="534">
        <v>0</v>
      </c>
      <c r="M12" s="534">
        <v>0</v>
      </c>
      <c r="N12" s="534">
        <v>0</v>
      </c>
      <c r="O12" s="534">
        <v>0</v>
      </c>
      <c r="P12" s="534">
        <v>0</v>
      </c>
      <c r="Q12" s="534"/>
      <c r="R12" s="534"/>
      <c r="S12" s="534"/>
      <c r="T12" s="534">
        <v>0</v>
      </c>
      <c r="U12" s="534">
        <v>0</v>
      </c>
      <c r="V12" s="534">
        <v>0</v>
      </c>
      <c r="W12" s="532">
        <v>0</v>
      </c>
      <c r="X12" s="540">
        <v>0</v>
      </c>
      <c r="Y12" s="534">
        <v>0</v>
      </c>
      <c r="Z12" s="534">
        <v>0</v>
      </c>
      <c r="AA12" s="534">
        <v>0</v>
      </c>
      <c r="AB12" s="535">
        <f t="shared" si="0"/>
        <v>10793550</v>
      </c>
    </row>
    <row r="13" spans="1:30" s="536" customFormat="1" ht="24">
      <c r="A13" s="505"/>
      <c r="B13" s="506"/>
      <c r="C13" s="506" t="s">
        <v>1017</v>
      </c>
      <c r="D13" s="879" t="s">
        <v>409</v>
      </c>
      <c r="E13" s="538" t="s">
        <v>1016</v>
      </c>
      <c r="F13" s="539"/>
      <c r="G13" s="540">
        <v>0</v>
      </c>
      <c r="H13" s="540">
        <v>0</v>
      </c>
      <c r="I13" s="540">
        <v>0</v>
      </c>
      <c r="J13" s="540">
        <v>0</v>
      </c>
      <c r="K13" s="540">
        <f>46343378+586418+216600</f>
        <v>47146396</v>
      </c>
      <c r="L13" s="540">
        <v>0</v>
      </c>
      <c r="M13" s="540">
        <v>0</v>
      </c>
      <c r="N13" s="540">
        <v>0</v>
      </c>
      <c r="O13" s="540">
        <v>0</v>
      </c>
      <c r="P13" s="540">
        <v>0</v>
      </c>
      <c r="Q13" s="540"/>
      <c r="R13" s="540"/>
      <c r="S13" s="540"/>
      <c r="T13" s="540">
        <v>0</v>
      </c>
      <c r="U13" s="540">
        <v>0</v>
      </c>
      <c r="V13" s="540">
        <v>0</v>
      </c>
      <c r="W13" s="532">
        <v>0</v>
      </c>
      <c r="X13" s="540">
        <v>0</v>
      </c>
      <c r="Y13" s="534">
        <v>0</v>
      </c>
      <c r="Z13" s="534">
        <v>0</v>
      </c>
      <c r="AA13" s="534">
        <v>0</v>
      </c>
      <c r="AB13" s="535">
        <f t="shared" si="0"/>
        <v>47146396</v>
      </c>
      <c r="AD13" s="965"/>
    </row>
    <row r="14" spans="1:30" s="536" customFormat="1" ht="24" customHeight="1">
      <c r="A14" s="505"/>
      <c r="B14" s="506"/>
      <c r="C14" s="506" t="s">
        <v>1138</v>
      </c>
      <c r="D14" s="879" t="s">
        <v>410</v>
      </c>
      <c r="E14" s="538" t="s">
        <v>1139</v>
      </c>
      <c r="F14" s="539"/>
      <c r="G14" s="540">
        <v>0</v>
      </c>
      <c r="H14" s="540">
        <v>0</v>
      </c>
      <c r="I14" s="540">
        <v>0</v>
      </c>
      <c r="J14" s="540">
        <v>0</v>
      </c>
      <c r="K14" s="540">
        <v>0</v>
      </c>
      <c r="L14" s="540">
        <v>0</v>
      </c>
      <c r="M14" s="540">
        <v>65897</v>
      </c>
      <c r="N14" s="540">
        <v>0</v>
      </c>
      <c r="O14" s="540">
        <v>0</v>
      </c>
      <c r="P14" s="540">
        <v>0</v>
      </c>
      <c r="Q14" s="540"/>
      <c r="R14" s="540"/>
      <c r="S14" s="540"/>
      <c r="T14" s="540"/>
      <c r="U14" s="540">
        <v>0</v>
      </c>
      <c r="V14" s="540">
        <v>0</v>
      </c>
      <c r="W14" s="532">
        <v>0</v>
      </c>
      <c r="X14" s="540">
        <v>0</v>
      </c>
      <c r="Y14" s="534">
        <v>0</v>
      </c>
      <c r="Z14" s="534">
        <v>0</v>
      </c>
      <c r="AA14" s="534">
        <v>0</v>
      </c>
      <c r="AB14" s="535">
        <f t="shared" si="0"/>
        <v>65897</v>
      </c>
      <c r="AD14" s="965"/>
    </row>
    <row r="15" spans="1:28" s="536" customFormat="1" ht="23.25" customHeight="1">
      <c r="A15" s="505"/>
      <c r="B15" s="506"/>
      <c r="C15" s="506" t="s">
        <v>646</v>
      </c>
      <c r="D15" s="537" t="s">
        <v>411</v>
      </c>
      <c r="E15" s="538" t="s">
        <v>647</v>
      </c>
      <c r="F15" s="539"/>
      <c r="G15" s="540">
        <v>0</v>
      </c>
      <c r="H15" s="540">
        <v>0</v>
      </c>
      <c r="I15" s="540">
        <f>413+128723+17097</f>
        <v>146233</v>
      </c>
      <c r="J15" s="540">
        <v>0</v>
      </c>
      <c r="K15" s="540">
        <v>0</v>
      </c>
      <c r="L15" s="540">
        <v>0</v>
      </c>
      <c r="M15" s="540">
        <v>0</v>
      </c>
      <c r="N15" s="540">
        <v>0</v>
      </c>
      <c r="O15" s="540">
        <v>0</v>
      </c>
      <c r="P15" s="540">
        <v>0</v>
      </c>
      <c r="Q15" s="540"/>
      <c r="R15" s="540"/>
      <c r="S15" s="540"/>
      <c r="T15" s="540">
        <v>0</v>
      </c>
      <c r="U15" s="540">
        <v>0</v>
      </c>
      <c r="V15" s="540">
        <v>0</v>
      </c>
      <c r="W15" s="532">
        <v>0</v>
      </c>
      <c r="X15" s="540">
        <v>0</v>
      </c>
      <c r="Y15" s="534">
        <v>0</v>
      </c>
      <c r="Z15" s="534">
        <v>0</v>
      </c>
      <c r="AA15" s="534">
        <f>17347428+19299537</f>
        <v>36646965</v>
      </c>
      <c r="AB15" s="535">
        <f t="shared" si="0"/>
        <v>36793198</v>
      </c>
    </row>
    <row r="16" spans="1:28" s="536" customFormat="1" ht="24">
      <c r="A16" s="505">
        <v>20215</v>
      </c>
      <c r="B16" s="506" t="s">
        <v>55</v>
      </c>
      <c r="C16" s="506" t="s">
        <v>63</v>
      </c>
      <c r="D16" s="537" t="s">
        <v>412</v>
      </c>
      <c r="E16" s="538" t="s">
        <v>64</v>
      </c>
      <c r="F16" s="539"/>
      <c r="G16" s="540">
        <v>2861900</v>
      </c>
      <c r="H16" s="540">
        <v>558071</v>
      </c>
      <c r="I16" s="534">
        <v>228600</v>
      </c>
      <c r="J16" s="534">
        <v>0</v>
      </c>
      <c r="K16" s="534">
        <v>0</v>
      </c>
      <c r="L16" s="534">
        <f>16442529-34818+10858846-1618094</f>
        <v>25648463</v>
      </c>
      <c r="M16" s="534">
        <v>0</v>
      </c>
      <c r="N16" s="534">
        <v>0</v>
      </c>
      <c r="O16" s="534">
        <v>0</v>
      </c>
      <c r="P16" s="534">
        <v>0</v>
      </c>
      <c r="Q16" s="534"/>
      <c r="R16" s="534"/>
      <c r="S16" s="534"/>
      <c r="T16" s="534">
        <v>0</v>
      </c>
      <c r="U16" s="534">
        <v>0</v>
      </c>
      <c r="V16" s="534">
        <v>0</v>
      </c>
      <c r="W16" s="532">
        <v>0</v>
      </c>
      <c r="X16" s="540">
        <v>0</v>
      </c>
      <c r="Y16" s="534">
        <v>0</v>
      </c>
      <c r="Z16" s="534">
        <v>0</v>
      </c>
      <c r="AA16" s="534">
        <v>0</v>
      </c>
      <c r="AB16" s="535">
        <f t="shared" si="0"/>
        <v>29297034</v>
      </c>
    </row>
    <row r="17" spans="1:28" s="536" customFormat="1" ht="24">
      <c r="A17" s="505"/>
      <c r="B17" s="506"/>
      <c r="C17" s="506" t="s">
        <v>798</v>
      </c>
      <c r="D17" s="537" t="s">
        <v>413</v>
      </c>
      <c r="E17" s="538" t="s">
        <v>792</v>
      </c>
      <c r="F17" s="539"/>
      <c r="G17" s="540">
        <f>9367995+11080125+1059890</f>
        <v>21508010</v>
      </c>
      <c r="H17" s="540">
        <f>913380+1080288+92742+73817</f>
        <v>2160227</v>
      </c>
      <c r="I17" s="540">
        <f>351636+4347090+106606</f>
        <v>4805332</v>
      </c>
      <c r="J17" s="540">
        <v>0</v>
      </c>
      <c r="K17" s="540">
        <v>0</v>
      </c>
      <c r="L17" s="540">
        <v>0</v>
      </c>
      <c r="M17" s="540">
        <v>0</v>
      </c>
      <c r="N17" s="540">
        <v>0</v>
      </c>
      <c r="O17" s="540">
        <v>0</v>
      </c>
      <c r="P17" s="540">
        <v>0</v>
      </c>
      <c r="Q17" s="540"/>
      <c r="R17" s="540"/>
      <c r="S17" s="540"/>
      <c r="T17" s="540">
        <v>0</v>
      </c>
      <c r="U17" s="540">
        <v>0</v>
      </c>
      <c r="V17" s="540">
        <v>0</v>
      </c>
      <c r="W17" s="532">
        <v>0</v>
      </c>
      <c r="X17" s="540">
        <f>289870+138684-106606</f>
        <v>321948</v>
      </c>
      <c r="Y17" s="534">
        <v>0</v>
      </c>
      <c r="Z17" s="540">
        <v>0</v>
      </c>
      <c r="AA17" s="534">
        <v>0</v>
      </c>
      <c r="AB17" s="535">
        <f t="shared" si="0"/>
        <v>28795517</v>
      </c>
    </row>
    <row r="18" spans="1:28" s="536" customFormat="1" ht="21" customHeight="1">
      <c r="A18" s="505"/>
      <c r="B18" s="506"/>
      <c r="C18" s="506" t="s">
        <v>799</v>
      </c>
      <c r="D18" s="537" t="s">
        <v>414</v>
      </c>
      <c r="E18" s="538" t="s">
        <v>793</v>
      </c>
      <c r="F18" s="539"/>
      <c r="G18" s="540">
        <f>11117970+36347085+3179670</f>
        <v>50644725</v>
      </c>
      <c r="H18" s="540">
        <f>1084002+3543768+278226+53948</f>
        <v>4959944</v>
      </c>
      <c r="I18" s="540">
        <f>278994+2730247</f>
        <v>3009241</v>
      </c>
      <c r="J18" s="540">
        <v>0</v>
      </c>
      <c r="K18" s="540">
        <v>0</v>
      </c>
      <c r="L18" s="540">
        <v>0</v>
      </c>
      <c r="M18" s="540">
        <v>0</v>
      </c>
      <c r="N18" s="540">
        <v>0</v>
      </c>
      <c r="O18" s="540">
        <v>0</v>
      </c>
      <c r="P18" s="540">
        <v>0</v>
      </c>
      <c r="Q18" s="540"/>
      <c r="R18" s="540"/>
      <c r="S18" s="540"/>
      <c r="T18" s="540">
        <v>0</v>
      </c>
      <c r="U18" s="540">
        <v>0</v>
      </c>
      <c r="V18" s="540">
        <v>0</v>
      </c>
      <c r="W18" s="532">
        <v>0</v>
      </c>
      <c r="X18" s="540">
        <v>0</v>
      </c>
      <c r="Y18" s="534">
        <v>0</v>
      </c>
      <c r="Z18" s="540">
        <v>0</v>
      </c>
      <c r="AA18" s="534">
        <v>0</v>
      </c>
      <c r="AB18" s="535">
        <f t="shared" si="0"/>
        <v>58613910</v>
      </c>
    </row>
    <row r="19" spans="1:28" s="536" customFormat="1" ht="22.5" customHeight="1">
      <c r="A19" s="505"/>
      <c r="B19" s="506"/>
      <c r="C19" s="506" t="s">
        <v>648</v>
      </c>
      <c r="D19" s="537" t="s">
        <v>415</v>
      </c>
      <c r="E19" s="538" t="s">
        <v>1092</v>
      </c>
      <c r="F19" s="539"/>
      <c r="G19" s="540">
        <v>0</v>
      </c>
      <c r="H19" s="540">
        <v>0</v>
      </c>
      <c r="I19" s="540">
        <v>0</v>
      </c>
      <c r="J19" s="540">
        <v>0</v>
      </c>
      <c r="K19" s="540">
        <v>0</v>
      </c>
      <c r="L19" s="540">
        <v>0</v>
      </c>
      <c r="M19" s="540">
        <v>0</v>
      </c>
      <c r="N19" s="540">
        <v>0</v>
      </c>
      <c r="O19" s="540">
        <v>0</v>
      </c>
      <c r="P19" s="540">
        <v>0</v>
      </c>
      <c r="Q19" s="540"/>
      <c r="R19" s="540"/>
      <c r="S19" s="540"/>
      <c r="T19" s="540">
        <v>0</v>
      </c>
      <c r="U19" s="540">
        <v>0</v>
      </c>
      <c r="V19" s="540">
        <v>0</v>
      </c>
      <c r="W19" s="532">
        <v>0</v>
      </c>
      <c r="X19" s="540">
        <v>12223750</v>
      </c>
      <c r="Y19" s="534">
        <v>0</v>
      </c>
      <c r="Z19" s="540">
        <v>0</v>
      </c>
      <c r="AA19" s="534">
        <v>0</v>
      </c>
      <c r="AB19" s="535">
        <f t="shared" si="0"/>
        <v>12223750</v>
      </c>
    </row>
    <row r="20" spans="2:28" ht="24">
      <c r="B20" s="506" t="s">
        <v>58</v>
      </c>
      <c r="C20" s="506" t="s">
        <v>53</v>
      </c>
      <c r="D20" s="537" t="s">
        <v>416</v>
      </c>
      <c r="E20" s="538" t="s">
        <v>549</v>
      </c>
      <c r="F20" s="539"/>
      <c r="G20" s="540">
        <v>0</v>
      </c>
      <c r="H20" s="540">
        <v>0</v>
      </c>
      <c r="I20" s="534">
        <f>15352369+1-12662400</f>
        <v>2689970</v>
      </c>
      <c r="J20" s="534">
        <v>0</v>
      </c>
      <c r="K20" s="534">
        <v>0</v>
      </c>
      <c r="L20" s="534">
        <v>0</v>
      </c>
      <c r="M20" s="534">
        <v>0</v>
      </c>
      <c r="N20" s="534">
        <v>0</v>
      </c>
      <c r="O20" s="534">
        <v>0</v>
      </c>
      <c r="P20" s="534">
        <v>0</v>
      </c>
      <c r="Q20" s="540"/>
      <c r="R20" s="540"/>
      <c r="S20" s="534"/>
      <c r="T20" s="534">
        <v>0</v>
      </c>
      <c r="U20" s="534">
        <v>0</v>
      </c>
      <c r="V20" s="534">
        <v>0</v>
      </c>
      <c r="W20" s="532">
        <v>0</v>
      </c>
      <c r="X20" s="534">
        <v>0</v>
      </c>
      <c r="Y20" s="534">
        <v>12662400</v>
      </c>
      <c r="Z20" s="534">
        <v>0</v>
      </c>
      <c r="AA20" s="534">
        <v>0</v>
      </c>
      <c r="AB20" s="535">
        <f t="shared" si="0"/>
        <v>15352370</v>
      </c>
    </row>
    <row r="21" spans="2:28" ht="24">
      <c r="B21" s="506" t="s">
        <v>60</v>
      </c>
      <c r="C21" s="506" t="s">
        <v>65</v>
      </c>
      <c r="D21" s="537" t="s">
        <v>417</v>
      </c>
      <c r="E21" s="538" t="s">
        <v>66</v>
      </c>
      <c r="F21" s="539"/>
      <c r="G21" s="540">
        <v>0</v>
      </c>
      <c r="H21" s="540">
        <v>0</v>
      </c>
      <c r="I21" s="534">
        <f>1000000+1208400+40000+254000</f>
        <v>2502400</v>
      </c>
      <c r="J21" s="534">
        <v>0</v>
      </c>
      <c r="K21" s="534">
        <v>0</v>
      </c>
      <c r="L21" s="534">
        <v>0</v>
      </c>
      <c r="M21" s="534">
        <v>0</v>
      </c>
      <c r="N21" s="534">
        <v>0</v>
      </c>
      <c r="O21" s="534">
        <v>0</v>
      </c>
      <c r="P21" s="534">
        <v>0</v>
      </c>
      <c r="Q21" s="540"/>
      <c r="R21" s="540"/>
      <c r="S21" s="534"/>
      <c r="T21" s="534">
        <v>0</v>
      </c>
      <c r="U21" s="534">
        <v>0</v>
      </c>
      <c r="V21" s="534">
        <v>0</v>
      </c>
      <c r="W21" s="532">
        <v>0</v>
      </c>
      <c r="X21" s="534">
        <f>106961800+1077031</f>
        <v>108038831</v>
      </c>
      <c r="Y21" s="534">
        <v>0</v>
      </c>
      <c r="Z21" s="534">
        <v>0</v>
      </c>
      <c r="AA21" s="534">
        <v>0</v>
      </c>
      <c r="AB21" s="535">
        <f t="shared" si="0"/>
        <v>110541231</v>
      </c>
    </row>
    <row r="22" spans="3:28" ht="24">
      <c r="C22" s="506" t="s">
        <v>904</v>
      </c>
      <c r="D22" s="537" t="s">
        <v>418</v>
      </c>
      <c r="E22" s="538" t="s">
        <v>881</v>
      </c>
      <c r="F22" s="541"/>
      <c r="G22" s="540">
        <v>0</v>
      </c>
      <c r="H22" s="540">
        <v>0</v>
      </c>
      <c r="I22" s="534">
        <f>40000+196950</f>
        <v>236950</v>
      </c>
      <c r="J22" s="534">
        <v>0</v>
      </c>
      <c r="K22" s="534">
        <v>0</v>
      </c>
      <c r="L22" s="534">
        <v>0</v>
      </c>
      <c r="M22" s="534">
        <v>0</v>
      </c>
      <c r="N22" s="534">
        <v>0</v>
      </c>
      <c r="O22" s="534">
        <v>0</v>
      </c>
      <c r="P22" s="534">
        <v>0</v>
      </c>
      <c r="Q22" s="540"/>
      <c r="R22" s="540"/>
      <c r="S22" s="534"/>
      <c r="T22" s="534">
        <v>0</v>
      </c>
      <c r="U22" s="534">
        <v>0</v>
      </c>
      <c r="V22" s="534">
        <v>0</v>
      </c>
      <c r="W22" s="532">
        <v>0</v>
      </c>
      <c r="X22" s="534">
        <f>196302400-196950</f>
        <v>196105450</v>
      </c>
      <c r="Y22" s="534">
        <v>0</v>
      </c>
      <c r="Z22" s="534">
        <v>0</v>
      </c>
      <c r="AA22" s="534">
        <v>0</v>
      </c>
      <c r="AB22" s="535">
        <f t="shared" si="0"/>
        <v>196342400</v>
      </c>
    </row>
    <row r="23" spans="1:28" ht="24">
      <c r="A23" s="505">
        <v>751791</v>
      </c>
      <c r="B23" s="506" t="s">
        <v>61</v>
      </c>
      <c r="C23" s="506" t="s">
        <v>49</v>
      </c>
      <c r="D23" s="537" t="s">
        <v>419</v>
      </c>
      <c r="E23" s="538" t="s">
        <v>50</v>
      </c>
      <c r="F23" s="541"/>
      <c r="G23" s="534">
        <v>0</v>
      </c>
      <c r="H23" s="540">
        <v>0</v>
      </c>
      <c r="I23" s="534">
        <v>2827348</v>
      </c>
      <c r="J23" s="534">
        <v>0</v>
      </c>
      <c r="K23" s="534">
        <v>0</v>
      </c>
      <c r="L23" s="534">
        <v>0</v>
      </c>
      <c r="M23" s="534">
        <v>0</v>
      </c>
      <c r="N23" s="534">
        <v>0</v>
      </c>
      <c r="O23" s="534">
        <v>0</v>
      </c>
      <c r="P23" s="534">
        <v>0</v>
      </c>
      <c r="Q23" s="534"/>
      <c r="R23" s="534"/>
      <c r="S23" s="534"/>
      <c r="T23" s="534">
        <v>0</v>
      </c>
      <c r="U23" s="534">
        <v>0</v>
      </c>
      <c r="V23" s="534">
        <v>0</v>
      </c>
      <c r="W23" s="532">
        <v>0</v>
      </c>
      <c r="X23" s="534">
        <v>0</v>
      </c>
      <c r="Y23" s="534">
        <v>0</v>
      </c>
      <c r="Z23" s="534">
        <v>0</v>
      </c>
      <c r="AA23" s="534">
        <v>0</v>
      </c>
      <c r="AB23" s="535">
        <f t="shared" si="0"/>
        <v>2827348</v>
      </c>
    </row>
    <row r="24" spans="1:28" ht="24">
      <c r="A24" s="505">
        <v>751834</v>
      </c>
      <c r="B24" s="506" t="s">
        <v>62</v>
      </c>
      <c r="C24" s="506" t="s">
        <v>51</v>
      </c>
      <c r="D24" s="537" t="s">
        <v>420</v>
      </c>
      <c r="E24" s="538" t="s">
        <v>382</v>
      </c>
      <c r="F24" s="539"/>
      <c r="G24" s="540">
        <v>0</v>
      </c>
      <c r="H24" s="540">
        <v>0</v>
      </c>
      <c r="I24" s="534">
        <f>10052423+1</f>
        <v>10052424</v>
      </c>
      <c r="J24" s="534">
        <v>0</v>
      </c>
      <c r="K24" s="534">
        <v>0</v>
      </c>
      <c r="L24" s="534">
        <v>0</v>
      </c>
      <c r="M24" s="534">
        <v>0</v>
      </c>
      <c r="N24" s="534">
        <v>0</v>
      </c>
      <c r="O24" s="534">
        <v>0</v>
      </c>
      <c r="P24" s="534">
        <v>0</v>
      </c>
      <c r="Q24" s="534"/>
      <c r="R24" s="534"/>
      <c r="S24" s="534"/>
      <c r="T24" s="534">
        <v>0</v>
      </c>
      <c r="U24" s="534">
        <v>0</v>
      </c>
      <c r="V24" s="534">
        <v>0</v>
      </c>
      <c r="W24" s="532">
        <v>0</v>
      </c>
      <c r="X24" s="534">
        <v>0</v>
      </c>
      <c r="Y24" s="534">
        <v>0</v>
      </c>
      <c r="Z24" s="534">
        <v>0</v>
      </c>
      <c r="AA24" s="534">
        <v>0</v>
      </c>
      <c r="AB24" s="535">
        <f t="shared" si="0"/>
        <v>10052424</v>
      </c>
    </row>
    <row r="25" spans="3:28" ht="24">
      <c r="C25" s="506" t="s">
        <v>52</v>
      </c>
      <c r="D25" s="537" t="s">
        <v>421</v>
      </c>
      <c r="E25" s="538" t="s">
        <v>882</v>
      </c>
      <c r="F25" s="539"/>
      <c r="G25" s="540">
        <v>22000</v>
      </c>
      <c r="H25" s="540">
        <v>8956</v>
      </c>
      <c r="I25" s="534">
        <f>5410023+22660742</f>
        <v>28070765</v>
      </c>
      <c r="J25" s="534">
        <v>0</v>
      </c>
      <c r="K25" s="534">
        <v>0</v>
      </c>
      <c r="L25" s="534">
        <v>0</v>
      </c>
      <c r="M25" s="534">
        <v>0</v>
      </c>
      <c r="N25" s="534">
        <v>0</v>
      </c>
      <c r="O25" s="534">
        <v>0</v>
      </c>
      <c r="P25" s="534">
        <v>0</v>
      </c>
      <c r="Q25" s="534"/>
      <c r="R25" s="534"/>
      <c r="S25" s="534"/>
      <c r="T25" s="534">
        <v>0</v>
      </c>
      <c r="U25" s="534">
        <v>0</v>
      </c>
      <c r="V25" s="534">
        <v>0</v>
      </c>
      <c r="W25" s="532">
        <v>0</v>
      </c>
      <c r="X25" s="540">
        <v>0</v>
      </c>
      <c r="Y25" s="534">
        <v>0</v>
      </c>
      <c r="Z25" s="534">
        <f>5000000+5000000</f>
        <v>10000000</v>
      </c>
      <c r="AA25" s="534">
        <v>0</v>
      </c>
      <c r="AB25" s="535">
        <f t="shared" si="0"/>
        <v>38101721</v>
      </c>
    </row>
    <row r="26" spans="3:28" ht="24">
      <c r="C26" s="506" t="s">
        <v>905</v>
      </c>
      <c r="D26" s="537" t="s">
        <v>422</v>
      </c>
      <c r="E26" s="538" t="s">
        <v>883</v>
      </c>
      <c r="F26" s="539"/>
      <c r="G26" s="540">
        <v>0</v>
      </c>
      <c r="H26" s="540">
        <v>0</v>
      </c>
      <c r="I26" s="534">
        <f>40000</f>
        <v>40000</v>
      </c>
      <c r="J26" s="534">
        <v>0</v>
      </c>
      <c r="K26" s="534">
        <v>0</v>
      </c>
      <c r="L26" s="534">
        <v>0</v>
      </c>
      <c r="M26" s="534">
        <v>0</v>
      </c>
      <c r="N26" s="534">
        <v>0</v>
      </c>
      <c r="O26" s="534">
        <v>0</v>
      </c>
      <c r="P26" s="534">
        <v>0</v>
      </c>
      <c r="Q26" s="534"/>
      <c r="R26" s="534"/>
      <c r="S26" s="534"/>
      <c r="T26" s="534">
        <v>0</v>
      </c>
      <c r="U26" s="534">
        <v>0</v>
      </c>
      <c r="V26" s="534">
        <v>0</v>
      </c>
      <c r="W26" s="532">
        <v>0</v>
      </c>
      <c r="X26" s="540">
        <v>0</v>
      </c>
      <c r="Y26" s="534">
        <f>47550000+829010</f>
        <v>48379010</v>
      </c>
      <c r="Z26" s="534">
        <v>0</v>
      </c>
      <c r="AA26" s="534">
        <v>0</v>
      </c>
      <c r="AB26" s="535">
        <f t="shared" si="0"/>
        <v>48419010</v>
      </c>
    </row>
    <row r="27" spans="3:28" ht="24">
      <c r="C27" s="506" t="s">
        <v>1018</v>
      </c>
      <c r="D27" s="879" t="s">
        <v>423</v>
      </c>
      <c r="E27" s="538" t="s">
        <v>1019</v>
      </c>
      <c r="F27" s="539"/>
      <c r="G27" s="540">
        <v>812250</v>
      </c>
      <c r="H27" s="540">
        <v>158389</v>
      </c>
      <c r="I27" s="534">
        <v>296854</v>
      </c>
      <c r="J27" s="534">
        <v>0</v>
      </c>
      <c r="K27" s="534">
        <v>0</v>
      </c>
      <c r="L27" s="534">
        <v>0</v>
      </c>
      <c r="M27" s="534">
        <v>0</v>
      </c>
      <c r="N27" s="534">
        <v>0</v>
      </c>
      <c r="O27" s="534">
        <v>0</v>
      </c>
      <c r="P27" s="534">
        <v>0</v>
      </c>
      <c r="Q27" s="534"/>
      <c r="R27" s="534"/>
      <c r="S27" s="534"/>
      <c r="T27" s="534">
        <v>0</v>
      </c>
      <c r="U27" s="534">
        <v>0</v>
      </c>
      <c r="V27" s="534">
        <v>0</v>
      </c>
      <c r="W27" s="532">
        <v>0</v>
      </c>
      <c r="X27" s="540">
        <v>779383</v>
      </c>
      <c r="Y27" s="534">
        <v>0</v>
      </c>
      <c r="Z27" s="534">
        <v>0</v>
      </c>
      <c r="AA27" s="534">
        <v>0</v>
      </c>
      <c r="AB27" s="535">
        <f t="shared" si="0"/>
        <v>2046876</v>
      </c>
    </row>
    <row r="28" spans="3:28" ht="24">
      <c r="C28" s="506" t="s">
        <v>906</v>
      </c>
      <c r="D28" s="537" t="s">
        <v>424</v>
      </c>
      <c r="E28" s="538" t="s">
        <v>884</v>
      </c>
      <c r="F28" s="539"/>
      <c r="G28" s="540">
        <v>0</v>
      </c>
      <c r="H28" s="540">
        <v>0</v>
      </c>
      <c r="I28" s="534">
        <f>0+516434+40000</f>
        <v>556434</v>
      </c>
      <c r="J28" s="534">
        <v>0</v>
      </c>
      <c r="K28" s="534">
        <v>0</v>
      </c>
      <c r="L28" s="534">
        <v>0</v>
      </c>
      <c r="M28" s="534">
        <v>0</v>
      </c>
      <c r="N28" s="534">
        <v>0</v>
      </c>
      <c r="O28" s="534">
        <v>0</v>
      </c>
      <c r="P28" s="534">
        <v>0</v>
      </c>
      <c r="Q28" s="534"/>
      <c r="R28" s="534"/>
      <c r="S28" s="534"/>
      <c r="T28" s="534">
        <v>0</v>
      </c>
      <c r="U28" s="534">
        <v>0</v>
      </c>
      <c r="V28" s="534">
        <v>0</v>
      </c>
      <c r="W28" s="532">
        <v>0</v>
      </c>
      <c r="X28" s="540">
        <f>6911048+1000000</f>
        <v>7911048</v>
      </c>
      <c r="Y28" s="534">
        <v>104181382</v>
      </c>
      <c r="Z28" s="534">
        <v>0</v>
      </c>
      <c r="AA28" s="534">
        <v>0</v>
      </c>
      <c r="AB28" s="535">
        <f t="shared" si="0"/>
        <v>112648864</v>
      </c>
    </row>
    <row r="29" spans="3:28" ht="24" customHeight="1">
      <c r="C29" s="506" t="s">
        <v>794</v>
      </c>
      <c r="D29" s="537" t="s">
        <v>425</v>
      </c>
      <c r="E29" s="538" t="s">
        <v>795</v>
      </c>
      <c r="F29" s="539"/>
      <c r="G29" s="540">
        <v>0</v>
      </c>
      <c r="H29" s="534">
        <v>0</v>
      </c>
      <c r="I29" s="534">
        <f>377257</f>
        <v>377257</v>
      </c>
      <c r="J29" s="534">
        <v>0</v>
      </c>
      <c r="K29" s="534">
        <v>0</v>
      </c>
      <c r="L29" s="534">
        <v>0</v>
      </c>
      <c r="M29" s="534">
        <v>0</v>
      </c>
      <c r="N29" s="534">
        <v>0</v>
      </c>
      <c r="O29" s="534">
        <v>0</v>
      </c>
      <c r="P29" s="534">
        <v>0</v>
      </c>
      <c r="Q29" s="534"/>
      <c r="R29" s="534"/>
      <c r="S29" s="534"/>
      <c r="T29" s="534">
        <v>0</v>
      </c>
      <c r="U29" s="534">
        <v>0</v>
      </c>
      <c r="V29" s="534">
        <v>0</v>
      </c>
      <c r="W29" s="532">
        <v>0</v>
      </c>
      <c r="X29" s="540">
        <f>66600</f>
        <v>66600</v>
      </c>
      <c r="Y29" s="534">
        <f>6462419-4816519-1300460</f>
        <v>345440</v>
      </c>
      <c r="Z29" s="534">
        <v>0</v>
      </c>
      <c r="AA29" s="534">
        <v>0</v>
      </c>
      <c r="AB29" s="535">
        <f t="shared" si="0"/>
        <v>789297</v>
      </c>
    </row>
    <row r="30" spans="1:28" ht="24" customHeight="1">
      <c r="A30" s="505">
        <v>751966</v>
      </c>
      <c r="B30" s="506" t="s">
        <v>63</v>
      </c>
      <c r="C30" s="506" t="s">
        <v>61</v>
      </c>
      <c r="D30" s="537" t="s">
        <v>426</v>
      </c>
      <c r="E30" s="538" t="s">
        <v>385</v>
      </c>
      <c r="F30" s="539"/>
      <c r="G30" s="540">
        <v>0</v>
      </c>
      <c r="H30" s="534">
        <v>0</v>
      </c>
      <c r="I30" s="534">
        <f>23398480+2794000</f>
        <v>26192480</v>
      </c>
      <c r="J30" s="534">
        <v>0</v>
      </c>
      <c r="K30" s="534">
        <v>0</v>
      </c>
      <c r="L30" s="534">
        <v>0</v>
      </c>
      <c r="M30" s="534">
        <v>0</v>
      </c>
      <c r="N30" s="534">
        <v>0</v>
      </c>
      <c r="O30" s="534">
        <v>0</v>
      </c>
      <c r="P30" s="534">
        <v>0</v>
      </c>
      <c r="Q30" s="534"/>
      <c r="R30" s="534"/>
      <c r="S30" s="534"/>
      <c r="T30" s="534">
        <v>0</v>
      </c>
      <c r="U30" s="534">
        <v>0</v>
      </c>
      <c r="V30" s="534">
        <v>0</v>
      </c>
      <c r="W30" s="532">
        <v>0</v>
      </c>
      <c r="X30" s="540">
        <v>0</v>
      </c>
      <c r="Y30" s="534">
        <v>0</v>
      </c>
      <c r="Z30" s="534">
        <v>0</v>
      </c>
      <c r="AA30" s="534">
        <v>0</v>
      </c>
      <c r="AB30" s="535">
        <f t="shared" si="0"/>
        <v>26192480</v>
      </c>
    </row>
    <row r="31" spans="1:28" ht="24" customHeight="1">
      <c r="A31" s="505">
        <v>751999</v>
      </c>
      <c r="B31" s="506" t="s">
        <v>65</v>
      </c>
      <c r="C31" s="506" t="s">
        <v>57</v>
      </c>
      <c r="D31" s="537" t="s">
        <v>498</v>
      </c>
      <c r="E31" s="538" t="s">
        <v>1110</v>
      </c>
      <c r="F31" s="539"/>
      <c r="G31" s="540">
        <v>0</v>
      </c>
      <c r="H31" s="540">
        <v>0</v>
      </c>
      <c r="I31" s="534">
        <v>1700000</v>
      </c>
      <c r="J31" s="534">
        <v>0</v>
      </c>
      <c r="K31" s="534">
        <v>0</v>
      </c>
      <c r="L31" s="534">
        <v>28275000</v>
      </c>
      <c r="M31" s="534">
        <v>0</v>
      </c>
      <c r="N31" s="534">
        <v>0</v>
      </c>
      <c r="O31" s="534">
        <v>0</v>
      </c>
      <c r="P31" s="534">
        <v>0</v>
      </c>
      <c r="Q31" s="534"/>
      <c r="R31" s="534"/>
      <c r="S31" s="534"/>
      <c r="T31" s="534">
        <v>0</v>
      </c>
      <c r="U31" s="534">
        <v>0</v>
      </c>
      <c r="V31" s="534">
        <v>0</v>
      </c>
      <c r="W31" s="532">
        <v>0</v>
      </c>
      <c r="X31" s="540">
        <v>0</v>
      </c>
      <c r="Y31" s="534">
        <v>0</v>
      </c>
      <c r="Z31" s="534">
        <v>0</v>
      </c>
      <c r="AA31" s="534">
        <v>0</v>
      </c>
      <c r="AB31" s="535">
        <f t="shared" si="0"/>
        <v>29975000</v>
      </c>
    </row>
    <row r="32" spans="2:29" ht="24">
      <c r="B32" s="506" t="s">
        <v>67</v>
      </c>
      <c r="C32" s="506" t="s">
        <v>62</v>
      </c>
      <c r="D32" s="537" t="s">
        <v>499</v>
      </c>
      <c r="E32" s="538" t="s">
        <v>550</v>
      </c>
      <c r="F32" s="539"/>
      <c r="G32" s="540">
        <v>25000</v>
      </c>
      <c r="H32" s="540">
        <v>4388</v>
      </c>
      <c r="I32" s="534">
        <f>13998342+180000+220000+161080+90000</f>
        <v>14649422</v>
      </c>
      <c r="J32" s="534">
        <v>0</v>
      </c>
      <c r="K32" s="534">
        <v>0</v>
      </c>
      <c r="L32" s="534">
        <v>12677000</v>
      </c>
      <c r="M32" s="534">
        <v>0</v>
      </c>
      <c r="N32" s="534">
        <v>0</v>
      </c>
      <c r="O32" s="534">
        <v>0</v>
      </c>
      <c r="P32" s="534">
        <v>0</v>
      </c>
      <c r="Q32" s="534"/>
      <c r="R32" s="534"/>
      <c r="S32" s="534"/>
      <c r="T32" s="534">
        <v>0</v>
      </c>
      <c r="U32" s="534">
        <v>0</v>
      </c>
      <c r="V32" s="534">
        <v>0</v>
      </c>
      <c r="W32" s="532">
        <v>0</v>
      </c>
      <c r="X32" s="540">
        <f>6823000+87249</f>
        <v>6910249</v>
      </c>
      <c r="Y32" s="534">
        <f>152749</f>
        <v>152749</v>
      </c>
      <c r="Z32" s="534">
        <v>0</v>
      </c>
      <c r="AA32" s="534">
        <v>0</v>
      </c>
      <c r="AB32" s="535">
        <f t="shared" si="0"/>
        <v>34418808</v>
      </c>
      <c r="AC32" s="542"/>
    </row>
    <row r="33" spans="2:29" ht="24" customHeight="1">
      <c r="B33" s="506" t="s">
        <v>68</v>
      </c>
      <c r="C33" s="506" t="s">
        <v>68</v>
      </c>
      <c r="D33" s="1029" t="s">
        <v>1141</v>
      </c>
      <c r="E33" s="538" t="s">
        <v>387</v>
      </c>
      <c r="F33" s="543"/>
      <c r="G33" s="534">
        <v>0</v>
      </c>
      <c r="H33" s="534">
        <v>0</v>
      </c>
      <c r="I33" s="534">
        <v>360000</v>
      </c>
      <c r="J33" s="534">
        <v>0</v>
      </c>
      <c r="K33" s="534">
        <v>0</v>
      </c>
      <c r="L33" s="534">
        <v>0</v>
      </c>
      <c r="M33" s="534">
        <v>0</v>
      </c>
      <c r="N33" s="534">
        <v>0</v>
      </c>
      <c r="O33" s="534">
        <v>0</v>
      </c>
      <c r="P33" s="534">
        <v>0</v>
      </c>
      <c r="Q33" s="534"/>
      <c r="R33" s="534"/>
      <c r="S33" s="534"/>
      <c r="T33" s="534">
        <v>0</v>
      </c>
      <c r="U33" s="534">
        <v>0</v>
      </c>
      <c r="V33" s="534">
        <v>0</v>
      </c>
      <c r="W33" s="532">
        <v>0</v>
      </c>
      <c r="X33" s="534">
        <v>0</v>
      </c>
      <c r="Y33" s="534">
        <v>0</v>
      </c>
      <c r="Z33" s="534">
        <v>0</v>
      </c>
      <c r="AA33" s="534">
        <v>0</v>
      </c>
      <c r="AB33" s="535">
        <f t="shared" si="0"/>
        <v>360000</v>
      </c>
      <c r="AC33" s="542"/>
    </row>
    <row r="34" spans="2:30" ht="24" customHeight="1">
      <c r="B34" s="506" t="s">
        <v>69</v>
      </c>
      <c r="C34" s="506" t="s">
        <v>69</v>
      </c>
      <c r="D34" s="1029"/>
      <c r="E34" s="538" t="s">
        <v>388</v>
      </c>
      <c r="F34" s="543"/>
      <c r="G34" s="534">
        <f>2542580-2141000</f>
        <v>401580</v>
      </c>
      <c r="H34" s="534">
        <f>496881-417495</f>
        <v>79386</v>
      </c>
      <c r="I34" s="534">
        <f>7109080+29995230-12000000-4844-12976</f>
        <v>25086490</v>
      </c>
      <c r="J34" s="534">
        <v>0</v>
      </c>
      <c r="K34" s="534">
        <v>0</v>
      </c>
      <c r="L34" s="534">
        <v>0</v>
      </c>
      <c r="M34" s="534">
        <f>46053+4844-50897</f>
        <v>0</v>
      </c>
      <c r="N34" s="534">
        <v>0</v>
      </c>
      <c r="O34" s="534">
        <v>0</v>
      </c>
      <c r="P34" s="534">
        <v>0</v>
      </c>
      <c r="Q34" s="534"/>
      <c r="R34" s="534"/>
      <c r="S34" s="534"/>
      <c r="T34" s="534">
        <v>0</v>
      </c>
      <c r="U34" s="534">
        <v>0</v>
      </c>
      <c r="V34" s="534">
        <v>0</v>
      </c>
      <c r="W34" s="532">
        <v>0</v>
      </c>
      <c r="X34" s="534">
        <f>12976</f>
        <v>12976</v>
      </c>
      <c r="Y34" s="534">
        <v>0</v>
      </c>
      <c r="Z34" s="534">
        <v>0</v>
      </c>
      <c r="AA34" s="534">
        <v>0</v>
      </c>
      <c r="AB34" s="535">
        <f t="shared" si="0"/>
        <v>25580432</v>
      </c>
      <c r="AD34" s="505" t="s">
        <v>754</v>
      </c>
    </row>
    <row r="35" spans="1:30" ht="24" customHeight="1">
      <c r="A35" s="505">
        <v>851286</v>
      </c>
      <c r="B35" s="506" t="s">
        <v>70</v>
      </c>
      <c r="C35" s="506" t="s">
        <v>70</v>
      </c>
      <c r="D35" s="1029"/>
      <c r="E35" s="538" t="s">
        <v>389</v>
      </c>
      <c r="F35" s="543"/>
      <c r="G35" s="534">
        <v>0</v>
      </c>
      <c r="H35" s="534">
        <v>0</v>
      </c>
      <c r="I35" s="534">
        <f>120000+30000</f>
        <v>150000</v>
      </c>
      <c r="J35" s="534">
        <v>0</v>
      </c>
      <c r="K35" s="534">
        <v>0</v>
      </c>
      <c r="L35" s="534">
        <v>0</v>
      </c>
      <c r="M35" s="534">
        <v>0</v>
      </c>
      <c r="N35" s="534">
        <v>0</v>
      </c>
      <c r="O35" s="534">
        <v>0</v>
      </c>
      <c r="P35" s="534">
        <v>0</v>
      </c>
      <c r="Q35" s="534"/>
      <c r="R35" s="534"/>
      <c r="S35" s="534"/>
      <c r="T35" s="534">
        <v>0</v>
      </c>
      <c r="U35" s="534">
        <v>0</v>
      </c>
      <c r="V35" s="534">
        <v>0</v>
      </c>
      <c r="W35" s="532">
        <v>0</v>
      </c>
      <c r="X35" s="534">
        <v>0</v>
      </c>
      <c r="Y35" s="534">
        <v>0</v>
      </c>
      <c r="Z35" s="534">
        <v>0</v>
      </c>
      <c r="AA35" s="534">
        <v>0</v>
      </c>
      <c r="AB35" s="535">
        <f t="shared" si="0"/>
        <v>150000</v>
      </c>
      <c r="AD35" s="542">
        <f>SUM(AB33:AB36)</f>
        <v>53786718</v>
      </c>
    </row>
    <row r="36" spans="1:28" s="536" customFormat="1" ht="27" customHeight="1">
      <c r="A36" s="505">
        <v>851297</v>
      </c>
      <c r="B36" s="506" t="s">
        <v>71</v>
      </c>
      <c r="C36" s="506" t="s">
        <v>71</v>
      </c>
      <c r="D36" s="1029"/>
      <c r="E36" s="538" t="s">
        <v>1109</v>
      </c>
      <c r="F36" s="543"/>
      <c r="G36" s="534">
        <f>18065184+2193899+565720</f>
        <v>20824803</v>
      </c>
      <c r="H36" s="534">
        <f>3522630+383932+99001</f>
        <v>4005563</v>
      </c>
      <c r="I36" s="534">
        <f>2611920+254000-162937</f>
        <v>2702983</v>
      </c>
      <c r="J36" s="534">
        <v>0</v>
      </c>
      <c r="K36" s="534">
        <v>0</v>
      </c>
      <c r="L36" s="534">
        <v>0</v>
      </c>
      <c r="M36" s="534">
        <v>0</v>
      </c>
      <c r="N36" s="534">
        <v>0</v>
      </c>
      <c r="O36" s="534">
        <v>0</v>
      </c>
      <c r="P36" s="534">
        <v>0</v>
      </c>
      <c r="Q36" s="534"/>
      <c r="R36" s="534"/>
      <c r="S36" s="534"/>
      <c r="T36" s="534">
        <v>0</v>
      </c>
      <c r="U36" s="534">
        <v>0</v>
      </c>
      <c r="V36" s="534">
        <v>0</v>
      </c>
      <c r="W36" s="532">
        <v>0</v>
      </c>
      <c r="X36" s="534">
        <v>162937</v>
      </c>
      <c r="Y36" s="534">
        <v>0</v>
      </c>
      <c r="Z36" s="534">
        <v>0</v>
      </c>
      <c r="AA36" s="534">
        <v>0</v>
      </c>
      <c r="AB36" s="535">
        <f t="shared" si="0"/>
        <v>27696286</v>
      </c>
    </row>
    <row r="37" spans="1:28" s="536" customFormat="1" ht="24" customHeight="1">
      <c r="A37" s="505">
        <v>853322</v>
      </c>
      <c r="B37" s="506" t="s">
        <v>72</v>
      </c>
      <c r="C37" s="506" t="s">
        <v>80</v>
      </c>
      <c r="D37" s="537" t="s">
        <v>472</v>
      </c>
      <c r="E37" s="538" t="s">
        <v>81</v>
      </c>
      <c r="F37" s="544"/>
      <c r="G37" s="534">
        <v>0</v>
      </c>
      <c r="H37" s="534">
        <v>0</v>
      </c>
      <c r="I37" s="534">
        <v>0</v>
      </c>
      <c r="J37" s="534">
        <v>0</v>
      </c>
      <c r="K37" s="534">
        <v>0</v>
      </c>
      <c r="L37" s="534">
        <v>18713000</v>
      </c>
      <c r="M37" s="534">
        <v>0</v>
      </c>
      <c r="N37" s="534">
        <v>0</v>
      </c>
      <c r="O37" s="534">
        <v>0</v>
      </c>
      <c r="P37" s="534">
        <v>0</v>
      </c>
      <c r="Q37" s="534"/>
      <c r="R37" s="534"/>
      <c r="S37" s="534"/>
      <c r="T37" s="534">
        <v>0</v>
      </c>
      <c r="U37" s="534">
        <v>0</v>
      </c>
      <c r="V37" s="534">
        <v>0</v>
      </c>
      <c r="W37" s="532">
        <v>0</v>
      </c>
      <c r="X37" s="534">
        <f>764084</f>
        <v>764084</v>
      </c>
      <c r="Y37" s="534">
        <v>0</v>
      </c>
      <c r="Z37" s="534">
        <v>0</v>
      </c>
      <c r="AA37" s="534">
        <v>0</v>
      </c>
      <c r="AB37" s="535">
        <f t="shared" si="0"/>
        <v>19477084</v>
      </c>
    </row>
    <row r="38" spans="1:28" s="536" customFormat="1" ht="24" customHeight="1">
      <c r="A38" s="505"/>
      <c r="B38" s="506"/>
      <c r="C38" s="506" t="s">
        <v>54</v>
      </c>
      <c r="D38" s="537" t="s">
        <v>501</v>
      </c>
      <c r="E38" s="538" t="s">
        <v>1108</v>
      </c>
      <c r="F38" s="544"/>
      <c r="G38" s="534">
        <v>0</v>
      </c>
      <c r="H38" s="534">
        <v>0</v>
      </c>
      <c r="I38" s="534">
        <v>0</v>
      </c>
      <c r="J38" s="534">
        <v>0</v>
      </c>
      <c r="K38" s="534">
        <v>0</v>
      </c>
      <c r="L38" s="534">
        <v>0</v>
      </c>
      <c r="M38" s="534">
        <f>15000-15000</f>
        <v>0</v>
      </c>
      <c r="N38" s="534">
        <v>0</v>
      </c>
      <c r="O38" s="534">
        <v>0</v>
      </c>
      <c r="P38" s="534">
        <v>0</v>
      </c>
      <c r="Q38" s="534"/>
      <c r="R38" s="534"/>
      <c r="S38" s="534"/>
      <c r="T38" s="534">
        <v>0</v>
      </c>
      <c r="U38" s="534">
        <v>0</v>
      </c>
      <c r="V38" s="534">
        <v>0</v>
      </c>
      <c r="W38" s="532">
        <v>0</v>
      </c>
      <c r="X38" s="534">
        <v>0</v>
      </c>
      <c r="Y38" s="534">
        <v>0</v>
      </c>
      <c r="Z38" s="534">
        <v>0</v>
      </c>
      <c r="AA38" s="534">
        <v>0</v>
      </c>
      <c r="AB38" s="535">
        <f t="shared" si="0"/>
        <v>0</v>
      </c>
    </row>
    <row r="39" spans="1:28" s="536" customFormat="1" ht="24">
      <c r="A39" s="505"/>
      <c r="B39" s="506" t="s">
        <v>73</v>
      </c>
      <c r="C39" s="506" t="s">
        <v>548</v>
      </c>
      <c r="D39" s="537" t="s">
        <v>427</v>
      </c>
      <c r="E39" s="545" t="s">
        <v>617</v>
      </c>
      <c r="F39" s="544"/>
      <c r="G39" s="534">
        <v>80000</v>
      </c>
      <c r="H39" s="534">
        <v>41361</v>
      </c>
      <c r="I39" s="534">
        <v>1701950</v>
      </c>
      <c r="J39" s="534">
        <v>0</v>
      </c>
      <c r="K39" s="534">
        <v>0</v>
      </c>
      <c r="L39" s="534">
        <v>0</v>
      </c>
      <c r="M39" s="534">
        <v>0</v>
      </c>
      <c r="N39" s="534">
        <v>0</v>
      </c>
      <c r="O39" s="534">
        <v>0</v>
      </c>
      <c r="P39" s="534">
        <v>0</v>
      </c>
      <c r="Q39" s="534"/>
      <c r="R39" s="534"/>
      <c r="S39" s="534"/>
      <c r="T39" s="534">
        <v>0</v>
      </c>
      <c r="U39" s="534">
        <v>0</v>
      </c>
      <c r="V39" s="534">
        <v>0</v>
      </c>
      <c r="W39" s="532">
        <v>0</v>
      </c>
      <c r="X39" s="534">
        <v>700000</v>
      </c>
      <c r="Y39" s="534">
        <v>0</v>
      </c>
      <c r="Z39" s="534">
        <v>0</v>
      </c>
      <c r="AA39" s="534">
        <v>0</v>
      </c>
      <c r="AB39" s="535">
        <f t="shared" si="0"/>
        <v>2523311</v>
      </c>
    </row>
    <row r="40" spans="2:30" ht="20.25" customHeight="1">
      <c r="B40" s="506" t="s">
        <v>75</v>
      </c>
      <c r="C40" s="506" t="s">
        <v>907</v>
      </c>
      <c r="D40" s="547" t="s">
        <v>428</v>
      </c>
      <c r="E40" s="538" t="s">
        <v>83</v>
      </c>
      <c r="F40" s="543"/>
      <c r="G40" s="534">
        <v>0</v>
      </c>
      <c r="H40" s="534">
        <v>0</v>
      </c>
      <c r="I40" s="534">
        <v>49530</v>
      </c>
      <c r="J40" s="534">
        <v>0</v>
      </c>
      <c r="K40" s="546">
        <v>0</v>
      </c>
      <c r="L40" s="546">
        <v>0</v>
      </c>
      <c r="M40" s="534">
        <v>0</v>
      </c>
      <c r="N40" s="534">
        <v>0</v>
      </c>
      <c r="O40" s="534">
        <v>0</v>
      </c>
      <c r="P40" s="534">
        <v>0</v>
      </c>
      <c r="Q40" s="534"/>
      <c r="R40" s="534"/>
      <c r="S40" s="534"/>
      <c r="T40" s="534">
        <v>0</v>
      </c>
      <c r="U40" s="534">
        <v>0</v>
      </c>
      <c r="V40" s="534">
        <v>0</v>
      </c>
      <c r="W40" s="532">
        <v>0</v>
      </c>
      <c r="X40" s="534">
        <v>0</v>
      </c>
      <c r="Y40" s="534">
        <v>0</v>
      </c>
      <c r="Z40" s="534">
        <v>0</v>
      </c>
      <c r="AA40" s="534">
        <v>0</v>
      </c>
      <c r="AB40" s="535">
        <f t="shared" si="0"/>
        <v>49530</v>
      </c>
      <c r="AD40" s="542">
        <f>SUM(AB40:AB40)</f>
        <v>49530</v>
      </c>
    </row>
    <row r="41" spans="3:30" ht="27" customHeight="1">
      <c r="C41" s="506" t="s">
        <v>908</v>
      </c>
      <c r="D41" s="547" t="s">
        <v>429</v>
      </c>
      <c r="E41" s="538" t="s">
        <v>1107</v>
      </c>
      <c r="F41" s="543"/>
      <c r="G41" s="534">
        <v>8000000</v>
      </c>
      <c r="H41" s="534">
        <v>1578000</v>
      </c>
      <c r="I41" s="534">
        <f>10194715+55</f>
        <v>10194770</v>
      </c>
      <c r="J41" s="534">
        <v>0</v>
      </c>
      <c r="K41" s="546">
        <v>0</v>
      </c>
      <c r="L41" s="546">
        <v>0</v>
      </c>
      <c r="M41" s="534">
        <v>0</v>
      </c>
      <c r="N41" s="534">
        <v>0</v>
      </c>
      <c r="O41" s="534">
        <v>0</v>
      </c>
      <c r="P41" s="534">
        <v>0</v>
      </c>
      <c r="Q41" s="534"/>
      <c r="R41" s="534"/>
      <c r="S41" s="534"/>
      <c r="T41" s="534">
        <v>0</v>
      </c>
      <c r="U41" s="534">
        <v>0</v>
      </c>
      <c r="V41" s="534">
        <v>0</v>
      </c>
      <c r="W41" s="532">
        <v>0</v>
      </c>
      <c r="X41" s="534">
        <f>55-55+1578000</f>
        <v>1578000</v>
      </c>
      <c r="Y41" s="534">
        <v>0</v>
      </c>
      <c r="Z41" s="534">
        <v>0</v>
      </c>
      <c r="AA41" s="534">
        <v>0</v>
      </c>
      <c r="AB41" s="535">
        <f t="shared" si="0"/>
        <v>21350770</v>
      </c>
      <c r="AD41" s="542"/>
    </row>
    <row r="42" spans="3:30" ht="26.25" customHeight="1">
      <c r="C42" s="506" t="s">
        <v>67</v>
      </c>
      <c r="D42" s="547" t="s">
        <v>502</v>
      </c>
      <c r="E42" s="538" t="s">
        <v>885</v>
      </c>
      <c r="F42" s="543"/>
      <c r="G42" s="534">
        <v>0</v>
      </c>
      <c r="H42" s="534">
        <v>0</v>
      </c>
      <c r="I42" s="534">
        <v>0</v>
      </c>
      <c r="J42" s="534">
        <v>0</v>
      </c>
      <c r="K42" s="546">
        <v>0</v>
      </c>
      <c r="L42" s="546">
        <v>0</v>
      </c>
      <c r="M42" s="534">
        <v>0</v>
      </c>
      <c r="N42" s="534">
        <v>0</v>
      </c>
      <c r="O42" s="534">
        <v>0</v>
      </c>
      <c r="P42" s="534">
        <v>0</v>
      </c>
      <c r="Q42" s="534"/>
      <c r="R42" s="534"/>
      <c r="S42" s="534"/>
      <c r="T42" s="534">
        <v>0</v>
      </c>
      <c r="U42" s="534">
        <v>0</v>
      </c>
      <c r="V42" s="534">
        <v>0</v>
      </c>
      <c r="W42" s="532">
        <v>0</v>
      </c>
      <c r="X42" s="534">
        <v>228000</v>
      </c>
      <c r="Y42" s="534">
        <f>19957013+1600000+29999998-228000</f>
        <v>51329011</v>
      </c>
      <c r="Z42" s="534">
        <v>0</v>
      </c>
      <c r="AA42" s="534">
        <v>0</v>
      </c>
      <c r="AB42" s="535">
        <f t="shared" si="0"/>
        <v>51557011</v>
      </c>
      <c r="AD42" s="542"/>
    </row>
    <row r="43" spans="3:30" ht="24.75" customHeight="1">
      <c r="C43" s="506" t="s">
        <v>909</v>
      </c>
      <c r="D43" s="547" t="s">
        <v>430</v>
      </c>
      <c r="E43" s="538" t="s">
        <v>886</v>
      </c>
      <c r="F43" s="543"/>
      <c r="G43" s="534">
        <f>5977600-1725000+2350000</f>
        <v>6602600</v>
      </c>
      <c r="H43" s="534">
        <f>1165632-301875+131474</f>
        <v>995231</v>
      </c>
      <c r="I43" s="534">
        <f>4264649-917430</f>
        <v>3347219</v>
      </c>
      <c r="J43" s="534">
        <v>0</v>
      </c>
      <c r="K43" s="546">
        <v>0</v>
      </c>
      <c r="L43" s="546">
        <f>1564044-1564044</f>
        <v>0</v>
      </c>
      <c r="M43" s="534">
        <v>0</v>
      </c>
      <c r="N43" s="534">
        <v>0</v>
      </c>
      <c r="O43" s="534">
        <v>0</v>
      </c>
      <c r="P43" s="534">
        <v>0</v>
      </c>
      <c r="Q43" s="534"/>
      <c r="R43" s="534"/>
      <c r="S43" s="534"/>
      <c r="T43" s="534">
        <v>0</v>
      </c>
      <c r="U43" s="534">
        <v>0</v>
      </c>
      <c r="V43" s="534">
        <v>0</v>
      </c>
      <c r="W43" s="532">
        <v>0</v>
      </c>
      <c r="X43" s="534">
        <v>0</v>
      </c>
      <c r="Y43" s="534">
        <v>0</v>
      </c>
      <c r="Z43" s="534">
        <v>0</v>
      </c>
      <c r="AA43" s="534">
        <v>0</v>
      </c>
      <c r="AB43" s="535">
        <f t="shared" si="0"/>
        <v>10945050</v>
      </c>
      <c r="AD43" s="542"/>
    </row>
    <row r="44" spans="3:28" ht="24">
      <c r="C44" s="506" t="s">
        <v>653</v>
      </c>
      <c r="D44" s="547" t="s">
        <v>448</v>
      </c>
      <c r="E44" s="538" t="s">
        <v>654</v>
      </c>
      <c r="F44" s="543"/>
      <c r="G44" s="534">
        <v>2357500</v>
      </c>
      <c r="H44" s="534">
        <v>459713</v>
      </c>
      <c r="I44" s="534">
        <f>55206576+300000</f>
        <v>55506576</v>
      </c>
      <c r="J44" s="534">
        <v>0</v>
      </c>
      <c r="K44" s="534">
        <v>0</v>
      </c>
      <c r="L44" s="534">
        <v>0</v>
      </c>
      <c r="M44" s="534">
        <v>0</v>
      </c>
      <c r="N44" s="534">
        <v>0</v>
      </c>
      <c r="O44" s="534">
        <v>0</v>
      </c>
      <c r="P44" s="534">
        <v>0</v>
      </c>
      <c r="Q44" s="534"/>
      <c r="R44" s="534"/>
      <c r="S44" s="534"/>
      <c r="T44" s="534">
        <v>0</v>
      </c>
      <c r="U44" s="534">
        <v>0</v>
      </c>
      <c r="V44" s="534">
        <v>0</v>
      </c>
      <c r="W44" s="532">
        <v>0</v>
      </c>
      <c r="X44" s="534">
        <f>620000+14850</f>
        <v>634850</v>
      </c>
      <c r="Y44" s="534">
        <v>0</v>
      </c>
      <c r="Z44" s="534">
        <v>0</v>
      </c>
      <c r="AA44" s="534">
        <v>0</v>
      </c>
      <c r="AB44" s="535">
        <f t="shared" si="0"/>
        <v>58958639</v>
      </c>
    </row>
    <row r="45" spans="3:28" ht="24">
      <c r="C45" s="506" t="s">
        <v>614</v>
      </c>
      <c r="D45" s="547" t="s">
        <v>503</v>
      </c>
      <c r="E45" s="538" t="s">
        <v>615</v>
      </c>
      <c r="F45" s="543"/>
      <c r="G45" s="534">
        <v>0</v>
      </c>
      <c r="H45" s="534">
        <v>0</v>
      </c>
      <c r="I45" s="534">
        <v>117194</v>
      </c>
      <c r="J45" s="534">
        <v>0</v>
      </c>
      <c r="K45" s="546">
        <v>0</v>
      </c>
      <c r="L45" s="546">
        <v>0</v>
      </c>
      <c r="M45" s="534">
        <v>0</v>
      </c>
      <c r="N45" s="534">
        <v>0</v>
      </c>
      <c r="O45" s="534">
        <v>0</v>
      </c>
      <c r="P45" s="534">
        <v>0</v>
      </c>
      <c r="Q45" s="534"/>
      <c r="R45" s="534"/>
      <c r="S45" s="534"/>
      <c r="T45" s="534">
        <v>0</v>
      </c>
      <c r="U45" s="534">
        <v>0</v>
      </c>
      <c r="V45" s="534">
        <v>0</v>
      </c>
      <c r="W45" s="532">
        <v>0</v>
      </c>
      <c r="X45" s="534">
        <v>0</v>
      </c>
      <c r="Y45" s="534">
        <v>0</v>
      </c>
      <c r="Z45" s="534">
        <v>0</v>
      </c>
      <c r="AA45" s="534">
        <v>0</v>
      </c>
      <c r="AB45" s="535">
        <f t="shared" si="0"/>
        <v>117194</v>
      </c>
    </row>
    <row r="46" spans="2:28" ht="24" customHeight="1">
      <c r="B46" s="506" t="s">
        <v>76</v>
      </c>
      <c r="C46" s="506" t="s">
        <v>650</v>
      </c>
      <c r="D46" s="547" t="s">
        <v>504</v>
      </c>
      <c r="E46" s="538" t="s">
        <v>651</v>
      </c>
      <c r="F46" s="543"/>
      <c r="G46" s="534">
        <v>0</v>
      </c>
      <c r="H46" s="534">
        <v>0</v>
      </c>
      <c r="I46" s="534">
        <f>11500000+121160</f>
        <v>11621160</v>
      </c>
      <c r="J46" s="534">
        <v>0</v>
      </c>
      <c r="K46" s="534">
        <v>0</v>
      </c>
      <c r="L46" s="534">
        <v>22522000</v>
      </c>
      <c r="M46" s="534">
        <v>0</v>
      </c>
      <c r="N46" s="534">
        <v>0</v>
      </c>
      <c r="O46" s="534">
        <v>0</v>
      </c>
      <c r="P46" s="534">
        <v>0</v>
      </c>
      <c r="Q46" s="534"/>
      <c r="R46" s="534"/>
      <c r="S46" s="534"/>
      <c r="T46" s="534">
        <v>0</v>
      </c>
      <c r="U46" s="534">
        <v>0</v>
      </c>
      <c r="V46" s="534">
        <v>0</v>
      </c>
      <c r="W46" s="532">
        <v>0</v>
      </c>
      <c r="X46" s="534">
        <v>0</v>
      </c>
      <c r="Y46" s="534">
        <v>0</v>
      </c>
      <c r="Z46" s="534">
        <v>0</v>
      </c>
      <c r="AA46" s="534">
        <v>0</v>
      </c>
      <c r="AB46" s="535">
        <f t="shared" si="0"/>
        <v>34143160</v>
      </c>
    </row>
    <row r="47" spans="3:28" ht="24" customHeight="1">
      <c r="C47" s="506" t="s">
        <v>910</v>
      </c>
      <c r="D47" s="547" t="s">
        <v>896</v>
      </c>
      <c r="E47" s="538" t="s">
        <v>887</v>
      </c>
      <c r="F47" s="543"/>
      <c r="G47" s="534">
        <v>0</v>
      </c>
      <c r="H47" s="534">
        <v>0</v>
      </c>
      <c r="I47" s="534">
        <v>0</v>
      </c>
      <c r="J47" s="534">
        <v>0</v>
      </c>
      <c r="K47" s="534">
        <v>0</v>
      </c>
      <c r="L47" s="534">
        <v>4417000</v>
      </c>
      <c r="M47" s="534">
        <v>0</v>
      </c>
      <c r="N47" s="534">
        <v>0</v>
      </c>
      <c r="O47" s="534">
        <v>0</v>
      </c>
      <c r="P47" s="534">
        <v>0</v>
      </c>
      <c r="Q47" s="534">
        <v>0</v>
      </c>
      <c r="R47" s="534">
        <v>0</v>
      </c>
      <c r="S47" s="534"/>
      <c r="T47" s="534">
        <v>0</v>
      </c>
      <c r="U47" s="534">
        <v>0</v>
      </c>
      <c r="V47" s="534">
        <v>0</v>
      </c>
      <c r="W47" s="532">
        <v>0</v>
      </c>
      <c r="X47" s="534">
        <v>0</v>
      </c>
      <c r="Y47" s="534">
        <v>0</v>
      </c>
      <c r="Z47" s="534">
        <v>0</v>
      </c>
      <c r="AA47" s="534">
        <v>0</v>
      </c>
      <c r="AB47" s="535">
        <f t="shared" si="0"/>
        <v>4417000</v>
      </c>
    </row>
    <row r="48" spans="3:28" ht="24">
      <c r="C48" s="506" t="s">
        <v>655</v>
      </c>
      <c r="D48" s="547" t="s">
        <v>897</v>
      </c>
      <c r="E48" s="538" t="s">
        <v>1106</v>
      </c>
      <c r="F48" s="543"/>
      <c r="G48" s="534">
        <v>0</v>
      </c>
      <c r="H48" s="534">
        <v>0</v>
      </c>
      <c r="I48" s="534">
        <f>1778400-27360-429210</f>
        <v>1321830</v>
      </c>
      <c r="J48" s="534">
        <v>0</v>
      </c>
      <c r="K48" s="534">
        <v>0</v>
      </c>
      <c r="L48" s="534">
        <v>0</v>
      </c>
      <c r="M48" s="534">
        <v>0</v>
      </c>
      <c r="N48" s="534">
        <v>0</v>
      </c>
      <c r="O48" s="534">
        <v>0</v>
      </c>
      <c r="P48" s="534">
        <v>0</v>
      </c>
      <c r="Q48" s="534"/>
      <c r="R48" s="534"/>
      <c r="S48" s="534"/>
      <c r="T48" s="534">
        <v>0</v>
      </c>
      <c r="U48" s="534">
        <v>0</v>
      </c>
      <c r="V48" s="534">
        <v>0</v>
      </c>
      <c r="W48" s="532">
        <v>0</v>
      </c>
      <c r="X48" s="534">
        <v>0</v>
      </c>
      <c r="Y48" s="534">
        <v>0</v>
      </c>
      <c r="Z48" s="534">
        <v>0</v>
      </c>
      <c r="AA48" s="534">
        <v>0</v>
      </c>
      <c r="AB48" s="535">
        <f t="shared" si="0"/>
        <v>1321830</v>
      </c>
    </row>
    <row r="49" spans="3:30" ht="24" customHeight="1">
      <c r="C49" s="506" t="s">
        <v>76</v>
      </c>
      <c r="D49" s="547" t="s">
        <v>898</v>
      </c>
      <c r="E49" s="538" t="s">
        <v>796</v>
      </c>
      <c r="F49" s="543"/>
      <c r="G49" s="534">
        <f>34334865-338000</f>
        <v>33996865</v>
      </c>
      <c r="H49" s="534">
        <f>6704834-65910</f>
        <v>6638924</v>
      </c>
      <c r="I49" s="534">
        <v>17188297</v>
      </c>
      <c r="J49" s="534">
        <v>0</v>
      </c>
      <c r="K49" s="534">
        <v>0</v>
      </c>
      <c r="L49" s="534">
        <v>0</v>
      </c>
      <c r="M49" s="534">
        <v>0</v>
      </c>
      <c r="N49" s="534">
        <v>0</v>
      </c>
      <c r="O49" s="534">
        <v>0</v>
      </c>
      <c r="P49" s="534">
        <v>0</v>
      </c>
      <c r="Q49" s="534"/>
      <c r="R49" s="534"/>
      <c r="S49" s="534"/>
      <c r="T49" s="534">
        <v>0</v>
      </c>
      <c r="U49" s="534">
        <v>0</v>
      </c>
      <c r="V49" s="534">
        <v>0</v>
      </c>
      <c r="W49" s="532">
        <v>0</v>
      </c>
      <c r="X49" s="534">
        <v>11411381</v>
      </c>
      <c r="Y49" s="534">
        <v>0</v>
      </c>
      <c r="Z49" s="534">
        <v>0</v>
      </c>
      <c r="AA49" s="534">
        <v>0</v>
      </c>
      <c r="AB49" s="535">
        <f t="shared" si="0"/>
        <v>69235467</v>
      </c>
      <c r="AD49" s="542">
        <f>SUM(AB46:AB52)</f>
        <v>123651797</v>
      </c>
    </row>
    <row r="50" spans="3:30" ht="24" customHeight="1">
      <c r="C50" s="506" t="s">
        <v>889</v>
      </c>
      <c r="D50" s="547" t="s">
        <v>899</v>
      </c>
      <c r="E50" s="538" t="s">
        <v>888</v>
      </c>
      <c r="F50" s="543"/>
      <c r="G50" s="534">
        <v>0</v>
      </c>
      <c r="H50" s="534">
        <v>0</v>
      </c>
      <c r="I50" s="534">
        <v>0</v>
      </c>
      <c r="J50" s="534">
        <v>0</v>
      </c>
      <c r="K50" s="534">
        <v>0</v>
      </c>
      <c r="L50" s="534">
        <v>3047000</v>
      </c>
      <c r="M50" s="534">
        <v>0</v>
      </c>
      <c r="N50" s="534">
        <v>0</v>
      </c>
      <c r="O50" s="534">
        <v>0</v>
      </c>
      <c r="P50" s="534">
        <v>0</v>
      </c>
      <c r="Q50" s="534"/>
      <c r="R50" s="534"/>
      <c r="S50" s="534"/>
      <c r="T50" s="534">
        <v>0</v>
      </c>
      <c r="U50" s="534">
        <v>0</v>
      </c>
      <c r="V50" s="534">
        <v>0</v>
      </c>
      <c r="W50" s="532">
        <v>0</v>
      </c>
      <c r="X50" s="534">
        <v>0</v>
      </c>
      <c r="Y50" s="534">
        <v>0</v>
      </c>
      <c r="Z50" s="534">
        <v>0</v>
      </c>
      <c r="AA50" s="534">
        <v>0</v>
      </c>
      <c r="AB50" s="535">
        <f t="shared" si="0"/>
        <v>3047000</v>
      </c>
      <c r="AD50" s="542"/>
    </row>
    <row r="51" spans="3:30" ht="24" customHeight="1">
      <c r="C51" s="506" t="s">
        <v>890</v>
      </c>
      <c r="D51" s="547" t="s">
        <v>900</v>
      </c>
      <c r="E51" s="538" t="s">
        <v>891</v>
      </c>
      <c r="F51" s="543"/>
      <c r="G51" s="534">
        <v>0</v>
      </c>
      <c r="H51" s="534">
        <v>0</v>
      </c>
      <c r="I51" s="534">
        <v>0</v>
      </c>
      <c r="J51" s="534">
        <v>0</v>
      </c>
      <c r="K51" s="534">
        <v>0</v>
      </c>
      <c r="L51" s="534">
        <v>4852000</v>
      </c>
      <c r="M51" s="534">
        <v>0</v>
      </c>
      <c r="N51" s="534">
        <v>0</v>
      </c>
      <c r="O51" s="534">
        <v>0</v>
      </c>
      <c r="P51" s="534">
        <v>0</v>
      </c>
      <c r="Q51" s="534"/>
      <c r="R51" s="534"/>
      <c r="S51" s="534"/>
      <c r="T51" s="534">
        <v>0</v>
      </c>
      <c r="U51" s="534">
        <v>0</v>
      </c>
      <c r="V51" s="534">
        <v>0</v>
      </c>
      <c r="W51" s="532">
        <v>0</v>
      </c>
      <c r="X51" s="534">
        <v>0</v>
      </c>
      <c r="Y51" s="534">
        <v>0</v>
      </c>
      <c r="Z51" s="534">
        <v>0</v>
      </c>
      <c r="AA51" s="534">
        <v>0</v>
      </c>
      <c r="AB51" s="535">
        <f t="shared" si="0"/>
        <v>4852000</v>
      </c>
      <c r="AD51" s="542"/>
    </row>
    <row r="52" spans="2:28" ht="24" customHeight="1">
      <c r="B52" s="506" t="s">
        <v>78</v>
      </c>
      <c r="C52" s="506" t="s">
        <v>74</v>
      </c>
      <c r="D52" s="547" t="s">
        <v>901</v>
      </c>
      <c r="E52" s="538" t="s">
        <v>468</v>
      </c>
      <c r="F52" s="543"/>
      <c r="G52" s="534">
        <v>0</v>
      </c>
      <c r="H52" s="534">
        <v>0</v>
      </c>
      <c r="I52" s="534">
        <f>2600000+75340</f>
        <v>2675340</v>
      </c>
      <c r="J52" s="534">
        <v>0</v>
      </c>
      <c r="K52" s="534">
        <v>0</v>
      </c>
      <c r="L52" s="534">
        <v>3960000</v>
      </c>
      <c r="M52" s="534">
        <v>0</v>
      </c>
      <c r="N52" s="534">
        <v>0</v>
      </c>
      <c r="O52" s="534">
        <v>0</v>
      </c>
      <c r="P52" s="534">
        <v>0</v>
      </c>
      <c r="Q52" s="534"/>
      <c r="R52" s="534"/>
      <c r="S52" s="534"/>
      <c r="T52" s="534">
        <v>0</v>
      </c>
      <c r="U52" s="534">
        <v>0</v>
      </c>
      <c r="V52" s="534">
        <v>0</v>
      </c>
      <c r="W52" s="532">
        <v>0</v>
      </c>
      <c r="X52" s="534">
        <v>0</v>
      </c>
      <c r="Y52" s="534">
        <v>0</v>
      </c>
      <c r="Z52" s="534">
        <v>0</v>
      </c>
      <c r="AA52" s="534">
        <v>0</v>
      </c>
      <c r="AB52" s="535">
        <f t="shared" si="0"/>
        <v>6635340</v>
      </c>
    </row>
    <row r="53" spans="3:28" ht="24" customHeight="1">
      <c r="C53" s="506" t="s">
        <v>892</v>
      </c>
      <c r="D53" s="547" t="s">
        <v>902</v>
      </c>
      <c r="E53" s="538" t="s">
        <v>893</v>
      </c>
      <c r="F53" s="543"/>
      <c r="G53" s="534">
        <v>0</v>
      </c>
      <c r="H53" s="534">
        <v>0</v>
      </c>
      <c r="I53" s="534">
        <v>0</v>
      </c>
      <c r="J53" s="534">
        <v>0</v>
      </c>
      <c r="K53" s="534">
        <v>0</v>
      </c>
      <c r="L53" s="534">
        <v>2738000</v>
      </c>
      <c r="M53" s="534">
        <v>0</v>
      </c>
      <c r="N53" s="534">
        <v>0</v>
      </c>
      <c r="O53" s="534">
        <v>0</v>
      </c>
      <c r="P53" s="534">
        <v>0</v>
      </c>
      <c r="Q53" s="534"/>
      <c r="R53" s="534"/>
      <c r="S53" s="534"/>
      <c r="T53" s="534">
        <v>0</v>
      </c>
      <c r="U53" s="534">
        <v>0</v>
      </c>
      <c r="V53" s="534">
        <v>0</v>
      </c>
      <c r="W53" s="532">
        <v>0</v>
      </c>
      <c r="X53" s="534">
        <v>0</v>
      </c>
      <c r="Y53" s="534">
        <v>0</v>
      </c>
      <c r="Z53" s="548">
        <v>0</v>
      </c>
      <c r="AA53" s="534">
        <v>0</v>
      </c>
      <c r="AB53" s="535">
        <f t="shared" si="0"/>
        <v>2738000</v>
      </c>
    </row>
    <row r="54" spans="2:28" ht="24">
      <c r="B54" s="506" t="s">
        <v>80</v>
      </c>
      <c r="C54" s="506" t="s">
        <v>77</v>
      </c>
      <c r="D54" s="547" t="s">
        <v>903</v>
      </c>
      <c r="E54" s="538" t="s">
        <v>652</v>
      </c>
      <c r="F54" s="543"/>
      <c r="G54" s="534">
        <v>0</v>
      </c>
      <c r="H54" s="534">
        <v>0</v>
      </c>
      <c r="I54" s="534">
        <f>8004000</f>
        <v>8004000</v>
      </c>
      <c r="J54" s="534">
        <v>3804900</v>
      </c>
      <c r="K54" s="534">
        <v>0</v>
      </c>
      <c r="L54" s="534">
        <v>0</v>
      </c>
      <c r="M54" s="534">
        <v>0</v>
      </c>
      <c r="N54" s="534">
        <v>0</v>
      </c>
      <c r="O54" s="534">
        <v>0</v>
      </c>
      <c r="P54" s="534">
        <v>0</v>
      </c>
      <c r="Q54" s="534"/>
      <c r="R54" s="534"/>
      <c r="S54" s="534"/>
      <c r="T54" s="534">
        <v>0</v>
      </c>
      <c r="U54" s="534">
        <v>0</v>
      </c>
      <c r="V54" s="534">
        <v>0</v>
      </c>
      <c r="W54" s="532">
        <v>0</v>
      </c>
      <c r="X54" s="534">
        <v>0</v>
      </c>
      <c r="Y54" s="534">
        <v>0</v>
      </c>
      <c r="Z54" s="548">
        <v>0</v>
      </c>
      <c r="AA54" s="534">
        <v>0</v>
      </c>
      <c r="AB54" s="535">
        <f t="shared" si="0"/>
        <v>11808900</v>
      </c>
    </row>
    <row r="55" spans="3:28" ht="24">
      <c r="C55" s="506" t="s">
        <v>894</v>
      </c>
      <c r="D55" s="547" t="s">
        <v>933</v>
      </c>
      <c r="E55" s="538" t="s">
        <v>895</v>
      </c>
      <c r="F55" s="549"/>
      <c r="G55" s="550">
        <f>14179532-2666710+24000000+801000</f>
        <v>36313822</v>
      </c>
      <c r="H55" s="548">
        <f>3124662-520008+4680000</f>
        <v>7284654</v>
      </c>
      <c r="I55" s="548">
        <f>58739847-28680000-2006767</f>
        <v>28053080</v>
      </c>
      <c r="J55" s="548">
        <v>0</v>
      </c>
      <c r="K55" s="548">
        <v>0</v>
      </c>
      <c r="L55" s="548">
        <v>0</v>
      </c>
      <c r="M55" s="548">
        <v>0</v>
      </c>
      <c r="N55" s="548">
        <v>0</v>
      </c>
      <c r="O55" s="548">
        <v>0</v>
      </c>
      <c r="P55" s="548">
        <v>0</v>
      </c>
      <c r="Q55" s="534"/>
      <c r="R55" s="534"/>
      <c r="S55" s="548"/>
      <c r="T55" s="548">
        <v>0</v>
      </c>
      <c r="U55" s="548">
        <v>0</v>
      </c>
      <c r="V55" s="548">
        <v>0</v>
      </c>
      <c r="W55" s="532">
        <v>0</v>
      </c>
      <c r="X55" s="548">
        <f>4797591+1205767</f>
        <v>6003358</v>
      </c>
      <c r="Y55" s="548">
        <v>522139</v>
      </c>
      <c r="Z55" s="550">
        <v>0</v>
      </c>
      <c r="AA55" s="548">
        <v>0</v>
      </c>
      <c r="AB55" s="535">
        <f t="shared" si="0"/>
        <v>78177053</v>
      </c>
    </row>
    <row r="56" spans="4:28" ht="24">
      <c r="D56" s="547" t="s">
        <v>939</v>
      </c>
      <c r="E56" s="538" t="s">
        <v>386</v>
      </c>
      <c r="F56" s="549"/>
      <c r="G56" s="550">
        <v>0</v>
      </c>
      <c r="H56" s="548">
        <v>0</v>
      </c>
      <c r="I56" s="548">
        <v>0</v>
      </c>
      <c r="J56" s="548">
        <v>0</v>
      </c>
      <c r="K56" s="548">
        <v>0</v>
      </c>
      <c r="L56" s="548">
        <v>0</v>
      </c>
      <c r="M56" s="548">
        <v>0</v>
      </c>
      <c r="N56" s="548">
        <f>1000000-180000-220000-512000</f>
        <v>88000</v>
      </c>
      <c r="O56" s="548">
        <f>350000+926229</f>
        <v>1276229</v>
      </c>
      <c r="P56" s="548">
        <f>1618094-603515-397884-11225-196500-182700-226270</f>
        <v>0</v>
      </c>
      <c r="Q56" s="548">
        <f>59808757-7679730-553029-602617-1492000-8045171-7935168-4176519-28922-20906574-217072-8171955</f>
        <v>0</v>
      </c>
      <c r="R56" s="548">
        <f>9782649-6323709-100000-3358940</f>
        <v>0</v>
      </c>
      <c r="S56" s="548">
        <v>0</v>
      </c>
      <c r="T56" s="548">
        <f>200000-200000</f>
        <v>0</v>
      </c>
      <c r="U56" s="548">
        <v>15055017</v>
      </c>
      <c r="V56" s="548">
        <v>4841519</v>
      </c>
      <c r="W56" s="548">
        <v>2036448</v>
      </c>
      <c r="X56" s="548">
        <v>0</v>
      </c>
      <c r="Y56" s="548">
        <v>0</v>
      </c>
      <c r="Z56" s="550">
        <v>0</v>
      </c>
      <c r="AA56" s="548">
        <v>0</v>
      </c>
      <c r="AB56" s="535">
        <f t="shared" si="0"/>
        <v>23297213</v>
      </c>
    </row>
    <row r="57" spans="3:28" ht="24">
      <c r="C57" s="506" t="s">
        <v>797</v>
      </c>
      <c r="D57" s="547" t="s">
        <v>940</v>
      </c>
      <c r="E57" s="552" t="s">
        <v>1105</v>
      </c>
      <c r="F57" s="549"/>
      <c r="G57" s="550">
        <v>0</v>
      </c>
      <c r="H57" s="550">
        <v>0</v>
      </c>
      <c r="I57" s="550">
        <f>8285000-165615+874745-160013</f>
        <v>8834117</v>
      </c>
      <c r="J57" s="550">
        <v>0</v>
      </c>
      <c r="K57" s="550">
        <v>0</v>
      </c>
      <c r="L57" s="550">
        <v>0</v>
      </c>
      <c r="M57" s="550">
        <v>0</v>
      </c>
      <c r="N57" s="550">
        <v>0</v>
      </c>
      <c r="O57" s="550">
        <v>0</v>
      </c>
      <c r="P57" s="550">
        <v>0</v>
      </c>
      <c r="Q57" s="548"/>
      <c r="R57" s="548"/>
      <c r="S57" s="550"/>
      <c r="T57" s="550">
        <v>0</v>
      </c>
      <c r="U57" s="550">
        <v>0</v>
      </c>
      <c r="V57" s="550">
        <v>0</v>
      </c>
      <c r="W57" s="550">
        <v>0</v>
      </c>
      <c r="X57" s="550">
        <v>0</v>
      </c>
      <c r="Y57" s="550">
        <v>0</v>
      </c>
      <c r="Z57" s="550">
        <v>0</v>
      </c>
      <c r="AA57" s="550">
        <v>0</v>
      </c>
      <c r="AB57" s="535">
        <f t="shared" si="0"/>
        <v>8834117</v>
      </c>
    </row>
    <row r="58" spans="1:31" s="553" customFormat="1" ht="24" customHeight="1" thickBot="1">
      <c r="A58" s="553">
        <v>999997</v>
      </c>
      <c r="B58" s="551"/>
      <c r="D58" s="554" t="s">
        <v>1028</v>
      </c>
      <c r="E58" s="555" t="s">
        <v>370</v>
      </c>
      <c r="F58" s="556">
        <f>SUM(F9:F54)</f>
        <v>0</v>
      </c>
      <c r="G58" s="557">
        <f aca="true" t="shared" si="1" ref="G58:AB58">SUM(G9:G57)</f>
        <v>215927451</v>
      </c>
      <c r="H58" s="557">
        <f t="shared" si="1"/>
        <v>37299966</v>
      </c>
      <c r="I58" s="557">
        <f t="shared" si="1"/>
        <v>366808069</v>
      </c>
      <c r="J58" s="557">
        <f t="shared" si="1"/>
        <v>3804900</v>
      </c>
      <c r="K58" s="557">
        <f t="shared" si="1"/>
        <v>47146396</v>
      </c>
      <c r="L58" s="557">
        <f t="shared" si="1"/>
        <v>185424463</v>
      </c>
      <c r="M58" s="557">
        <f t="shared" si="1"/>
        <v>1121247</v>
      </c>
      <c r="N58" s="557">
        <f t="shared" si="1"/>
        <v>88000</v>
      </c>
      <c r="O58" s="557">
        <f t="shared" si="1"/>
        <v>1276229</v>
      </c>
      <c r="P58" s="557">
        <f t="shared" si="1"/>
        <v>0</v>
      </c>
      <c r="Q58" s="557">
        <f t="shared" si="1"/>
        <v>0</v>
      </c>
      <c r="R58" s="557">
        <f t="shared" si="1"/>
        <v>0</v>
      </c>
      <c r="S58" s="557">
        <f t="shared" si="1"/>
        <v>0</v>
      </c>
      <c r="T58" s="557">
        <f t="shared" si="1"/>
        <v>0</v>
      </c>
      <c r="U58" s="557">
        <f>SUM(U9:U57)</f>
        <v>15055017</v>
      </c>
      <c r="V58" s="557">
        <f>SUM(V9:V57)</f>
        <v>4841519</v>
      </c>
      <c r="W58" s="557">
        <f t="shared" si="1"/>
        <v>2036448</v>
      </c>
      <c r="X58" s="557">
        <f t="shared" si="1"/>
        <v>1017602512</v>
      </c>
      <c r="Y58" s="557">
        <f t="shared" si="1"/>
        <v>241922131</v>
      </c>
      <c r="Z58" s="557">
        <f t="shared" si="1"/>
        <v>10522420</v>
      </c>
      <c r="AA58" s="557">
        <f t="shared" si="1"/>
        <v>36646965</v>
      </c>
      <c r="AB58" s="558">
        <f t="shared" si="1"/>
        <v>2187523733</v>
      </c>
      <c r="AC58" s="559">
        <f>SUM(G58:AA58)</f>
        <v>2187523733</v>
      </c>
      <c r="AD58" s="560"/>
      <c r="AE58" s="560"/>
    </row>
    <row r="59" spans="5:18" ht="12.75">
      <c r="E59" s="561"/>
      <c r="Q59" s="559"/>
      <c r="R59" s="559"/>
    </row>
    <row r="63" ht="12">
      <c r="F63" s="563"/>
    </row>
  </sheetData>
  <sheetProtection/>
  <mergeCells count="10">
    <mergeCell ref="D33:D36"/>
    <mergeCell ref="C1:C3"/>
    <mergeCell ref="T1:AB1"/>
    <mergeCell ref="E3:AB3"/>
    <mergeCell ref="D5:D8"/>
    <mergeCell ref="E5:E7"/>
    <mergeCell ref="F5:F7"/>
    <mergeCell ref="K6:T6"/>
    <mergeCell ref="G5:AA5"/>
    <mergeCell ref="AB5:AB7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workbookViewId="0" topLeftCell="C1">
      <pane ySplit="9" topLeftCell="A28" activePane="bottomLeft" state="frozen"/>
      <selection pane="topLeft" activeCell="C1" sqref="C1"/>
      <selection pane="bottomLeft" activeCell="L3" sqref="L3"/>
    </sheetView>
  </sheetViews>
  <sheetFormatPr defaultColWidth="8.875" defaultRowHeight="12.75"/>
  <cols>
    <col min="1" max="1" width="1.37890625" style="505" hidden="1" customWidth="1"/>
    <col min="2" max="2" width="8.00390625" style="506" hidden="1" customWidth="1"/>
    <col min="3" max="3" width="8.00390625" style="506" customWidth="1"/>
    <col min="4" max="4" width="7.625" style="507" customWidth="1"/>
    <col min="5" max="5" width="38.00390625" style="505" customWidth="1"/>
    <col min="6" max="8" width="13.125" style="505" customWidth="1"/>
    <col min="9" max="9" width="13.125" style="505" hidden="1" customWidth="1"/>
    <col min="10" max="10" width="13.125" style="505" customWidth="1"/>
    <col min="11" max="11" width="11.75390625" style="505" customWidth="1"/>
    <col min="12" max="12" width="16.75390625" style="562" customWidth="1"/>
    <col min="13" max="13" width="14.375" style="505" customWidth="1"/>
    <col min="14" max="14" width="9.875" style="505" bestFit="1" customWidth="1"/>
    <col min="15" max="16384" width="8.875" style="505" customWidth="1"/>
  </cols>
  <sheetData>
    <row r="1" spans="3:12" ht="15">
      <c r="C1" s="1030"/>
      <c r="J1" s="1032"/>
      <c r="K1" s="1032"/>
      <c r="L1" s="1032"/>
    </row>
    <row r="2" spans="3:15" ht="15">
      <c r="C2" s="1030"/>
      <c r="H2" s="621"/>
      <c r="I2" s="621"/>
      <c r="J2" s="621"/>
      <c r="K2" s="622"/>
      <c r="L2" s="621" t="s">
        <v>1181</v>
      </c>
      <c r="M2" s="622"/>
      <c r="N2" s="622"/>
      <c r="O2" s="622"/>
    </row>
    <row r="3" spans="3:15" ht="15">
      <c r="C3" s="1030"/>
      <c r="H3" s="621"/>
      <c r="I3" s="621"/>
      <c r="J3" s="621"/>
      <c r="K3" s="622"/>
      <c r="L3" s="621"/>
      <c r="M3" s="622"/>
      <c r="N3" s="622"/>
      <c r="O3" s="622"/>
    </row>
    <row r="4" spans="1:12" s="738" customFormat="1" ht="39" customHeight="1">
      <c r="A4" s="509"/>
      <c r="B4" s="510"/>
      <c r="C4" s="1030"/>
      <c r="D4" s="1052" t="s">
        <v>872</v>
      </c>
      <c r="E4" s="1052"/>
      <c r="F4" s="1052"/>
      <c r="G4" s="1052"/>
      <c r="H4" s="1052"/>
      <c r="I4" s="1052"/>
      <c r="J4" s="1052"/>
      <c r="K4" s="1052"/>
      <c r="L4" s="1052"/>
    </row>
    <row r="5" ht="12">
      <c r="L5" s="739"/>
    </row>
    <row r="6" ht="12.75" thickBot="1">
      <c r="L6" s="511"/>
    </row>
    <row r="7" spans="2:12" s="512" customFormat="1" ht="12.75" customHeight="1">
      <c r="B7" s="513"/>
      <c r="C7" s="513"/>
      <c r="D7" s="1034" t="s">
        <v>445</v>
      </c>
      <c r="E7" s="1037" t="s">
        <v>366</v>
      </c>
      <c r="F7" s="1046" t="s">
        <v>374</v>
      </c>
      <c r="G7" s="1047"/>
      <c r="H7" s="1047"/>
      <c r="I7" s="1047"/>
      <c r="J7" s="1047"/>
      <c r="K7" s="1047"/>
      <c r="L7" s="1049" t="s">
        <v>375</v>
      </c>
    </row>
    <row r="8" spans="2:12" s="514" customFormat="1" ht="12" customHeight="1">
      <c r="B8" s="515"/>
      <c r="C8" s="515"/>
      <c r="D8" s="1035"/>
      <c r="E8" s="1038"/>
      <c r="F8" s="516" t="s">
        <v>1</v>
      </c>
      <c r="G8" s="516" t="s">
        <v>3</v>
      </c>
      <c r="H8" s="516" t="s">
        <v>5</v>
      </c>
      <c r="I8" s="518" t="s">
        <v>8</v>
      </c>
      <c r="J8" s="518" t="s">
        <v>121</v>
      </c>
      <c r="K8" s="518" t="s">
        <v>123</v>
      </c>
      <c r="L8" s="1050"/>
    </row>
    <row r="9" spans="2:12" s="514" customFormat="1" ht="63.75" customHeight="1" thickBot="1">
      <c r="B9" s="515"/>
      <c r="C9" s="515"/>
      <c r="D9" s="1035"/>
      <c r="E9" s="1039"/>
      <c r="F9" s="519" t="s">
        <v>347</v>
      </c>
      <c r="G9" s="519" t="s">
        <v>649</v>
      </c>
      <c r="H9" s="519" t="s">
        <v>368</v>
      </c>
      <c r="I9" s="517" t="s">
        <v>9</v>
      </c>
      <c r="J9" s="517" t="s">
        <v>345</v>
      </c>
      <c r="K9" s="517" t="s">
        <v>378</v>
      </c>
      <c r="L9" s="1051"/>
    </row>
    <row r="10" spans="1:12" s="536" customFormat="1" ht="23.25" customHeight="1">
      <c r="A10" s="505"/>
      <c r="B10" s="506"/>
      <c r="C10" s="506"/>
      <c r="D10" s="1053" t="s">
        <v>377</v>
      </c>
      <c r="E10" s="1054"/>
      <c r="F10" s="1054"/>
      <c r="G10" s="1054"/>
      <c r="H10" s="1054"/>
      <c r="I10" s="1054"/>
      <c r="J10" s="1054"/>
      <c r="K10" s="1054"/>
      <c r="L10" s="1055"/>
    </row>
    <row r="11" spans="2:12" s="630" customFormat="1" ht="34.5" customHeight="1">
      <c r="B11" s="631" t="s">
        <v>52</v>
      </c>
      <c r="C11" s="631"/>
      <c r="D11" s="632" t="s">
        <v>405</v>
      </c>
      <c r="E11" s="633" t="s">
        <v>832</v>
      </c>
      <c r="F11" s="635">
        <f>102608557+200000-3000-5700000</f>
        <v>97105557</v>
      </c>
      <c r="G11" s="635">
        <f>20644903+39000-2105-1860949</f>
        <v>18820849</v>
      </c>
      <c r="H11" s="635">
        <f>22317134+1537859+2108200-829010-6147-5118075-41339-3</f>
        <v>19968619</v>
      </c>
      <c r="I11" s="635">
        <v>0</v>
      </c>
      <c r="J11" s="635">
        <f>1016000+226270</f>
        <v>1242270</v>
      </c>
      <c r="K11" s="635">
        <v>41339</v>
      </c>
      <c r="L11" s="636">
        <f aca="true" t="shared" si="0" ref="L11:L17">SUM(F11:K11)</f>
        <v>137178634</v>
      </c>
    </row>
    <row r="12" spans="2:12" s="630" customFormat="1" ht="30.75" customHeight="1">
      <c r="B12" s="631" t="s">
        <v>53</v>
      </c>
      <c r="C12" s="631"/>
      <c r="D12" s="632" t="s">
        <v>406</v>
      </c>
      <c r="E12" s="633" t="s">
        <v>828</v>
      </c>
      <c r="F12" s="635">
        <v>0</v>
      </c>
      <c r="G12" s="635">
        <v>0</v>
      </c>
      <c r="H12" s="635">
        <v>0</v>
      </c>
      <c r="I12" s="635">
        <f>7430000-7430000</f>
        <v>0</v>
      </c>
      <c r="J12" s="635">
        <v>0</v>
      </c>
      <c r="K12" s="635">
        <v>0</v>
      </c>
      <c r="L12" s="636">
        <f t="shared" si="0"/>
        <v>0</v>
      </c>
    </row>
    <row r="13" spans="2:12" s="630" customFormat="1" ht="30.75" customHeight="1">
      <c r="B13" s="631"/>
      <c r="C13" s="631"/>
      <c r="D13" s="637" t="s">
        <v>407</v>
      </c>
      <c r="E13" s="638" t="s">
        <v>1024</v>
      </c>
      <c r="F13" s="639">
        <f>1420400+47334+2742</f>
        <v>1470476</v>
      </c>
      <c r="G13" s="639">
        <f>293204-8955</f>
        <v>284249</v>
      </c>
      <c r="H13" s="639">
        <f>247115+6213+6147</f>
        <v>259475</v>
      </c>
      <c r="I13" s="639">
        <v>0</v>
      </c>
      <c r="J13" s="639">
        <v>0</v>
      </c>
      <c r="K13" s="639">
        <v>0</v>
      </c>
      <c r="L13" s="636">
        <f t="shared" si="0"/>
        <v>2014200</v>
      </c>
    </row>
    <row r="14" spans="2:12" s="630" customFormat="1" ht="57">
      <c r="B14" s="631"/>
      <c r="C14" s="631"/>
      <c r="D14" s="637" t="s">
        <v>408</v>
      </c>
      <c r="E14" s="638" t="s">
        <v>1083</v>
      </c>
      <c r="F14" s="639">
        <f>1582900+325371</f>
        <v>1908271</v>
      </c>
      <c r="G14" s="639">
        <f>303260+33428</f>
        <v>336688</v>
      </c>
      <c r="H14" s="639">
        <f>269840+76049-40562</f>
        <v>305327</v>
      </c>
      <c r="I14" s="639">
        <v>0</v>
      </c>
      <c r="J14" s="639">
        <v>40565</v>
      </c>
      <c r="K14" s="639">
        <v>0</v>
      </c>
      <c r="L14" s="636">
        <f t="shared" si="0"/>
        <v>2590851</v>
      </c>
    </row>
    <row r="15" spans="2:12" s="630" customFormat="1" ht="71.25">
      <c r="B15" s="631"/>
      <c r="C15" s="631"/>
      <c r="D15" s="632" t="s">
        <v>409</v>
      </c>
      <c r="E15" s="633" t="s">
        <v>873</v>
      </c>
      <c r="F15" s="635">
        <f>3360000+1725000-115000</f>
        <v>4970000</v>
      </c>
      <c r="G15" s="635">
        <f>655200+301875-266525</f>
        <v>690550</v>
      </c>
      <c r="H15" s="635">
        <v>0</v>
      </c>
      <c r="I15" s="635">
        <v>0</v>
      </c>
      <c r="J15" s="635">
        <v>0</v>
      </c>
      <c r="K15" s="635">
        <v>0</v>
      </c>
      <c r="L15" s="636">
        <f t="shared" si="0"/>
        <v>5660550</v>
      </c>
    </row>
    <row r="16" spans="2:12" s="630" customFormat="1" ht="42.75">
      <c r="B16" s="631"/>
      <c r="C16" s="631"/>
      <c r="D16" s="632" t="s">
        <v>410</v>
      </c>
      <c r="E16" s="633" t="s">
        <v>1025</v>
      </c>
      <c r="F16" s="635">
        <v>338000</v>
      </c>
      <c r="G16" s="635">
        <v>65910</v>
      </c>
      <c r="H16" s="635">
        <v>0</v>
      </c>
      <c r="I16" s="635">
        <v>0</v>
      </c>
      <c r="J16" s="635">
        <v>0</v>
      </c>
      <c r="K16" s="635">
        <v>0</v>
      </c>
      <c r="L16" s="636">
        <f t="shared" si="0"/>
        <v>403910</v>
      </c>
    </row>
    <row r="17" spans="2:12" s="630" customFormat="1" ht="57.75" thickBot="1">
      <c r="B17" s="631"/>
      <c r="C17" s="631"/>
      <c r="D17" s="785" t="s">
        <v>411</v>
      </c>
      <c r="E17" s="880" t="s">
        <v>1061</v>
      </c>
      <c r="F17" s="786">
        <f>2666710-100000</f>
        <v>2566710</v>
      </c>
      <c r="G17" s="786">
        <f>520008-46400</f>
        <v>473608</v>
      </c>
      <c r="H17" s="786">
        <v>0</v>
      </c>
      <c r="I17" s="786">
        <v>0</v>
      </c>
      <c r="J17" s="786">
        <v>0</v>
      </c>
      <c r="K17" s="786">
        <v>0</v>
      </c>
      <c r="L17" s="787">
        <f t="shared" si="0"/>
        <v>3040318</v>
      </c>
    </row>
    <row r="18" spans="1:15" s="641" customFormat="1" ht="24" customHeight="1" thickBot="1">
      <c r="A18" s="641">
        <v>999997</v>
      </c>
      <c r="B18" s="642"/>
      <c r="D18" s="643" t="s">
        <v>412</v>
      </c>
      <c r="E18" s="644" t="s">
        <v>370</v>
      </c>
      <c r="F18" s="645">
        <f aca="true" t="shared" si="1" ref="F18:L18">SUM(F9:F17)</f>
        <v>108359014</v>
      </c>
      <c r="G18" s="645">
        <f t="shared" si="1"/>
        <v>20671854</v>
      </c>
      <c r="H18" s="645">
        <f t="shared" si="1"/>
        <v>20533421</v>
      </c>
      <c r="I18" s="645">
        <f t="shared" si="1"/>
        <v>0</v>
      </c>
      <c r="J18" s="645">
        <f t="shared" si="1"/>
        <v>1282835</v>
      </c>
      <c r="K18" s="645">
        <f t="shared" si="1"/>
        <v>41339</v>
      </c>
      <c r="L18" s="788">
        <f t="shared" si="1"/>
        <v>150888463</v>
      </c>
      <c r="M18" s="646">
        <f>SUM(F18:K18)</f>
        <v>150888463</v>
      </c>
      <c r="N18" s="647"/>
      <c r="O18" s="647"/>
    </row>
    <row r="19" spans="1:12" s="536" customFormat="1" ht="23.25" customHeight="1">
      <c r="A19" s="505"/>
      <c r="B19" s="506"/>
      <c r="C19" s="506"/>
      <c r="D19" s="1053" t="s">
        <v>768</v>
      </c>
      <c r="E19" s="1054"/>
      <c r="F19" s="1054"/>
      <c r="G19" s="1054"/>
      <c r="H19" s="1054"/>
      <c r="I19" s="1054"/>
      <c r="J19" s="1054"/>
      <c r="K19" s="1054"/>
      <c r="L19" s="1055"/>
    </row>
    <row r="20" spans="2:12" s="630" customFormat="1" ht="18.75" customHeight="1">
      <c r="B20" s="631" t="s">
        <v>52</v>
      </c>
      <c r="C20" s="631"/>
      <c r="D20" s="632" t="s">
        <v>405</v>
      </c>
      <c r="E20" s="633" t="s">
        <v>800</v>
      </c>
      <c r="F20" s="634">
        <v>0</v>
      </c>
      <c r="G20" s="634">
        <v>0</v>
      </c>
      <c r="H20" s="634">
        <f>34363647-36576-1736616-2300000</f>
        <v>30290455</v>
      </c>
      <c r="I20" s="635">
        <v>0</v>
      </c>
      <c r="J20" s="634">
        <f>36576</f>
        <v>36576</v>
      </c>
      <c r="K20" s="635">
        <v>0</v>
      </c>
      <c r="L20" s="636">
        <f aca="true" t="shared" si="2" ref="L20:L30">SUM(F20:K20)</f>
        <v>30327031</v>
      </c>
    </row>
    <row r="21" spans="2:12" s="630" customFormat="1" ht="19.5" customHeight="1">
      <c r="B21" s="631" t="s">
        <v>53</v>
      </c>
      <c r="C21" s="631"/>
      <c r="D21" s="632" t="s">
        <v>406</v>
      </c>
      <c r="E21" s="633" t="s">
        <v>875</v>
      </c>
      <c r="F21" s="634">
        <f>93384492-240000+220000-91000-3-800+5476073</f>
        <v>98748762</v>
      </c>
      <c r="G21" s="634">
        <f>21312024-46800+42900-2140-2916269</f>
        <v>18389715</v>
      </c>
      <c r="H21" s="634">
        <f>12087124-1073150+656145-600000-889000-273095+889000-592498+69342-39600-1633725-374909-153990</f>
        <v>8071644</v>
      </c>
      <c r="I21" s="635">
        <v>0</v>
      </c>
      <c r="J21" s="634">
        <f>552450+592498-108966+374909+119050</f>
        <v>1529941</v>
      </c>
      <c r="K21" s="635">
        <f>273095</f>
        <v>273095</v>
      </c>
      <c r="L21" s="636">
        <f t="shared" si="2"/>
        <v>127013157</v>
      </c>
    </row>
    <row r="22" spans="2:12" s="630" customFormat="1" ht="18.75" customHeight="1">
      <c r="B22" s="631"/>
      <c r="C22" s="631"/>
      <c r="D22" s="632" t="s">
        <v>407</v>
      </c>
      <c r="E22" s="633" t="s">
        <v>552</v>
      </c>
      <c r="F22" s="634">
        <f>4891000+12000+28001</f>
        <v>4931001</v>
      </c>
      <c r="G22" s="634">
        <v>953745</v>
      </c>
      <c r="H22" s="634">
        <f>400366+889000+1166000-889000+19812-400000-92889</f>
        <v>1093289</v>
      </c>
      <c r="I22" s="635">
        <v>0</v>
      </c>
      <c r="J22" s="634">
        <f>92889+34940</f>
        <v>127829</v>
      </c>
      <c r="K22" s="635">
        <v>0</v>
      </c>
      <c r="L22" s="636">
        <f t="shared" si="2"/>
        <v>7105864</v>
      </c>
    </row>
    <row r="23" spans="2:12" s="630" customFormat="1" ht="18.75" customHeight="1">
      <c r="B23" s="631"/>
      <c r="C23" s="631"/>
      <c r="D23" s="632" t="s">
        <v>408</v>
      </c>
      <c r="E23" s="633" t="s">
        <v>591</v>
      </c>
      <c r="F23" s="634">
        <f>19682997+45000-177773+2781486</f>
        <v>22331710</v>
      </c>
      <c r="G23" s="634">
        <f>3846449-11082+375052</f>
        <v>4210419</v>
      </c>
      <c r="H23" s="634">
        <f>4977802-46143+49530-1000000-49820-139700</f>
        <v>3791669</v>
      </c>
      <c r="I23" s="635">
        <v>0</v>
      </c>
      <c r="J23" s="634">
        <f>152400+46143-39624+49820+139700</f>
        <v>348439</v>
      </c>
      <c r="K23" s="635">
        <v>0</v>
      </c>
      <c r="L23" s="636">
        <f t="shared" si="2"/>
        <v>30682237</v>
      </c>
    </row>
    <row r="24" spans="1:12" s="630" customFormat="1" ht="18.75" customHeight="1">
      <c r="A24" s="630">
        <v>20215</v>
      </c>
      <c r="B24" s="631" t="s">
        <v>55</v>
      </c>
      <c r="C24" s="631"/>
      <c r="D24" s="632" t="s">
        <v>409</v>
      </c>
      <c r="E24" s="633" t="s">
        <v>717</v>
      </c>
      <c r="F24" s="634">
        <f>15007293+10000-150000-1500000-2300000</f>
        <v>11067293</v>
      </c>
      <c r="G24" s="634">
        <f>2937022-50000-262500-520000</f>
        <v>2104522</v>
      </c>
      <c r="H24" s="634">
        <f>2794382+69342-1000000</f>
        <v>1863724</v>
      </c>
      <c r="I24" s="635">
        <v>0</v>
      </c>
      <c r="J24" s="634">
        <f>241300-69342</f>
        <v>171958</v>
      </c>
      <c r="K24" s="635">
        <v>0</v>
      </c>
      <c r="L24" s="636">
        <f t="shared" si="2"/>
        <v>15207497</v>
      </c>
    </row>
    <row r="25" spans="2:12" s="630" customFormat="1" ht="18.75" customHeight="1">
      <c r="B25" s="631"/>
      <c r="C25" s="631"/>
      <c r="D25" s="632" t="s">
        <v>410</v>
      </c>
      <c r="E25" s="633" t="s">
        <v>718</v>
      </c>
      <c r="F25" s="634">
        <f>9229786+56100+24000-25500</f>
        <v>9284386</v>
      </c>
      <c r="G25" s="634">
        <f>1799808+10940-4973-75000</f>
        <v>1730775</v>
      </c>
      <c r="H25" s="634">
        <f>1133928+9906-320000</f>
        <v>823834</v>
      </c>
      <c r="I25" s="635">
        <v>0</v>
      </c>
      <c r="J25" s="634">
        <v>0</v>
      </c>
      <c r="K25" s="635">
        <v>0</v>
      </c>
      <c r="L25" s="636">
        <f t="shared" si="2"/>
        <v>11838995</v>
      </c>
    </row>
    <row r="26" spans="2:12" s="630" customFormat="1" ht="15">
      <c r="B26" s="631"/>
      <c r="C26" s="631"/>
      <c r="D26" s="632" t="s">
        <v>411</v>
      </c>
      <c r="E26" s="633" t="s">
        <v>1160</v>
      </c>
      <c r="F26" s="634">
        <v>0</v>
      </c>
      <c r="G26" s="634">
        <v>0</v>
      </c>
      <c r="H26" s="634">
        <f>3260222-590000</f>
        <v>2670222</v>
      </c>
      <c r="I26" s="635">
        <v>0</v>
      </c>
      <c r="J26" s="634">
        <v>0</v>
      </c>
      <c r="K26" s="635">
        <v>0</v>
      </c>
      <c r="L26" s="636">
        <f t="shared" si="2"/>
        <v>2670222</v>
      </c>
    </row>
    <row r="27" spans="2:12" s="630" customFormat="1" ht="71.25">
      <c r="B27" s="631"/>
      <c r="C27" s="631"/>
      <c r="D27" s="632" t="s">
        <v>412</v>
      </c>
      <c r="E27" s="633" t="s">
        <v>878</v>
      </c>
      <c r="F27" s="634">
        <v>5760000</v>
      </c>
      <c r="G27" s="634">
        <v>1123200</v>
      </c>
      <c r="H27" s="634">
        <v>0</v>
      </c>
      <c r="I27" s="635">
        <v>0</v>
      </c>
      <c r="J27" s="634">
        <v>0</v>
      </c>
      <c r="K27" s="635">
        <v>0</v>
      </c>
      <c r="L27" s="636">
        <f t="shared" si="2"/>
        <v>6883200</v>
      </c>
    </row>
    <row r="28" spans="2:12" s="630" customFormat="1" ht="57">
      <c r="B28" s="631"/>
      <c r="C28" s="631"/>
      <c r="D28" s="632" t="s">
        <v>413</v>
      </c>
      <c r="E28" s="633" t="s">
        <v>877</v>
      </c>
      <c r="F28" s="634">
        <f>12880157+6558094</f>
        <v>19438251</v>
      </c>
      <c r="G28" s="634">
        <f>10151079-6602437</f>
        <v>3548642</v>
      </c>
      <c r="H28" s="634">
        <f>4399746+10500000</f>
        <v>14899746</v>
      </c>
      <c r="I28" s="635">
        <v>0</v>
      </c>
      <c r="J28" s="634">
        <v>0</v>
      </c>
      <c r="K28" s="635">
        <v>0</v>
      </c>
      <c r="L28" s="636">
        <f t="shared" si="2"/>
        <v>37886639</v>
      </c>
    </row>
    <row r="29" spans="2:12" s="630" customFormat="1" ht="28.5">
      <c r="B29" s="631"/>
      <c r="C29" s="631"/>
      <c r="D29" s="785" t="s">
        <v>414</v>
      </c>
      <c r="E29" s="633" t="s">
        <v>876</v>
      </c>
      <c r="F29" s="786">
        <f>2303000+4697</f>
        <v>2307697</v>
      </c>
      <c r="G29" s="786">
        <f>449085-66565</f>
        <v>382520</v>
      </c>
      <c r="H29" s="786">
        <f>2707021+61868</f>
        <v>2768889</v>
      </c>
      <c r="I29" s="786">
        <v>0</v>
      </c>
      <c r="J29" s="786">
        <v>0</v>
      </c>
      <c r="K29" s="786">
        <v>0</v>
      </c>
      <c r="L29" s="787">
        <f t="shared" si="2"/>
        <v>5459106</v>
      </c>
    </row>
    <row r="30" spans="2:12" s="630" customFormat="1" ht="15.75" thickBot="1">
      <c r="B30" s="631"/>
      <c r="C30" s="631"/>
      <c r="D30" s="632" t="s">
        <v>415</v>
      </c>
      <c r="E30" s="633" t="s">
        <v>1062</v>
      </c>
      <c r="F30" s="634">
        <f>1229250+3</f>
        <v>1229253</v>
      </c>
      <c r="G30" s="634">
        <v>215116</v>
      </c>
      <c r="H30" s="634">
        <v>39600</v>
      </c>
      <c r="I30" s="635">
        <v>0</v>
      </c>
      <c r="J30" s="634">
        <v>0</v>
      </c>
      <c r="K30" s="635">
        <v>0</v>
      </c>
      <c r="L30" s="636">
        <f t="shared" si="2"/>
        <v>1483969</v>
      </c>
    </row>
    <row r="31" spans="1:15" s="641" customFormat="1" ht="24" customHeight="1" thickBot="1">
      <c r="A31" s="641">
        <v>999997</v>
      </c>
      <c r="B31" s="642"/>
      <c r="D31" s="643" t="s">
        <v>416</v>
      </c>
      <c r="E31" s="644" t="s">
        <v>370</v>
      </c>
      <c r="F31" s="645">
        <f>SUM(F19:F30)</f>
        <v>175098353</v>
      </c>
      <c r="G31" s="645">
        <f aca="true" t="shared" si="3" ref="G31:L31">SUM(G19:G30)</f>
        <v>32658654</v>
      </c>
      <c r="H31" s="645">
        <f t="shared" si="3"/>
        <v>66313072</v>
      </c>
      <c r="I31" s="645">
        <f t="shared" si="3"/>
        <v>0</v>
      </c>
      <c r="J31" s="645">
        <f t="shared" si="3"/>
        <v>2214743</v>
      </c>
      <c r="K31" s="645">
        <f t="shared" si="3"/>
        <v>273095</v>
      </c>
      <c r="L31" s="788">
        <f t="shared" si="3"/>
        <v>276557917</v>
      </c>
      <c r="M31" s="646">
        <f>SUM(F31:K31)</f>
        <v>276557917</v>
      </c>
      <c r="N31" s="647"/>
      <c r="O31" s="647"/>
    </row>
    <row r="32" spans="1:12" s="536" customFormat="1" ht="23.25" customHeight="1">
      <c r="A32" s="505"/>
      <c r="B32" s="506"/>
      <c r="C32" s="506"/>
      <c r="D32" s="1053" t="s">
        <v>833</v>
      </c>
      <c r="E32" s="1054"/>
      <c r="F32" s="1054"/>
      <c r="G32" s="1054"/>
      <c r="H32" s="1054"/>
      <c r="I32" s="1054"/>
      <c r="J32" s="1054"/>
      <c r="K32" s="1054"/>
      <c r="L32" s="1055"/>
    </row>
    <row r="33" spans="2:12" s="630" customFormat="1" ht="31.5" customHeight="1">
      <c r="B33" s="631" t="s">
        <v>52</v>
      </c>
      <c r="C33" s="631"/>
      <c r="D33" s="632" t="s">
        <v>405</v>
      </c>
      <c r="E33" s="633" t="s">
        <v>551</v>
      </c>
      <c r="F33" s="635">
        <v>0</v>
      </c>
      <c r="G33" s="635">
        <v>0</v>
      </c>
      <c r="H33" s="635">
        <f>1100000+67920-16077</f>
        <v>1151843</v>
      </c>
      <c r="I33" s="635">
        <v>0</v>
      </c>
      <c r="J33" s="635">
        <v>0</v>
      </c>
      <c r="K33" s="635">
        <v>0</v>
      </c>
      <c r="L33" s="636">
        <f>SUM(F33:K33)</f>
        <v>1151843</v>
      </c>
    </row>
    <row r="34" spans="2:12" s="630" customFormat="1" ht="23.25" customHeight="1">
      <c r="B34" s="631" t="s">
        <v>53</v>
      </c>
      <c r="C34" s="631"/>
      <c r="D34" s="632" t="s">
        <v>406</v>
      </c>
      <c r="E34" s="633" t="s">
        <v>390</v>
      </c>
      <c r="F34" s="635">
        <v>2629600</v>
      </c>
      <c r="G34" s="635">
        <f>512772-21940</f>
        <v>490832</v>
      </c>
      <c r="H34" s="635">
        <f>289700-140000-4023</f>
        <v>145677</v>
      </c>
      <c r="I34" s="635">
        <v>0</v>
      </c>
      <c r="J34" s="635">
        <v>0</v>
      </c>
      <c r="K34" s="635">
        <v>0</v>
      </c>
      <c r="L34" s="636">
        <f>SUM(F34:K34)</f>
        <v>3266109</v>
      </c>
    </row>
    <row r="35" spans="2:12" s="630" customFormat="1" ht="33" customHeight="1">
      <c r="B35" s="631"/>
      <c r="C35" s="631"/>
      <c r="D35" s="632" t="s">
        <v>407</v>
      </c>
      <c r="E35" s="633" t="s">
        <v>1161</v>
      </c>
      <c r="F35" s="635">
        <f>7774800+1500000-1+600000-70805+584816+37184</f>
        <v>10425994</v>
      </c>
      <c r="G35" s="635">
        <f>1539290+775525-19829-200000-12429</f>
        <v>2082557</v>
      </c>
      <c r="H35" s="635">
        <f>13067490-1270000+622539+7367584+614391+300000+81000+558800+203200-8000-783939-600000+3354000-530730</f>
        <v>22976335</v>
      </c>
      <c r="I35" s="635">
        <v>0</v>
      </c>
      <c r="J35" s="635">
        <f>635000+783939-592795</f>
        <v>826144</v>
      </c>
      <c r="K35" s="635">
        <v>0</v>
      </c>
      <c r="L35" s="636">
        <f>SUM(F35:K35)</f>
        <v>36311030</v>
      </c>
    </row>
    <row r="36" spans="2:12" s="630" customFormat="1" ht="15">
      <c r="B36" s="631"/>
      <c r="C36" s="631"/>
      <c r="D36" s="632" t="s">
        <v>408</v>
      </c>
      <c r="E36" s="633" t="s">
        <v>1062</v>
      </c>
      <c r="F36" s="634">
        <f>223500+1</f>
        <v>223501</v>
      </c>
      <c r="G36" s="634">
        <f>39112</f>
        <v>39112</v>
      </c>
      <c r="H36" s="634">
        <v>8000</v>
      </c>
      <c r="I36" s="635">
        <v>0</v>
      </c>
      <c r="J36" s="634">
        <v>0</v>
      </c>
      <c r="K36" s="635">
        <v>0</v>
      </c>
      <c r="L36" s="636">
        <f>SUM(F36:K36)</f>
        <v>270613</v>
      </c>
    </row>
    <row r="37" spans="2:12" s="630" customFormat="1" ht="33" customHeight="1" thickBot="1">
      <c r="B37" s="631"/>
      <c r="C37" s="631"/>
      <c r="D37" s="637" t="s">
        <v>409</v>
      </c>
      <c r="E37" s="638" t="s">
        <v>874</v>
      </c>
      <c r="F37" s="639">
        <v>6761296</v>
      </c>
      <c r="G37" s="639">
        <v>1646453</v>
      </c>
      <c r="H37" s="639">
        <v>14095151</v>
      </c>
      <c r="I37" s="639">
        <v>0</v>
      </c>
      <c r="J37" s="639">
        <v>2497100</v>
      </c>
      <c r="K37" s="639">
        <v>0</v>
      </c>
      <c r="L37" s="640">
        <f>SUM(F37:K37)</f>
        <v>25000000</v>
      </c>
    </row>
    <row r="38" spans="1:15" s="641" customFormat="1" ht="24" customHeight="1" thickBot="1">
      <c r="A38" s="641">
        <v>999997</v>
      </c>
      <c r="B38" s="642"/>
      <c r="D38" s="643" t="s">
        <v>410</v>
      </c>
      <c r="E38" s="644" t="s">
        <v>370</v>
      </c>
      <c r="F38" s="645">
        <f>SUM(F32:F37)</f>
        <v>20040391</v>
      </c>
      <c r="G38" s="645">
        <f aca="true" t="shared" si="4" ref="G38:L38">SUM(G32:G37)</f>
        <v>4258954</v>
      </c>
      <c r="H38" s="645">
        <f t="shared" si="4"/>
        <v>38377006</v>
      </c>
      <c r="I38" s="645">
        <f t="shared" si="4"/>
        <v>0</v>
      </c>
      <c r="J38" s="645">
        <f t="shared" si="4"/>
        <v>3323244</v>
      </c>
      <c r="K38" s="645">
        <f t="shared" si="4"/>
        <v>0</v>
      </c>
      <c r="L38" s="788">
        <f t="shared" si="4"/>
        <v>65999595</v>
      </c>
      <c r="M38" s="646">
        <f>SUM(F38:K38)</f>
        <v>65999595</v>
      </c>
      <c r="N38" s="647"/>
      <c r="O38" s="647"/>
    </row>
  </sheetData>
  <sheetProtection/>
  <mergeCells count="10">
    <mergeCell ref="D4:L4"/>
    <mergeCell ref="D19:L19"/>
    <mergeCell ref="D32:L32"/>
    <mergeCell ref="C1:C4"/>
    <mergeCell ref="J1:L1"/>
    <mergeCell ref="D7:D9"/>
    <mergeCell ref="E7:E9"/>
    <mergeCell ref="F7:K7"/>
    <mergeCell ref="L7:L9"/>
    <mergeCell ref="D10:L10"/>
  </mergeCells>
  <printOptions horizontalCentered="1"/>
  <pageMargins left="0" right="0" top="0.5511811023622047" bottom="0.5511811023622047" header="0" footer="0"/>
  <pageSetup horizontalDpi="600" verticalDpi="600" orientation="portrait" paperSize="9" scale="7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4"/>
  <sheetViews>
    <sheetView workbookViewId="0" topLeftCell="G1">
      <selection activeCell="G2" sqref="G2"/>
    </sheetView>
  </sheetViews>
  <sheetFormatPr defaultColWidth="9.00390625" defaultRowHeight="12.75"/>
  <cols>
    <col min="1" max="1" width="7.75390625" style="186" customWidth="1"/>
    <col min="2" max="2" width="31.75390625" style="186" customWidth="1"/>
    <col min="3" max="3" width="14.375" style="186" customWidth="1"/>
    <col min="4" max="4" width="16.25390625" style="186" bestFit="1" customWidth="1"/>
    <col min="5" max="5" width="14.625" style="186" bestFit="1" customWidth="1"/>
    <col min="6" max="6" width="16.375" style="186" bestFit="1" customWidth="1"/>
    <col min="7" max="8" width="14.75390625" style="186" bestFit="1" customWidth="1"/>
    <col min="9" max="9" width="16.375" style="186" bestFit="1" customWidth="1"/>
    <col min="10" max="11" width="12.875" style="186" customWidth="1"/>
    <col min="12" max="12" width="15.00390625" style="186" customWidth="1"/>
    <col min="13" max="13" width="17.125" style="186" bestFit="1" customWidth="1"/>
    <col min="14" max="15" width="9.125" style="186" customWidth="1"/>
    <col min="16" max="16" width="12.875" style="186" bestFit="1" customWidth="1"/>
    <col min="17" max="16384" width="9.125" style="186" customWidth="1"/>
  </cols>
  <sheetData>
    <row r="1" spans="1:21" ht="12.75">
      <c r="A1" s="253"/>
      <c r="B1" s="254"/>
      <c r="C1" s="255"/>
      <c r="D1" s="255"/>
      <c r="E1" s="255"/>
      <c r="F1" s="255"/>
      <c r="G1" s="1079" t="s">
        <v>1182</v>
      </c>
      <c r="H1" s="1079"/>
      <c r="I1" s="1080"/>
      <c r="J1" s="1080"/>
      <c r="K1" s="1080"/>
      <c r="L1" s="1080"/>
      <c r="M1" s="1080"/>
      <c r="N1" s="254"/>
      <c r="O1" s="254"/>
      <c r="P1" s="254"/>
      <c r="Q1" s="254"/>
      <c r="R1" s="256"/>
      <c r="S1" s="256"/>
      <c r="T1" s="256"/>
      <c r="U1" s="254"/>
    </row>
    <row r="2" spans="1:21" ht="12.75">
      <c r="A2" s="253"/>
      <c r="B2" s="254"/>
      <c r="C2" s="255"/>
      <c r="D2" s="255"/>
      <c r="E2" s="255"/>
      <c r="F2" s="255"/>
      <c r="G2" s="257"/>
      <c r="H2" s="257"/>
      <c r="I2" s="258"/>
      <c r="J2" s="258"/>
      <c r="K2" s="258"/>
      <c r="L2" s="258"/>
      <c r="M2" s="258"/>
      <c r="N2" s="254"/>
      <c r="O2" s="254"/>
      <c r="P2" s="254"/>
      <c r="Q2" s="254"/>
      <c r="R2" s="256"/>
      <c r="S2" s="256"/>
      <c r="T2" s="256"/>
      <c r="U2" s="254"/>
    </row>
    <row r="3" spans="1:27" ht="15.75" customHeight="1">
      <c r="A3" s="1087" t="s">
        <v>928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13.5" customHeight="1" thickBot="1">
      <c r="A4" s="919"/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ht="16.5" thickBot="1">
      <c r="A5" s="1074" t="s">
        <v>445</v>
      </c>
      <c r="B5" s="1071" t="s">
        <v>366</v>
      </c>
      <c r="C5" s="1077" t="s">
        <v>493</v>
      </c>
      <c r="D5" s="1077"/>
      <c r="E5" s="1077"/>
      <c r="F5" s="1077"/>
      <c r="G5" s="1077"/>
      <c r="H5" s="1077"/>
      <c r="I5" s="1077"/>
      <c r="J5" s="1077"/>
      <c r="K5" s="1077"/>
      <c r="L5" s="1077"/>
      <c r="M5" s="1078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61"/>
    </row>
    <row r="6" spans="1:13" ht="12.75" customHeight="1">
      <c r="A6" s="1075"/>
      <c r="B6" s="1072"/>
      <c r="C6" s="1084" t="s">
        <v>494</v>
      </c>
      <c r="D6" s="1062" t="s">
        <v>495</v>
      </c>
      <c r="E6" s="1063"/>
      <c r="F6" s="1064"/>
      <c r="G6" s="1062" t="s">
        <v>496</v>
      </c>
      <c r="H6" s="1063"/>
      <c r="I6" s="1064"/>
      <c r="J6" s="1062" t="s">
        <v>497</v>
      </c>
      <c r="K6" s="1063"/>
      <c r="L6" s="1064"/>
      <c r="M6" s="1081" t="s">
        <v>375</v>
      </c>
    </row>
    <row r="7" spans="1:13" ht="7.5" customHeight="1">
      <c r="A7" s="1075"/>
      <c r="B7" s="1072"/>
      <c r="C7" s="1085"/>
      <c r="D7" s="1065"/>
      <c r="E7" s="1066"/>
      <c r="F7" s="1067"/>
      <c r="G7" s="1065"/>
      <c r="H7" s="1066"/>
      <c r="I7" s="1067"/>
      <c r="J7" s="1065"/>
      <c r="K7" s="1066"/>
      <c r="L7" s="1067"/>
      <c r="M7" s="1082"/>
    </row>
    <row r="8" spans="1:13" ht="18.75" customHeight="1" thickBot="1">
      <c r="A8" s="1076"/>
      <c r="B8" s="1073"/>
      <c r="C8" s="1086"/>
      <c r="D8" s="262" t="s">
        <v>84</v>
      </c>
      <c r="E8" s="263" t="s">
        <v>85</v>
      </c>
      <c r="F8" s="264" t="s">
        <v>86</v>
      </c>
      <c r="G8" s="265" t="s">
        <v>84</v>
      </c>
      <c r="H8" s="263" t="s">
        <v>85</v>
      </c>
      <c r="I8" s="264" t="s">
        <v>86</v>
      </c>
      <c r="J8" s="265" t="s">
        <v>84</v>
      </c>
      <c r="K8" s="263" t="s">
        <v>85</v>
      </c>
      <c r="L8" s="264" t="s">
        <v>86</v>
      </c>
      <c r="M8" s="1083"/>
    </row>
    <row r="9" spans="1:13" ht="29.25" customHeight="1">
      <c r="A9" s="266" t="s">
        <v>405</v>
      </c>
      <c r="B9" s="267" t="s">
        <v>59</v>
      </c>
      <c r="C9" s="268" t="s">
        <v>732</v>
      </c>
      <c r="D9" s="269">
        <f>55669529+45000+23349000+20900+4081-2108200-413+754380+248400+23576063-367914+50000-191+6750+160013</f>
        <v>101407398</v>
      </c>
      <c r="E9" s="270">
        <f>94270+367914+12700</f>
        <v>474884</v>
      </c>
      <c r="F9" s="271">
        <f aca="true" t="shared" si="0" ref="F9:F57">SUM(D9:E9)</f>
        <v>101882282</v>
      </c>
      <c r="G9" s="654"/>
      <c r="H9" s="649"/>
      <c r="I9" s="271">
        <f aca="true" t="shared" si="1" ref="I9:I57">SUM(G9:H9)</f>
        <v>0</v>
      </c>
      <c r="J9" s="273"/>
      <c r="K9" s="274"/>
      <c r="L9" s="271">
        <f aca="true" t="shared" si="2" ref="L9:L46">SUM(J9:K9)</f>
        <v>0</v>
      </c>
      <c r="M9" s="275">
        <f aca="true" t="shared" si="3" ref="M9:M57">SUM(F9+I9+L9)</f>
        <v>101882282</v>
      </c>
    </row>
    <row r="10" spans="1:13" ht="29.25" customHeight="1">
      <c r="A10" s="276" t="s">
        <v>406</v>
      </c>
      <c r="B10" s="530" t="s">
        <v>932</v>
      </c>
      <c r="C10" s="277" t="s">
        <v>721</v>
      </c>
      <c r="D10" s="269">
        <v>100000</v>
      </c>
      <c r="E10" s="649"/>
      <c r="F10" s="271">
        <f t="shared" si="0"/>
        <v>100000</v>
      </c>
      <c r="G10" s="654"/>
      <c r="H10" s="649"/>
      <c r="I10" s="271">
        <f t="shared" si="1"/>
        <v>0</v>
      </c>
      <c r="J10" s="273"/>
      <c r="K10" s="274"/>
      <c r="L10" s="271">
        <f t="shared" si="2"/>
        <v>0</v>
      </c>
      <c r="M10" s="275">
        <f t="shared" si="3"/>
        <v>100000</v>
      </c>
    </row>
    <row r="11" spans="1:13" ht="29.25" customHeight="1">
      <c r="A11" s="276" t="s">
        <v>407</v>
      </c>
      <c r="B11" s="278" t="s">
        <v>56</v>
      </c>
      <c r="C11" s="277" t="s">
        <v>720</v>
      </c>
      <c r="D11" s="269">
        <f>62555863-700000+8618030+88787+200000-72900</f>
        <v>70689780</v>
      </c>
      <c r="E11" s="270">
        <f>13299520+16000000+72900</f>
        <v>29372420</v>
      </c>
      <c r="F11" s="271">
        <f t="shared" si="0"/>
        <v>100062200</v>
      </c>
      <c r="G11" s="272">
        <f>7875000+40000+80000</f>
        <v>7995000</v>
      </c>
      <c r="H11" s="270">
        <f>682185231-23410448</f>
        <v>658774783</v>
      </c>
      <c r="I11" s="271">
        <f t="shared" si="1"/>
        <v>666769783</v>
      </c>
      <c r="J11" s="273"/>
      <c r="K11" s="274"/>
      <c r="L11" s="271">
        <f t="shared" si="2"/>
        <v>0</v>
      </c>
      <c r="M11" s="275">
        <f t="shared" si="3"/>
        <v>766831983</v>
      </c>
    </row>
    <row r="12" spans="1:13" ht="29.25" customHeight="1">
      <c r="A12" s="276" t="s">
        <v>408</v>
      </c>
      <c r="B12" s="278" t="s">
        <v>384</v>
      </c>
      <c r="C12" s="279"/>
      <c r="D12" s="648"/>
      <c r="E12" s="649"/>
      <c r="F12" s="271">
        <f t="shared" si="0"/>
        <v>0</v>
      </c>
      <c r="G12" s="272">
        <f>823750+1500000+575000+1875000+6019800+200000-200000</f>
        <v>10793550</v>
      </c>
      <c r="H12" s="649"/>
      <c r="I12" s="271">
        <f t="shared" si="1"/>
        <v>10793550</v>
      </c>
      <c r="J12" s="273"/>
      <c r="K12" s="274"/>
      <c r="L12" s="271">
        <f t="shared" si="2"/>
        <v>0</v>
      </c>
      <c r="M12" s="275">
        <f t="shared" si="3"/>
        <v>10793550</v>
      </c>
    </row>
    <row r="13" spans="1:13" ht="29.25" customHeight="1">
      <c r="A13" s="882" t="s">
        <v>409</v>
      </c>
      <c r="B13" s="278" t="s">
        <v>1016</v>
      </c>
      <c r="C13" s="271" t="s">
        <v>803</v>
      </c>
      <c r="D13" s="269">
        <f>46343378+586418+216600</f>
        <v>47146396</v>
      </c>
      <c r="E13" s="649"/>
      <c r="F13" s="271">
        <f t="shared" si="0"/>
        <v>47146396</v>
      </c>
      <c r="G13" s="272"/>
      <c r="H13" s="649"/>
      <c r="I13" s="271">
        <f t="shared" si="1"/>
        <v>0</v>
      </c>
      <c r="J13" s="273"/>
      <c r="K13" s="274"/>
      <c r="L13" s="271">
        <f t="shared" si="2"/>
        <v>0</v>
      </c>
      <c r="M13" s="275">
        <f t="shared" si="3"/>
        <v>47146396</v>
      </c>
    </row>
    <row r="14" spans="1:13" ht="21.75" customHeight="1">
      <c r="A14" s="276" t="s">
        <v>410</v>
      </c>
      <c r="B14" s="294" t="s">
        <v>647</v>
      </c>
      <c r="C14" s="271" t="s">
        <v>803</v>
      </c>
      <c r="D14" s="281">
        <f>17347428+413+128723+17097+19299537</f>
        <v>36793198</v>
      </c>
      <c r="E14" s="651"/>
      <c r="F14" s="271">
        <f t="shared" si="0"/>
        <v>36793198</v>
      </c>
      <c r="G14" s="655"/>
      <c r="H14" s="651"/>
      <c r="I14" s="271">
        <f t="shared" si="1"/>
        <v>0</v>
      </c>
      <c r="J14" s="284"/>
      <c r="K14" s="285"/>
      <c r="L14" s="271">
        <f t="shared" si="2"/>
        <v>0</v>
      </c>
      <c r="M14" s="275">
        <f t="shared" si="3"/>
        <v>36793198</v>
      </c>
    </row>
    <row r="15" spans="1:13" ht="21.75" customHeight="1">
      <c r="A15" s="276" t="s">
        <v>411</v>
      </c>
      <c r="B15" s="538" t="s">
        <v>1139</v>
      </c>
      <c r="C15" s="271"/>
      <c r="D15" s="269">
        <v>65897</v>
      </c>
      <c r="E15" s="649"/>
      <c r="F15" s="271">
        <f t="shared" si="0"/>
        <v>65897</v>
      </c>
      <c r="G15" s="654"/>
      <c r="H15" s="649"/>
      <c r="I15" s="271">
        <f t="shared" si="1"/>
        <v>0</v>
      </c>
      <c r="J15" s="273"/>
      <c r="K15" s="274"/>
      <c r="L15" s="271">
        <f t="shared" si="2"/>
        <v>0</v>
      </c>
      <c r="M15" s="275">
        <f t="shared" si="3"/>
        <v>65897</v>
      </c>
    </row>
    <row r="16" spans="1:13" ht="29.25" customHeight="1">
      <c r="A16" s="276" t="s">
        <v>412</v>
      </c>
      <c r="B16" s="278" t="s">
        <v>64</v>
      </c>
      <c r="C16" s="271" t="s">
        <v>1112</v>
      </c>
      <c r="D16" s="648"/>
      <c r="E16" s="649"/>
      <c r="F16" s="271">
        <f t="shared" si="0"/>
        <v>0</v>
      </c>
      <c r="G16" s="654"/>
      <c r="H16" s="649"/>
      <c r="I16" s="271">
        <f t="shared" si="1"/>
        <v>0</v>
      </c>
      <c r="J16" s="273">
        <f>20091100-34818+10858846-1618094</f>
        <v>29297034</v>
      </c>
      <c r="K16" s="274"/>
      <c r="L16" s="271">
        <f t="shared" si="2"/>
        <v>29297034</v>
      </c>
      <c r="M16" s="275">
        <f t="shared" si="3"/>
        <v>29297034</v>
      </c>
    </row>
    <row r="17" spans="1:13" ht="29.25" customHeight="1">
      <c r="A17" s="276" t="s">
        <v>413</v>
      </c>
      <c r="B17" s="278" t="s">
        <v>792</v>
      </c>
      <c r="C17" s="277" t="s">
        <v>801</v>
      </c>
      <c r="D17" s="269">
        <f>10633011+11080125+1080288+4347090+1059890+92742+106606+73817</f>
        <v>28473569</v>
      </c>
      <c r="E17" s="270">
        <f>289870+138684-106606</f>
        <v>321948</v>
      </c>
      <c r="F17" s="271">
        <f t="shared" si="0"/>
        <v>28795517</v>
      </c>
      <c r="G17" s="654"/>
      <c r="H17" s="649"/>
      <c r="I17" s="271">
        <f t="shared" si="1"/>
        <v>0</v>
      </c>
      <c r="J17" s="273"/>
      <c r="K17" s="274"/>
      <c r="L17" s="271">
        <f t="shared" si="2"/>
        <v>0</v>
      </c>
      <c r="M17" s="275">
        <f t="shared" si="3"/>
        <v>28795517</v>
      </c>
    </row>
    <row r="18" spans="1:13" ht="29.25" customHeight="1">
      <c r="A18" s="276" t="s">
        <v>414</v>
      </c>
      <c r="B18" s="278" t="s">
        <v>793</v>
      </c>
      <c r="C18" s="277" t="s">
        <v>801</v>
      </c>
      <c r="D18" s="269">
        <f>12480966+36347085+3543768+2730247+3179670+278226+53948</f>
        <v>58613910</v>
      </c>
      <c r="E18" s="649"/>
      <c r="F18" s="271">
        <f t="shared" si="0"/>
        <v>58613910</v>
      </c>
      <c r="G18" s="654"/>
      <c r="H18" s="649"/>
      <c r="I18" s="271">
        <f t="shared" si="1"/>
        <v>0</v>
      </c>
      <c r="J18" s="273"/>
      <c r="K18" s="274"/>
      <c r="L18" s="271">
        <f t="shared" si="2"/>
        <v>0</v>
      </c>
      <c r="M18" s="275">
        <f t="shared" si="3"/>
        <v>58613910</v>
      </c>
    </row>
    <row r="19" spans="1:13" ht="21.75" customHeight="1">
      <c r="A19" s="276" t="s">
        <v>415</v>
      </c>
      <c r="B19" s="538" t="s">
        <v>1091</v>
      </c>
      <c r="C19" s="277" t="s">
        <v>721</v>
      </c>
      <c r="D19" s="650"/>
      <c r="E19" s="282">
        <v>12223750</v>
      </c>
      <c r="F19" s="271">
        <f t="shared" si="0"/>
        <v>12223750</v>
      </c>
      <c r="G19" s="655"/>
      <c r="H19" s="282"/>
      <c r="I19" s="271">
        <f t="shared" si="1"/>
        <v>0</v>
      </c>
      <c r="J19" s="284"/>
      <c r="K19" s="285"/>
      <c r="L19" s="271">
        <f t="shared" si="2"/>
        <v>0</v>
      </c>
      <c r="M19" s="275">
        <f t="shared" si="3"/>
        <v>12223750</v>
      </c>
    </row>
    <row r="20" spans="1:13" ht="29.25" customHeight="1">
      <c r="A20" s="280" t="s">
        <v>416</v>
      </c>
      <c r="B20" s="278" t="s">
        <v>346</v>
      </c>
      <c r="C20" s="277" t="s">
        <v>721</v>
      </c>
      <c r="D20" s="269">
        <f>15352369+1-12662400</f>
        <v>2689970</v>
      </c>
      <c r="E20" s="270">
        <f>12662400</f>
        <v>12662400</v>
      </c>
      <c r="F20" s="271">
        <f t="shared" si="0"/>
        <v>15352370</v>
      </c>
      <c r="G20" s="654"/>
      <c r="H20" s="649"/>
      <c r="I20" s="271">
        <f t="shared" si="1"/>
        <v>0</v>
      </c>
      <c r="J20" s="273"/>
      <c r="K20" s="274"/>
      <c r="L20" s="271">
        <f t="shared" si="2"/>
        <v>0</v>
      </c>
      <c r="M20" s="275">
        <f t="shared" si="3"/>
        <v>15352370</v>
      </c>
    </row>
    <row r="21" spans="1:13" ht="29.25" customHeight="1">
      <c r="A21" s="276" t="s">
        <v>417</v>
      </c>
      <c r="B21" s="278" t="s">
        <v>66</v>
      </c>
      <c r="C21" s="277" t="s">
        <v>722</v>
      </c>
      <c r="D21" s="269">
        <f>1000000+1208400+40000+254000</f>
        <v>2502400</v>
      </c>
      <c r="E21" s="270">
        <f>106961800+1077031</f>
        <v>108038831</v>
      </c>
      <c r="F21" s="271">
        <f t="shared" si="0"/>
        <v>110541231</v>
      </c>
      <c r="G21" s="654"/>
      <c r="H21" s="649"/>
      <c r="I21" s="271">
        <f t="shared" si="1"/>
        <v>0</v>
      </c>
      <c r="J21" s="273"/>
      <c r="K21" s="274"/>
      <c r="L21" s="271">
        <f t="shared" si="2"/>
        <v>0</v>
      </c>
      <c r="M21" s="275">
        <f t="shared" si="3"/>
        <v>110541231</v>
      </c>
    </row>
    <row r="22" spans="1:13" ht="29.25" customHeight="1">
      <c r="A22" s="276" t="s">
        <v>418</v>
      </c>
      <c r="B22" s="278" t="s">
        <v>881</v>
      </c>
      <c r="C22" s="277"/>
      <c r="D22" s="269"/>
      <c r="E22" s="270"/>
      <c r="F22" s="271">
        <f t="shared" si="0"/>
        <v>0</v>
      </c>
      <c r="G22" s="272">
        <f>40000+196950</f>
        <v>236950</v>
      </c>
      <c r="H22" s="270">
        <f>196302400-196950</f>
        <v>196105450</v>
      </c>
      <c r="I22" s="271">
        <f t="shared" si="1"/>
        <v>196342400</v>
      </c>
      <c r="J22" s="273"/>
      <c r="K22" s="274"/>
      <c r="L22" s="271">
        <f t="shared" si="2"/>
        <v>0</v>
      </c>
      <c r="M22" s="275">
        <f t="shared" si="3"/>
        <v>196342400</v>
      </c>
    </row>
    <row r="23" spans="1:13" ht="30.75" customHeight="1">
      <c r="A23" s="276" t="s">
        <v>419</v>
      </c>
      <c r="B23" s="278" t="s">
        <v>50</v>
      </c>
      <c r="C23" s="277" t="s">
        <v>723</v>
      </c>
      <c r="D23" s="281">
        <v>2827348</v>
      </c>
      <c r="E23" s="651"/>
      <c r="F23" s="271">
        <f t="shared" si="0"/>
        <v>2827348</v>
      </c>
      <c r="G23" s="655"/>
      <c r="H23" s="651"/>
      <c r="I23" s="271">
        <f t="shared" si="1"/>
        <v>0</v>
      </c>
      <c r="J23" s="284"/>
      <c r="K23" s="285"/>
      <c r="L23" s="271">
        <f t="shared" si="2"/>
        <v>0</v>
      </c>
      <c r="M23" s="275">
        <f t="shared" si="3"/>
        <v>2827348</v>
      </c>
    </row>
    <row r="24" spans="1:13" ht="31.5" customHeight="1">
      <c r="A24" s="276" t="s">
        <v>420</v>
      </c>
      <c r="B24" s="278" t="s">
        <v>382</v>
      </c>
      <c r="C24" s="277" t="s">
        <v>724</v>
      </c>
      <c r="D24" s="281">
        <f>10052423+1</f>
        <v>10052424</v>
      </c>
      <c r="E24" s="651"/>
      <c r="F24" s="271">
        <f t="shared" si="0"/>
        <v>10052424</v>
      </c>
      <c r="G24" s="655"/>
      <c r="H24" s="651"/>
      <c r="I24" s="271">
        <f t="shared" si="1"/>
        <v>0</v>
      </c>
      <c r="J24" s="284"/>
      <c r="K24" s="285"/>
      <c r="L24" s="271">
        <f t="shared" si="2"/>
        <v>0</v>
      </c>
      <c r="M24" s="275">
        <f t="shared" si="3"/>
        <v>10052424</v>
      </c>
    </row>
    <row r="25" spans="1:13" ht="31.5" customHeight="1">
      <c r="A25" s="276" t="s">
        <v>421</v>
      </c>
      <c r="B25" s="278" t="s">
        <v>882</v>
      </c>
      <c r="C25" s="277" t="s">
        <v>929</v>
      </c>
      <c r="D25" s="281">
        <f>5440979+22660742</f>
        <v>28101721</v>
      </c>
      <c r="E25" s="282">
        <f>5000000+5000000</f>
        <v>10000000</v>
      </c>
      <c r="F25" s="271">
        <f t="shared" si="0"/>
        <v>38101721</v>
      </c>
      <c r="G25" s="655"/>
      <c r="H25" s="651"/>
      <c r="I25" s="271">
        <f t="shared" si="1"/>
        <v>0</v>
      </c>
      <c r="J25" s="284"/>
      <c r="K25" s="285"/>
      <c r="L25" s="271">
        <f t="shared" si="2"/>
        <v>0</v>
      </c>
      <c r="M25" s="275">
        <f t="shared" si="3"/>
        <v>38101721</v>
      </c>
    </row>
    <row r="26" spans="1:13" ht="31.5" customHeight="1">
      <c r="A26" s="276" t="s">
        <v>422</v>
      </c>
      <c r="B26" s="278" t="s">
        <v>883</v>
      </c>
      <c r="C26" s="277" t="s">
        <v>722</v>
      </c>
      <c r="D26" s="281">
        <f>40000</f>
        <v>40000</v>
      </c>
      <c r="E26" s="282">
        <f>47550000+829010</f>
        <v>48379010</v>
      </c>
      <c r="F26" s="271">
        <f t="shared" si="0"/>
        <v>48419010</v>
      </c>
      <c r="G26" s="655"/>
      <c r="H26" s="651"/>
      <c r="I26" s="271">
        <f t="shared" si="1"/>
        <v>0</v>
      </c>
      <c r="J26" s="284"/>
      <c r="K26" s="285"/>
      <c r="L26" s="271">
        <f t="shared" si="2"/>
        <v>0</v>
      </c>
      <c r="M26" s="275">
        <f t="shared" si="3"/>
        <v>48419010</v>
      </c>
    </row>
    <row r="27" spans="1:13" ht="31.5" customHeight="1">
      <c r="A27" s="882" t="s">
        <v>423</v>
      </c>
      <c r="B27" s="278" t="s">
        <v>1019</v>
      </c>
      <c r="C27" s="277"/>
      <c r="D27" s="281"/>
      <c r="E27" s="282"/>
      <c r="F27" s="271">
        <f t="shared" si="0"/>
        <v>0</v>
      </c>
      <c r="G27" s="283">
        <f>812250+158389+296854</f>
        <v>1267493</v>
      </c>
      <c r="H27" s="282">
        <f>779383</f>
        <v>779383</v>
      </c>
      <c r="I27" s="271">
        <f t="shared" si="1"/>
        <v>2046876</v>
      </c>
      <c r="J27" s="284"/>
      <c r="K27" s="285"/>
      <c r="L27" s="271">
        <f t="shared" si="2"/>
        <v>0</v>
      </c>
      <c r="M27" s="275">
        <f t="shared" si="3"/>
        <v>2046876</v>
      </c>
    </row>
    <row r="28" spans="1:13" ht="31.5" customHeight="1">
      <c r="A28" s="276" t="s">
        <v>424</v>
      </c>
      <c r="B28" s="278" t="s">
        <v>884</v>
      </c>
      <c r="C28" s="289" t="s">
        <v>930</v>
      </c>
      <c r="D28" s="281">
        <f>40000</f>
        <v>40000</v>
      </c>
      <c r="E28" s="282">
        <f>104006598+1000000</f>
        <v>105006598</v>
      </c>
      <c r="F28" s="271">
        <f t="shared" si="0"/>
        <v>105046598</v>
      </c>
      <c r="G28" s="283">
        <f>516434</f>
        <v>516434</v>
      </c>
      <c r="H28" s="282">
        <v>7085832</v>
      </c>
      <c r="I28" s="271">
        <f t="shared" si="1"/>
        <v>7602266</v>
      </c>
      <c r="J28" s="284"/>
      <c r="K28" s="285"/>
      <c r="L28" s="271">
        <f t="shared" si="2"/>
        <v>0</v>
      </c>
      <c r="M28" s="275">
        <f t="shared" si="3"/>
        <v>112648864</v>
      </c>
    </row>
    <row r="29" spans="1:13" ht="21.75" customHeight="1">
      <c r="A29" s="276" t="s">
        <v>425</v>
      </c>
      <c r="B29" s="294" t="s">
        <v>795</v>
      </c>
      <c r="C29" s="289" t="s">
        <v>802</v>
      </c>
      <c r="D29" s="281">
        <v>377257</v>
      </c>
      <c r="E29" s="282">
        <f>6462419-4816519-1300460+66600</f>
        <v>412040</v>
      </c>
      <c r="F29" s="271">
        <f t="shared" si="0"/>
        <v>789297</v>
      </c>
      <c r="G29" s="655"/>
      <c r="H29" s="651"/>
      <c r="I29" s="271">
        <f t="shared" si="1"/>
        <v>0</v>
      </c>
      <c r="J29" s="284"/>
      <c r="K29" s="285"/>
      <c r="L29" s="271">
        <f t="shared" si="2"/>
        <v>0</v>
      </c>
      <c r="M29" s="275">
        <f t="shared" si="3"/>
        <v>789297</v>
      </c>
    </row>
    <row r="30" spans="1:13" ht="21.75" customHeight="1">
      <c r="A30" s="276" t="s">
        <v>426</v>
      </c>
      <c r="B30" s="294" t="s">
        <v>385</v>
      </c>
      <c r="C30" s="289" t="s">
        <v>721</v>
      </c>
      <c r="D30" s="281">
        <f>23398480+2794000</f>
        <v>26192480</v>
      </c>
      <c r="E30" s="651"/>
      <c r="F30" s="271">
        <f t="shared" si="0"/>
        <v>26192480</v>
      </c>
      <c r="G30" s="655"/>
      <c r="H30" s="651"/>
      <c r="I30" s="271">
        <f t="shared" si="1"/>
        <v>0</v>
      </c>
      <c r="J30" s="284"/>
      <c r="K30" s="285"/>
      <c r="L30" s="271">
        <f t="shared" si="2"/>
        <v>0</v>
      </c>
      <c r="M30" s="275">
        <f t="shared" si="3"/>
        <v>26192480</v>
      </c>
    </row>
    <row r="31" spans="1:13" ht="21.75" customHeight="1">
      <c r="A31" s="276" t="s">
        <v>498</v>
      </c>
      <c r="B31" s="294" t="s">
        <v>383</v>
      </c>
      <c r="C31" s="289" t="s">
        <v>721</v>
      </c>
      <c r="D31" s="281">
        <v>29975000</v>
      </c>
      <c r="E31" s="282"/>
      <c r="F31" s="271">
        <f t="shared" si="0"/>
        <v>29975000</v>
      </c>
      <c r="G31" s="655"/>
      <c r="H31" s="651"/>
      <c r="I31" s="271">
        <f t="shared" si="1"/>
        <v>0</v>
      </c>
      <c r="J31" s="284"/>
      <c r="K31" s="285"/>
      <c r="L31" s="271">
        <f t="shared" si="2"/>
        <v>0</v>
      </c>
      <c r="M31" s="275">
        <f t="shared" si="3"/>
        <v>29975000</v>
      </c>
    </row>
    <row r="32" spans="1:13" ht="22.5" customHeight="1">
      <c r="A32" s="276" t="s">
        <v>499</v>
      </c>
      <c r="B32" s="294" t="s">
        <v>82</v>
      </c>
      <c r="C32" s="289" t="s">
        <v>725</v>
      </c>
      <c r="D32" s="281">
        <f>25086204-500000+650000+180000+220000+161080+90000</f>
        <v>25887284</v>
      </c>
      <c r="E32" s="282">
        <f>6823000+87249+152749</f>
        <v>7062998</v>
      </c>
      <c r="F32" s="271">
        <f t="shared" si="0"/>
        <v>32950282</v>
      </c>
      <c r="G32" s="283">
        <v>1468526</v>
      </c>
      <c r="H32" s="651"/>
      <c r="I32" s="271">
        <f t="shared" si="1"/>
        <v>1468526</v>
      </c>
      <c r="J32" s="284"/>
      <c r="K32" s="285"/>
      <c r="L32" s="271">
        <f t="shared" si="2"/>
        <v>0</v>
      </c>
      <c r="M32" s="275">
        <f t="shared" si="3"/>
        <v>34418808</v>
      </c>
    </row>
    <row r="33" spans="1:13" ht="23.25" customHeight="1">
      <c r="A33" s="276" t="s">
        <v>500</v>
      </c>
      <c r="B33" s="294" t="s">
        <v>387</v>
      </c>
      <c r="C33" s="289" t="s">
        <v>726</v>
      </c>
      <c r="D33" s="281">
        <v>360000</v>
      </c>
      <c r="E33" s="651"/>
      <c r="F33" s="271">
        <f t="shared" si="0"/>
        <v>360000</v>
      </c>
      <c r="G33" s="655"/>
      <c r="H33" s="651"/>
      <c r="I33" s="271">
        <f t="shared" si="1"/>
        <v>0</v>
      </c>
      <c r="J33" s="284"/>
      <c r="K33" s="285"/>
      <c r="L33" s="271">
        <f t="shared" si="2"/>
        <v>0</v>
      </c>
      <c r="M33" s="275">
        <f t="shared" si="3"/>
        <v>360000</v>
      </c>
    </row>
    <row r="34" spans="1:13" ht="22.5" customHeight="1">
      <c r="A34" s="276" t="s">
        <v>472</v>
      </c>
      <c r="B34" s="294" t="s">
        <v>388</v>
      </c>
      <c r="C34" s="289" t="s">
        <v>726</v>
      </c>
      <c r="D34" s="281">
        <f>10148541+27436735-12000000+46053+4844-4844-12976-50897</f>
        <v>25567456</v>
      </c>
      <c r="E34" s="282">
        <f>12976</f>
        <v>12976</v>
      </c>
      <c r="F34" s="271">
        <f t="shared" si="0"/>
        <v>25580432</v>
      </c>
      <c r="G34" s="655"/>
      <c r="H34" s="651"/>
      <c r="I34" s="271">
        <f t="shared" si="1"/>
        <v>0</v>
      </c>
      <c r="J34" s="284"/>
      <c r="K34" s="285"/>
      <c r="L34" s="271">
        <f t="shared" si="2"/>
        <v>0</v>
      </c>
      <c r="M34" s="275">
        <f t="shared" si="3"/>
        <v>25580432</v>
      </c>
    </row>
    <row r="35" spans="1:13" ht="22.5" customHeight="1">
      <c r="A35" s="276" t="s">
        <v>501</v>
      </c>
      <c r="B35" s="294" t="s">
        <v>389</v>
      </c>
      <c r="C35" s="289" t="s">
        <v>726</v>
      </c>
      <c r="D35" s="281">
        <f>120000+30000</f>
        <v>150000</v>
      </c>
      <c r="E35" s="651"/>
      <c r="F35" s="271">
        <f t="shared" si="0"/>
        <v>150000</v>
      </c>
      <c r="G35" s="655"/>
      <c r="H35" s="651"/>
      <c r="I35" s="271">
        <f t="shared" si="1"/>
        <v>0</v>
      </c>
      <c r="J35" s="284"/>
      <c r="K35" s="285"/>
      <c r="L35" s="271">
        <f t="shared" si="2"/>
        <v>0</v>
      </c>
      <c r="M35" s="275">
        <f t="shared" si="3"/>
        <v>150000</v>
      </c>
    </row>
    <row r="36" spans="1:13" ht="29.25" customHeight="1">
      <c r="A36" s="276" t="s">
        <v>427</v>
      </c>
      <c r="B36" s="278" t="s">
        <v>734</v>
      </c>
      <c r="C36" s="277" t="s">
        <v>726</v>
      </c>
      <c r="D36" s="281">
        <f>24199734+254000+2193899+383932+565720+99001-162937</f>
        <v>27533349</v>
      </c>
      <c r="E36" s="282">
        <f>162937</f>
        <v>162937</v>
      </c>
      <c r="F36" s="271">
        <f t="shared" si="0"/>
        <v>27696286</v>
      </c>
      <c r="G36" s="655"/>
      <c r="H36" s="651"/>
      <c r="I36" s="271">
        <f t="shared" si="1"/>
        <v>0</v>
      </c>
      <c r="J36" s="284"/>
      <c r="K36" s="285"/>
      <c r="L36" s="271">
        <f t="shared" si="2"/>
        <v>0</v>
      </c>
      <c r="M36" s="275">
        <f t="shared" si="3"/>
        <v>27696286</v>
      </c>
    </row>
    <row r="37" spans="1:13" ht="29.25" customHeight="1">
      <c r="A37" s="276" t="s">
        <v>428</v>
      </c>
      <c r="B37" s="286" t="s">
        <v>81</v>
      </c>
      <c r="C37" s="271" t="s">
        <v>727</v>
      </c>
      <c r="D37" s="281">
        <v>18713000</v>
      </c>
      <c r="E37" s="282">
        <f>764084</f>
        <v>764084</v>
      </c>
      <c r="F37" s="271">
        <f t="shared" si="0"/>
        <v>19477084</v>
      </c>
      <c r="G37" s="656"/>
      <c r="H37" s="282"/>
      <c r="I37" s="271">
        <f t="shared" si="1"/>
        <v>0</v>
      </c>
      <c r="J37" s="284"/>
      <c r="K37" s="285"/>
      <c r="L37" s="271">
        <f t="shared" si="2"/>
        <v>0</v>
      </c>
      <c r="M37" s="275">
        <f t="shared" si="3"/>
        <v>19477084</v>
      </c>
    </row>
    <row r="38" spans="1:13" ht="29.25" customHeight="1">
      <c r="A38" s="276" t="s">
        <v>429</v>
      </c>
      <c r="B38" s="286" t="s">
        <v>1113</v>
      </c>
      <c r="C38" s="271"/>
      <c r="D38" s="281"/>
      <c r="E38" s="651"/>
      <c r="F38" s="271">
        <f t="shared" si="0"/>
        <v>0</v>
      </c>
      <c r="G38" s="791"/>
      <c r="H38" s="282"/>
      <c r="I38" s="271">
        <f t="shared" si="1"/>
        <v>0</v>
      </c>
      <c r="J38" s="284"/>
      <c r="K38" s="285"/>
      <c r="L38" s="271">
        <f t="shared" si="2"/>
        <v>0</v>
      </c>
      <c r="M38" s="275">
        <f t="shared" si="3"/>
        <v>0</v>
      </c>
    </row>
    <row r="39" spans="1:13" ht="30.75" customHeight="1">
      <c r="A39" s="276" t="s">
        <v>502</v>
      </c>
      <c r="B39" s="301" t="s">
        <v>617</v>
      </c>
      <c r="C39" s="271"/>
      <c r="D39" s="650"/>
      <c r="E39" s="651"/>
      <c r="F39" s="271">
        <f t="shared" si="0"/>
        <v>0</v>
      </c>
      <c r="G39" s="288">
        <v>1823311</v>
      </c>
      <c r="H39" s="282">
        <v>700000</v>
      </c>
      <c r="I39" s="271">
        <f t="shared" si="1"/>
        <v>2523311</v>
      </c>
      <c r="J39" s="284"/>
      <c r="K39" s="285"/>
      <c r="L39" s="271">
        <f t="shared" si="2"/>
        <v>0</v>
      </c>
      <c r="M39" s="275">
        <f t="shared" si="3"/>
        <v>2523311</v>
      </c>
    </row>
    <row r="40" spans="1:13" ht="21.75" customHeight="1">
      <c r="A40" s="276" t="s">
        <v>430</v>
      </c>
      <c r="B40" s="294" t="s">
        <v>83</v>
      </c>
      <c r="C40" s="289"/>
      <c r="D40" s="281"/>
      <c r="E40" s="651"/>
      <c r="F40" s="271">
        <f t="shared" si="0"/>
        <v>0</v>
      </c>
      <c r="G40" s="283">
        <v>49530</v>
      </c>
      <c r="H40" s="651"/>
      <c r="I40" s="271">
        <f t="shared" si="1"/>
        <v>49530</v>
      </c>
      <c r="J40" s="284"/>
      <c r="K40" s="285"/>
      <c r="L40" s="271">
        <f t="shared" si="2"/>
        <v>0</v>
      </c>
      <c r="M40" s="275">
        <f t="shared" si="3"/>
        <v>49530</v>
      </c>
    </row>
    <row r="41" spans="1:13" ht="23.25" customHeight="1">
      <c r="A41" s="276" t="s">
        <v>448</v>
      </c>
      <c r="B41" s="278" t="s">
        <v>1107</v>
      </c>
      <c r="C41" s="293"/>
      <c r="D41" s="652"/>
      <c r="E41" s="653"/>
      <c r="F41" s="271">
        <f t="shared" si="0"/>
        <v>0</v>
      </c>
      <c r="G41" s="292">
        <f>19772715+55</f>
        <v>19772770</v>
      </c>
      <c r="H41" s="291">
        <f>55-55+1578000</f>
        <v>1578000</v>
      </c>
      <c r="I41" s="271">
        <f t="shared" si="1"/>
        <v>21350770</v>
      </c>
      <c r="J41" s="284"/>
      <c r="K41" s="285"/>
      <c r="L41" s="271">
        <f t="shared" si="2"/>
        <v>0</v>
      </c>
      <c r="M41" s="275">
        <f t="shared" si="3"/>
        <v>21350770</v>
      </c>
    </row>
    <row r="42" spans="1:13" ht="23.25" customHeight="1">
      <c r="A42" s="276" t="s">
        <v>503</v>
      </c>
      <c r="B42" s="278" t="s">
        <v>885</v>
      </c>
      <c r="C42" s="271" t="s">
        <v>733</v>
      </c>
      <c r="D42" s="652"/>
      <c r="E42" s="291">
        <f>19957013+1600000+29999998-228000+228000</f>
        <v>51557011</v>
      </c>
      <c r="F42" s="271">
        <f t="shared" si="0"/>
        <v>51557011</v>
      </c>
      <c r="G42" s="292"/>
      <c r="H42" s="653"/>
      <c r="I42" s="271">
        <f t="shared" si="1"/>
        <v>0</v>
      </c>
      <c r="J42" s="284"/>
      <c r="K42" s="285"/>
      <c r="L42" s="271">
        <f t="shared" si="2"/>
        <v>0</v>
      </c>
      <c r="M42" s="275">
        <f t="shared" si="3"/>
        <v>51557011</v>
      </c>
    </row>
    <row r="43" spans="1:13" ht="23.25" customHeight="1">
      <c r="A43" s="276" t="s">
        <v>504</v>
      </c>
      <c r="B43" s="278" t="s">
        <v>886</v>
      </c>
      <c r="C43" s="293"/>
      <c r="D43" s="652"/>
      <c r="E43" s="291"/>
      <c r="F43" s="271">
        <f t="shared" si="0"/>
        <v>0</v>
      </c>
      <c r="G43" s="292">
        <f>12971925-1725000-301875+2350000+131474-1564044-917430</f>
        <v>10945050</v>
      </c>
      <c r="H43" s="653"/>
      <c r="I43" s="271">
        <f t="shared" si="1"/>
        <v>10945050</v>
      </c>
      <c r="J43" s="284"/>
      <c r="K43" s="285"/>
      <c r="L43" s="271">
        <f t="shared" si="2"/>
        <v>0</v>
      </c>
      <c r="M43" s="275">
        <f t="shared" si="3"/>
        <v>10945050</v>
      </c>
    </row>
    <row r="44" spans="1:13" ht="24" customHeight="1">
      <c r="A44" s="276" t="s">
        <v>896</v>
      </c>
      <c r="B44" s="278" t="s">
        <v>654</v>
      </c>
      <c r="C44" s="287" t="s">
        <v>737</v>
      </c>
      <c r="D44" s="290">
        <f>58023789+300000</f>
        <v>58323789</v>
      </c>
      <c r="E44" s="291">
        <f>620000+14850</f>
        <v>634850</v>
      </c>
      <c r="F44" s="271">
        <f t="shared" si="0"/>
        <v>58958639</v>
      </c>
      <c r="G44" s="657"/>
      <c r="H44" s="653"/>
      <c r="I44" s="271">
        <f t="shared" si="1"/>
        <v>0</v>
      </c>
      <c r="J44" s="284"/>
      <c r="K44" s="285"/>
      <c r="L44" s="271">
        <f t="shared" si="2"/>
        <v>0</v>
      </c>
      <c r="M44" s="275">
        <f t="shared" si="3"/>
        <v>58958639</v>
      </c>
    </row>
    <row r="45" spans="1:13" ht="24">
      <c r="A45" s="276" t="s">
        <v>897</v>
      </c>
      <c r="B45" s="278" t="s">
        <v>615</v>
      </c>
      <c r="C45" s="277"/>
      <c r="D45" s="652"/>
      <c r="E45" s="653"/>
      <c r="F45" s="271">
        <f>SUM(D45:E45)</f>
        <v>0</v>
      </c>
      <c r="G45" s="292">
        <v>117194</v>
      </c>
      <c r="H45" s="653"/>
      <c r="I45" s="271">
        <f>SUM(G45:H45)</f>
        <v>117194</v>
      </c>
      <c r="J45" s="284"/>
      <c r="K45" s="285"/>
      <c r="L45" s="271">
        <f>SUM(J45:K45)</f>
        <v>0</v>
      </c>
      <c r="M45" s="275">
        <f>SUM(F45+I45+L45)</f>
        <v>117194</v>
      </c>
    </row>
    <row r="46" spans="1:13" ht="21.75" customHeight="1">
      <c r="A46" s="276" t="s">
        <v>898</v>
      </c>
      <c r="B46" s="294" t="s">
        <v>715</v>
      </c>
      <c r="C46" s="289"/>
      <c r="D46" s="650"/>
      <c r="E46" s="651"/>
      <c r="F46" s="271">
        <f t="shared" si="0"/>
        <v>0</v>
      </c>
      <c r="G46" s="283">
        <f>34022000+121160</f>
        <v>34143160</v>
      </c>
      <c r="H46" s="651"/>
      <c r="I46" s="271">
        <f t="shared" si="1"/>
        <v>34143160</v>
      </c>
      <c r="J46" s="284"/>
      <c r="K46" s="285"/>
      <c r="L46" s="271">
        <f t="shared" si="2"/>
        <v>0</v>
      </c>
      <c r="M46" s="275">
        <f t="shared" si="3"/>
        <v>34143160</v>
      </c>
    </row>
    <row r="47" spans="1:13" ht="21.75" customHeight="1">
      <c r="A47" s="276" t="s">
        <v>899</v>
      </c>
      <c r="B47" s="294" t="s">
        <v>887</v>
      </c>
      <c r="C47" s="289" t="s">
        <v>934</v>
      </c>
      <c r="D47" s="281">
        <v>4417000</v>
      </c>
      <c r="E47" s="651"/>
      <c r="F47" s="271">
        <f>SUM(D47:E47)</f>
        <v>4417000</v>
      </c>
      <c r="G47" s="283"/>
      <c r="H47" s="651"/>
      <c r="I47" s="271">
        <f>SUM(G47:H47)</f>
        <v>0</v>
      </c>
      <c r="J47" s="284"/>
      <c r="K47" s="285"/>
      <c r="L47" s="271">
        <f aca="true" t="shared" si="4" ref="L47:L57">SUM(J47:K47)</f>
        <v>0</v>
      </c>
      <c r="M47" s="275">
        <f>SUM(F47+I47+L47)</f>
        <v>4417000</v>
      </c>
    </row>
    <row r="48" spans="1:13" ht="27" customHeight="1">
      <c r="A48" s="276" t="s">
        <v>900</v>
      </c>
      <c r="B48" s="294" t="s">
        <v>1106</v>
      </c>
      <c r="C48" s="289" t="s">
        <v>742</v>
      </c>
      <c r="D48" s="281">
        <f>1778400-27360-429210</f>
        <v>1321830</v>
      </c>
      <c r="E48" s="651"/>
      <c r="F48" s="271">
        <f>SUM(D48:E48)</f>
        <v>1321830</v>
      </c>
      <c r="G48" s="655"/>
      <c r="H48" s="651"/>
      <c r="I48" s="271">
        <f>SUM(G48:H48)</f>
        <v>0</v>
      </c>
      <c r="J48" s="284"/>
      <c r="K48" s="285"/>
      <c r="L48" s="271">
        <f t="shared" si="4"/>
        <v>0</v>
      </c>
      <c r="M48" s="275">
        <f>SUM(F48+I48+L48)</f>
        <v>1321830</v>
      </c>
    </row>
    <row r="49" spans="1:13" ht="25.5" customHeight="1">
      <c r="A49" s="276" t="s">
        <v>901</v>
      </c>
      <c r="B49" s="294" t="s">
        <v>796</v>
      </c>
      <c r="C49" s="289"/>
      <c r="D49" s="650"/>
      <c r="E49" s="651"/>
      <c r="F49" s="271">
        <f t="shared" si="0"/>
        <v>0</v>
      </c>
      <c r="G49" s="283">
        <f>58227996-338000-65910</f>
        <v>57824086</v>
      </c>
      <c r="H49" s="282">
        <v>11411381</v>
      </c>
      <c r="I49" s="271">
        <f t="shared" si="1"/>
        <v>69235467</v>
      </c>
      <c r="J49" s="284"/>
      <c r="K49" s="285"/>
      <c r="L49" s="271">
        <f t="shared" si="4"/>
        <v>0</v>
      </c>
      <c r="M49" s="275">
        <f t="shared" si="3"/>
        <v>69235467</v>
      </c>
    </row>
    <row r="50" spans="1:13" ht="25.5" customHeight="1">
      <c r="A50" s="276" t="s">
        <v>902</v>
      </c>
      <c r="B50" s="294" t="s">
        <v>935</v>
      </c>
      <c r="C50" s="271" t="s">
        <v>937</v>
      </c>
      <c r="D50" s="650"/>
      <c r="E50" s="651"/>
      <c r="F50" s="271">
        <f t="shared" si="0"/>
        <v>0</v>
      </c>
      <c r="G50" s="283">
        <v>3047000</v>
      </c>
      <c r="H50" s="282"/>
      <c r="I50" s="271">
        <f t="shared" si="1"/>
        <v>3047000</v>
      </c>
      <c r="J50" s="284"/>
      <c r="K50" s="285"/>
      <c r="L50" s="271">
        <f t="shared" si="4"/>
        <v>0</v>
      </c>
      <c r="M50" s="275">
        <f t="shared" si="3"/>
        <v>3047000</v>
      </c>
    </row>
    <row r="51" spans="1:13" ht="21.75" customHeight="1">
      <c r="A51" s="276" t="s">
        <v>903</v>
      </c>
      <c r="B51" s="294" t="s">
        <v>936</v>
      </c>
      <c r="C51" s="289" t="s">
        <v>937</v>
      </c>
      <c r="D51" s="281"/>
      <c r="E51" s="651"/>
      <c r="F51" s="271">
        <f t="shared" si="0"/>
        <v>0</v>
      </c>
      <c r="G51" s="283">
        <v>4852000</v>
      </c>
      <c r="H51" s="651"/>
      <c r="I51" s="271">
        <f t="shared" si="1"/>
        <v>4852000</v>
      </c>
      <c r="J51" s="284"/>
      <c r="K51" s="285"/>
      <c r="L51" s="271">
        <f t="shared" si="4"/>
        <v>0</v>
      </c>
      <c r="M51" s="275">
        <f t="shared" si="3"/>
        <v>4852000</v>
      </c>
    </row>
    <row r="52" spans="1:13" ht="21.75" customHeight="1">
      <c r="A52" s="276" t="s">
        <v>933</v>
      </c>
      <c r="B52" s="294" t="s">
        <v>468</v>
      </c>
      <c r="C52" s="289" t="s">
        <v>730</v>
      </c>
      <c r="D52" s="281">
        <f>6560000+75340</f>
        <v>6635340</v>
      </c>
      <c r="E52" s="651"/>
      <c r="F52" s="271">
        <f t="shared" si="0"/>
        <v>6635340</v>
      </c>
      <c r="G52" s="655"/>
      <c r="H52" s="651"/>
      <c r="I52" s="271">
        <f t="shared" si="1"/>
        <v>0</v>
      </c>
      <c r="J52" s="284"/>
      <c r="K52" s="285"/>
      <c r="L52" s="271">
        <f t="shared" si="4"/>
        <v>0</v>
      </c>
      <c r="M52" s="275">
        <f t="shared" si="3"/>
        <v>6635340</v>
      </c>
    </row>
    <row r="53" spans="1:13" ht="21.75" customHeight="1">
      <c r="A53" s="276" t="s">
        <v>939</v>
      </c>
      <c r="B53" s="294" t="s">
        <v>893</v>
      </c>
      <c r="C53" s="289" t="s">
        <v>938</v>
      </c>
      <c r="D53" s="281">
        <v>2738000</v>
      </c>
      <c r="E53" s="651"/>
      <c r="F53" s="271">
        <f t="shared" si="0"/>
        <v>2738000</v>
      </c>
      <c r="G53" s="655"/>
      <c r="H53" s="651"/>
      <c r="I53" s="271">
        <f t="shared" si="1"/>
        <v>0</v>
      </c>
      <c r="J53" s="284"/>
      <c r="K53" s="285"/>
      <c r="L53" s="271">
        <f t="shared" si="4"/>
        <v>0</v>
      </c>
      <c r="M53" s="275">
        <f t="shared" si="3"/>
        <v>2738000</v>
      </c>
    </row>
    <row r="54" spans="1:13" ht="26.25" customHeight="1">
      <c r="A54" s="276" t="s">
        <v>940</v>
      </c>
      <c r="B54" s="278" t="s">
        <v>618</v>
      </c>
      <c r="C54" s="271" t="s">
        <v>738</v>
      </c>
      <c r="D54" s="281">
        <f>3804900+8004000</f>
        <v>11808900</v>
      </c>
      <c r="E54" s="651"/>
      <c r="F54" s="271">
        <f t="shared" si="0"/>
        <v>11808900</v>
      </c>
      <c r="G54" s="655"/>
      <c r="H54" s="651"/>
      <c r="I54" s="271">
        <f t="shared" si="1"/>
        <v>0</v>
      </c>
      <c r="J54" s="284"/>
      <c r="K54" s="285"/>
      <c r="L54" s="271">
        <f t="shared" si="4"/>
        <v>0</v>
      </c>
      <c r="M54" s="275">
        <f t="shared" si="3"/>
        <v>11808900</v>
      </c>
    </row>
    <row r="55" spans="1:13" ht="26.25" customHeight="1">
      <c r="A55" s="276" t="s">
        <v>1028</v>
      </c>
      <c r="B55" s="278" t="s">
        <v>895</v>
      </c>
      <c r="C55" s="277"/>
      <c r="D55" s="281"/>
      <c r="E55" s="651"/>
      <c r="F55" s="271">
        <f t="shared" si="0"/>
        <v>0</v>
      </c>
      <c r="G55" s="283">
        <f>76044041-2666710-520008+24000000+4680000-28680000+801000-2006767</f>
        <v>71651556</v>
      </c>
      <c r="H55" s="282">
        <f>5319730+1205767</f>
        <v>6525497</v>
      </c>
      <c r="I55" s="271">
        <f t="shared" si="1"/>
        <v>78177053</v>
      </c>
      <c r="J55" s="284"/>
      <c r="K55" s="284"/>
      <c r="L55" s="271">
        <f t="shared" si="4"/>
        <v>0</v>
      </c>
      <c r="M55" s="275">
        <f t="shared" si="3"/>
        <v>78177053</v>
      </c>
    </row>
    <row r="56" spans="1:13" s="247" customFormat="1" ht="27.75" customHeight="1">
      <c r="A56" s="276" t="s">
        <v>1029</v>
      </c>
      <c r="B56" s="278" t="s">
        <v>386</v>
      </c>
      <c r="C56" s="277" t="s">
        <v>731</v>
      </c>
      <c r="D56" s="281">
        <f>2350000-1000000-180000-220000+926229-512000+1618094-603515-397884-11225-196500-182700-226270</f>
        <v>1364229</v>
      </c>
      <c r="E56" s="282">
        <f>15055017+4841519</f>
        <v>19896536</v>
      </c>
      <c r="F56" s="271">
        <f t="shared" si="0"/>
        <v>21260765</v>
      </c>
      <c r="G56" s="281">
        <f>200000+2036448-200000</f>
        <v>2036448</v>
      </c>
      <c r="H56" s="651"/>
      <c r="I56" s="271">
        <f t="shared" si="1"/>
        <v>2036448</v>
      </c>
      <c r="J56" s="296"/>
      <c r="K56" s="296"/>
      <c r="L56" s="271">
        <f t="shared" si="4"/>
        <v>0</v>
      </c>
      <c r="M56" s="275">
        <f t="shared" si="3"/>
        <v>23297213</v>
      </c>
    </row>
    <row r="57" spans="1:13" ht="24.75" customHeight="1" thickBot="1">
      <c r="A57" s="276" t="s">
        <v>1144</v>
      </c>
      <c r="B57" s="278" t="s">
        <v>616</v>
      </c>
      <c r="C57" s="298"/>
      <c r="D57" s="661"/>
      <c r="E57" s="662"/>
      <c r="F57" s="305">
        <f t="shared" si="0"/>
        <v>0</v>
      </c>
      <c r="G57" s="663">
        <f>8285000-165615+874745-160013</f>
        <v>8834117</v>
      </c>
      <c r="H57" s="662"/>
      <c r="I57" s="305">
        <f t="shared" si="1"/>
        <v>8834117</v>
      </c>
      <c r="J57" s="664"/>
      <c r="K57" s="664"/>
      <c r="L57" s="305">
        <f t="shared" si="4"/>
        <v>0</v>
      </c>
      <c r="M57" s="665">
        <f t="shared" si="3"/>
        <v>8834117</v>
      </c>
    </row>
    <row r="58" spans="1:16" s="247" customFormat="1" ht="14.25" thickBot="1">
      <c r="A58" s="1059" t="s">
        <v>716</v>
      </c>
      <c r="B58" s="1060"/>
      <c r="C58" s="1061"/>
      <c r="D58" s="303">
        <f aca="true" t="shared" si="5" ref="D58:M58">SUM(D9:D57)</f>
        <v>630908925</v>
      </c>
      <c r="E58" s="666">
        <f t="shared" si="5"/>
        <v>406983273</v>
      </c>
      <c r="F58" s="667">
        <f t="shared" si="5"/>
        <v>1037892198</v>
      </c>
      <c r="G58" s="666">
        <f t="shared" si="5"/>
        <v>237374175</v>
      </c>
      <c r="H58" s="666">
        <f t="shared" si="5"/>
        <v>882960326</v>
      </c>
      <c r="I58" s="667">
        <f t="shared" si="5"/>
        <v>1120334501</v>
      </c>
      <c r="J58" s="666">
        <f t="shared" si="5"/>
        <v>29297034</v>
      </c>
      <c r="K58" s="666">
        <f t="shared" si="5"/>
        <v>0</v>
      </c>
      <c r="L58" s="667">
        <f t="shared" si="5"/>
        <v>29297034</v>
      </c>
      <c r="M58" s="667">
        <f t="shared" si="5"/>
        <v>2187523733</v>
      </c>
      <c r="P58" s="503">
        <f>SUM(L58,I58,F58)</f>
        <v>2187523733</v>
      </c>
    </row>
    <row r="59" spans="1:13" ht="30.75" customHeight="1">
      <c r="A59" s="280" t="s">
        <v>405</v>
      </c>
      <c r="B59" s="278" t="s">
        <v>59</v>
      </c>
      <c r="C59" s="268" t="s">
        <v>732</v>
      </c>
      <c r="D59" s="299">
        <f>142790403+2326520+453671+1537859+200000+39000+2108200-829010-6147-3000-2105-5700000-1860949-5118075-41339-3</f>
        <v>135895025</v>
      </c>
      <c r="E59" s="300">
        <f>1016000+226270+41339</f>
        <v>1283609</v>
      </c>
      <c r="F59" s="271">
        <f aca="true" t="shared" si="6" ref="F59:F65">SUM(D59:E59)</f>
        <v>137178634</v>
      </c>
      <c r="G59" s="299"/>
      <c r="H59" s="300"/>
      <c r="I59" s="881">
        <f aca="true" t="shared" si="7" ref="I59:I65">SUM(G59:H59)</f>
        <v>0</v>
      </c>
      <c r="J59" s="299"/>
      <c r="K59" s="300"/>
      <c r="L59" s="881">
        <f aca="true" t="shared" si="8" ref="L59:L65">SUM(J59:K59)</f>
        <v>0</v>
      </c>
      <c r="M59" s="275">
        <f aca="true" t="shared" si="9" ref="M59:M65">SUM(L59,I59,F59)</f>
        <v>137178634</v>
      </c>
    </row>
    <row r="60" spans="1:13" ht="30.75" customHeight="1">
      <c r="A60" s="280" t="s">
        <v>406</v>
      </c>
      <c r="B60" s="278" t="s">
        <v>1024</v>
      </c>
      <c r="C60" s="277" t="s">
        <v>1026</v>
      </c>
      <c r="D60" s="269">
        <f>1420400+293204+247115+47334+2742+6213-8955+6147</f>
        <v>2014200</v>
      </c>
      <c r="E60" s="270"/>
      <c r="F60" s="271">
        <f t="shared" si="6"/>
        <v>2014200</v>
      </c>
      <c r="G60" s="269"/>
      <c r="H60" s="270"/>
      <c r="I60" s="271">
        <f t="shared" si="7"/>
        <v>0</v>
      </c>
      <c r="J60" s="269"/>
      <c r="K60" s="270"/>
      <c r="L60" s="271">
        <f t="shared" si="8"/>
        <v>0</v>
      </c>
      <c r="M60" s="275">
        <f t="shared" si="9"/>
        <v>2014200</v>
      </c>
    </row>
    <row r="61" spans="1:13" ht="48">
      <c r="A61" s="280" t="s">
        <v>407</v>
      </c>
      <c r="B61" s="278" t="s">
        <v>1083</v>
      </c>
      <c r="C61" s="277" t="s">
        <v>1026</v>
      </c>
      <c r="D61" s="269">
        <f>2156000+325371+33428+76049-40562</f>
        <v>2550286</v>
      </c>
      <c r="E61" s="270">
        <v>40565</v>
      </c>
      <c r="F61" s="271">
        <f t="shared" si="6"/>
        <v>2590851</v>
      </c>
      <c r="G61" s="269"/>
      <c r="H61" s="270"/>
      <c r="I61" s="271">
        <f t="shared" si="7"/>
        <v>0</v>
      </c>
      <c r="J61" s="269"/>
      <c r="K61" s="270"/>
      <c r="L61" s="277">
        <f t="shared" si="8"/>
        <v>0</v>
      </c>
      <c r="M61" s="275">
        <f t="shared" si="9"/>
        <v>2590851</v>
      </c>
    </row>
    <row r="62" spans="1:13" ht="48">
      <c r="A62" s="280" t="s">
        <v>408</v>
      </c>
      <c r="B62" s="278" t="s">
        <v>873</v>
      </c>
      <c r="C62" s="277"/>
      <c r="D62" s="269"/>
      <c r="E62" s="270"/>
      <c r="F62" s="271">
        <f t="shared" si="6"/>
        <v>0</v>
      </c>
      <c r="G62" s="269">
        <f>4015200+1725000+301875-115000-266525</f>
        <v>5660550</v>
      </c>
      <c r="H62" s="270"/>
      <c r="I62" s="271">
        <f t="shared" si="7"/>
        <v>5660550</v>
      </c>
      <c r="J62" s="269"/>
      <c r="K62" s="270"/>
      <c r="L62" s="271">
        <f t="shared" si="8"/>
        <v>0</v>
      </c>
      <c r="M62" s="275">
        <f t="shared" si="9"/>
        <v>5660550</v>
      </c>
    </row>
    <row r="63" spans="1:13" ht="36">
      <c r="A63" s="280" t="s">
        <v>409</v>
      </c>
      <c r="B63" s="278" t="s">
        <v>1025</v>
      </c>
      <c r="C63" s="277"/>
      <c r="D63" s="269"/>
      <c r="E63" s="270"/>
      <c r="F63" s="271">
        <f t="shared" si="6"/>
        <v>0</v>
      </c>
      <c r="G63" s="269">
        <f>338000+65910</f>
        <v>403910</v>
      </c>
      <c r="H63" s="270"/>
      <c r="I63" s="271">
        <f t="shared" si="7"/>
        <v>403910</v>
      </c>
      <c r="J63" s="269"/>
      <c r="K63" s="270"/>
      <c r="L63" s="271">
        <f t="shared" si="8"/>
        <v>0</v>
      </c>
      <c r="M63" s="275">
        <f t="shared" si="9"/>
        <v>403910</v>
      </c>
    </row>
    <row r="64" spans="1:13" ht="48">
      <c r="A64" s="280" t="s">
        <v>410</v>
      </c>
      <c r="B64" s="278" t="s">
        <v>1061</v>
      </c>
      <c r="C64" s="277"/>
      <c r="D64" s="269"/>
      <c r="E64" s="270"/>
      <c r="F64" s="271">
        <f t="shared" si="6"/>
        <v>0</v>
      </c>
      <c r="G64" s="269">
        <f>2666710+520008-100000-46400</f>
        <v>3040318</v>
      </c>
      <c r="H64" s="270"/>
      <c r="I64" s="271">
        <f t="shared" si="7"/>
        <v>3040318</v>
      </c>
      <c r="J64" s="269"/>
      <c r="K64" s="270"/>
      <c r="L64" s="271">
        <f t="shared" si="8"/>
        <v>0</v>
      </c>
      <c r="M64" s="275">
        <f t="shared" si="9"/>
        <v>3040318</v>
      </c>
    </row>
    <row r="65" spans="1:13" ht="30.75" customHeight="1" thickBot="1">
      <c r="A65" s="280" t="s">
        <v>411</v>
      </c>
      <c r="B65" s="301" t="s">
        <v>828</v>
      </c>
      <c r="C65" s="302" t="s">
        <v>622</v>
      </c>
      <c r="D65" s="281">
        <f>7430000-7430000</f>
        <v>0</v>
      </c>
      <c r="E65" s="282"/>
      <c r="F65" s="271">
        <f t="shared" si="6"/>
        <v>0</v>
      </c>
      <c r="G65" s="281"/>
      <c r="H65" s="282"/>
      <c r="I65" s="277">
        <f t="shared" si="7"/>
        <v>0</v>
      </c>
      <c r="J65" s="281"/>
      <c r="K65" s="282"/>
      <c r="L65" s="271">
        <f t="shared" si="8"/>
        <v>0</v>
      </c>
      <c r="M65" s="275">
        <f t="shared" si="9"/>
        <v>0</v>
      </c>
    </row>
    <row r="66" spans="1:16" s="247" customFormat="1" ht="14.25" thickBot="1">
      <c r="A66" s="1059" t="s">
        <v>505</v>
      </c>
      <c r="B66" s="1060"/>
      <c r="C66" s="1061"/>
      <c r="D66" s="303">
        <f aca="true" t="shared" si="10" ref="D66:M66">SUM(D59:D65)</f>
        <v>140459511</v>
      </c>
      <c r="E66" s="666">
        <f t="shared" si="10"/>
        <v>1324174</v>
      </c>
      <c r="F66" s="667">
        <f t="shared" si="10"/>
        <v>141783685</v>
      </c>
      <c r="G66" s="666">
        <f t="shared" si="10"/>
        <v>9104778</v>
      </c>
      <c r="H66" s="666">
        <f t="shared" si="10"/>
        <v>0</v>
      </c>
      <c r="I66" s="667">
        <f t="shared" si="10"/>
        <v>9104778</v>
      </c>
      <c r="J66" s="666">
        <f t="shared" si="10"/>
        <v>0</v>
      </c>
      <c r="K66" s="666">
        <f t="shared" si="10"/>
        <v>0</v>
      </c>
      <c r="L66" s="667">
        <f t="shared" si="10"/>
        <v>0</v>
      </c>
      <c r="M66" s="667">
        <f t="shared" si="10"/>
        <v>150888463</v>
      </c>
      <c r="P66" s="503"/>
    </row>
    <row r="67" spans="1:13" ht="23.25" customHeight="1">
      <c r="A67" s="266" t="s">
        <v>405</v>
      </c>
      <c r="B67" s="306" t="s">
        <v>506</v>
      </c>
      <c r="C67" s="287" t="s">
        <v>737</v>
      </c>
      <c r="D67" s="307">
        <f>34363647-36576-1736616-2300000</f>
        <v>30290455</v>
      </c>
      <c r="E67" s="308">
        <v>36576</v>
      </c>
      <c r="F67" s="305">
        <f aca="true" t="shared" si="11" ref="F67:F77">SUM(D67:E67)</f>
        <v>30327031</v>
      </c>
      <c r="G67" s="307"/>
      <c r="H67" s="308"/>
      <c r="I67" s="305">
        <f aca="true" t="shared" si="12" ref="I67:I77">SUM(G67:H67)</f>
        <v>0</v>
      </c>
      <c r="J67" s="307"/>
      <c r="K67" s="308"/>
      <c r="L67" s="305">
        <f aca="true" t="shared" si="13" ref="L67:L77">SUM(J67:K67)</f>
        <v>0</v>
      </c>
      <c r="M67" s="275">
        <f aca="true" t="shared" si="14" ref="M67:M77">SUM(L67,I67,F67)</f>
        <v>30327031</v>
      </c>
    </row>
    <row r="68" spans="1:13" ht="23.25" customHeight="1">
      <c r="A68" s="280" t="s">
        <v>406</v>
      </c>
      <c r="B68" s="278" t="s">
        <v>941</v>
      </c>
      <c r="C68" s="320" t="s">
        <v>733</v>
      </c>
      <c r="D68" s="290">
        <f>126783640-1359950+656145+220000+42900-600000-889000-273095+889000-91000-592498+69342-3-39600-800-2140+5476073-2916269-1633725-374909-153990</f>
        <v>125210121</v>
      </c>
      <c r="E68" s="291">
        <f>552450+273095+592498-108966+374909+119050</f>
        <v>1803036</v>
      </c>
      <c r="F68" s="271">
        <f t="shared" si="11"/>
        <v>127013157</v>
      </c>
      <c r="G68" s="297"/>
      <c r="H68" s="295"/>
      <c r="I68" s="271">
        <f t="shared" si="12"/>
        <v>0</v>
      </c>
      <c r="J68" s="284"/>
      <c r="K68" s="284"/>
      <c r="L68" s="271">
        <f t="shared" si="13"/>
        <v>0</v>
      </c>
      <c r="M68" s="275">
        <f t="shared" si="14"/>
        <v>127013157</v>
      </c>
    </row>
    <row r="69" spans="1:13" ht="23.25" customHeight="1">
      <c r="A69" s="276" t="s">
        <v>407</v>
      </c>
      <c r="B69" s="278" t="s">
        <v>591</v>
      </c>
      <c r="C69" s="320" t="s">
        <v>621</v>
      </c>
      <c r="D69" s="290">
        <f>28507248+45000-46143+49530-177773-11082+2781486+375052-1000000-49820-139700</f>
        <v>30333798</v>
      </c>
      <c r="E69" s="291">
        <f>152400+46143-39624+49820+139700</f>
        <v>348439</v>
      </c>
      <c r="F69" s="271">
        <f t="shared" si="11"/>
        <v>30682237</v>
      </c>
      <c r="G69" s="297"/>
      <c r="H69" s="295"/>
      <c r="I69" s="271">
        <f t="shared" si="12"/>
        <v>0</v>
      </c>
      <c r="J69" s="284"/>
      <c r="K69" s="284"/>
      <c r="L69" s="271">
        <f t="shared" si="13"/>
        <v>0</v>
      </c>
      <c r="M69" s="275">
        <f t="shared" si="14"/>
        <v>30682237</v>
      </c>
    </row>
    <row r="70" spans="1:13" ht="23.25" customHeight="1">
      <c r="A70" s="276" t="s">
        <v>408</v>
      </c>
      <c r="B70" s="278" t="s">
        <v>717</v>
      </c>
      <c r="C70" s="320" t="s">
        <v>739</v>
      </c>
      <c r="D70" s="290">
        <f>20738697+10000+69342-150000-50000-1500000-262500-520000-1000000-2300000</f>
        <v>15035539</v>
      </c>
      <c r="E70" s="291">
        <f>241300-69342</f>
        <v>171958</v>
      </c>
      <c r="F70" s="271">
        <f t="shared" si="11"/>
        <v>15207497</v>
      </c>
      <c r="G70" s="297"/>
      <c r="H70" s="295"/>
      <c r="I70" s="271">
        <f t="shared" si="12"/>
        <v>0</v>
      </c>
      <c r="J70" s="284"/>
      <c r="K70" s="284"/>
      <c r="L70" s="271">
        <f t="shared" si="13"/>
        <v>0</v>
      </c>
      <c r="M70" s="275">
        <f t="shared" si="14"/>
        <v>15207497</v>
      </c>
    </row>
    <row r="71" spans="1:13" ht="23.25" customHeight="1">
      <c r="A71" s="276" t="s">
        <v>409</v>
      </c>
      <c r="B71" s="278" t="s">
        <v>718</v>
      </c>
      <c r="C71" s="320" t="s">
        <v>740</v>
      </c>
      <c r="D71" s="292">
        <f>12163522+56100+10940+24000+9906-25500-4973-75000-320000</f>
        <v>11838995</v>
      </c>
      <c r="E71" s="291"/>
      <c r="F71" s="271">
        <f t="shared" si="11"/>
        <v>11838995</v>
      </c>
      <c r="G71" s="292"/>
      <c r="H71" s="291"/>
      <c r="I71" s="271">
        <f t="shared" si="12"/>
        <v>0</v>
      </c>
      <c r="J71" s="284"/>
      <c r="K71" s="284"/>
      <c r="L71" s="271">
        <f t="shared" si="13"/>
        <v>0</v>
      </c>
      <c r="M71" s="275">
        <f t="shared" si="14"/>
        <v>11838995</v>
      </c>
    </row>
    <row r="72" spans="1:13" ht="23.25" customHeight="1">
      <c r="A72" s="276" t="s">
        <v>410</v>
      </c>
      <c r="B72" s="278" t="s">
        <v>719</v>
      </c>
      <c r="C72" s="287" t="s">
        <v>737</v>
      </c>
      <c r="D72" s="292">
        <f>3260222-590000</f>
        <v>2670222</v>
      </c>
      <c r="E72" s="291"/>
      <c r="F72" s="271">
        <f t="shared" si="11"/>
        <v>2670222</v>
      </c>
      <c r="G72" s="292"/>
      <c r="H72" s="291"/>
      <c r="I72" s="271">
        <f t="shared" si="12"/>
        <v>0</v>
      </c>
      <c r="J72" s="284"/>
      <c r="K72" s="284"/>
      <c r="L72" s="271">
        <f t="shared" si="13"/>
        <v>0</v>
      </c>
      <c r="M72" s="275">
        <f t="shared" si="14"/>
        <v>2670222</v>
      </c>
    </row>
    <row r="73" spans="1:13" ht="23.25" customHeight="1">
      <c r="A73" s="280" t="s">
        <v>411</v>
      </c>
      <c r="B73" s="306" t="s">
        <v>552</v>
      </c>
      <c r="C73" s="287" t="s">
        <v>741</v>
      </c>
      <c r="D73" s="792"/>
      <c r="E73" s="793"/>
      <c r="F73" s="271">
        <f t="shared" si="11"/>
        <v>0</v>
      </c>
      <c r="G73" s="663">
        <f>6245111+889000+1166000-889000+12000+19812+28001-400000-92889</f>
        <v>6978035</v>
      </c>
      <c r="H73" s="793">
        <f>92889+34940</f>
        <v>127829</v>
      </c>
      <c r="I73" s="271">
        <f t="shared" si="12"/>
        <v>7105864</v>
      </c>
      <c r="J73" s="664"/>
      <c r="K73" s="664"/>
      <c r="L73" s="271">
        <f t="shared" si="13"/>
        <v>0</v>
      </c>
      <c r="M73" s="275">
        <f t="shared" si="14"/>
        <v>7105864</v>
      </c>
    </row>
    <row r="74" spans="1:13" ht="23.25" customHeight="1">
      <c r="A74" s="280" t="s">
        <v>412</v>
      </c>
      <c r="B74" s="286" t="s">
        <v>1062</v>
      </c>
      <c r="C74" s="287"/>
      <c r="D74" s="792"/>
      <c r="E74" s="793"/>
      <c r="F74" s="271">
        <v>0</v>
      </c>
      <c r="G74" s="663">
        <f>1229250+215116+3+39600</f>
        <v>1483969</v>
      </c>
      <c r="H74" s="793"/>
      <c r="I74" s="271">
        <f t="shared" si="12"/>
        <v>1483969</v>
      </c>
      <c r="J74" s="664"/>
      <c r="K74" s="664"/>
      <c r="L74" s="271">
        <f t="shared" si="13"/>
        <v>0</v>
      </c>
      <c r="M74" s="275">
        <f t="shared" si="14"/>
        <v>1483969</v>
      </c>
    </row>
    <row r="75" spans="1:13" ht="23.25" customHeight="1">
      <c r="A75" s="280" t="s">
        <v>413</v>
      </c>
      <c r="B75" s="859" t="s">
        <v>1085</v>
      </c>
      <c r="C75" s="287"/>
      <c r="D75" s="792"/>
      <c r="E75" s="793"/>
      <c r="F75" s="271">
        <f t="shared" si="11"/>
        <v>0</v>
      </c>
      <c r="G75" s="663">
        <v>6883200</v>
      </c>
      <c r="H75" s="793"/>
      <c r="I75" s="271">
        <f t="shared" si="12"/>
        <v>6883200</v>
      </c>
      <c r="J75" s="664"/>
      <c r="K75" s="664"/>
      <c r="L75" s="271">
        <f t="shared" si="13"/>
        <v>0</v>
      </c>
      <c r="M75" s="275">
        <f t="shared" si="14"/>
        <v>6883200</v>
      </c>
    </row>
    <row r="76" spans="1:13" ht="23.25" customHeight="1">
      <c r="A76" s="280" t="s">
        <v>414</v>
      </c>
      <c r="B76" s="859" t="s">
        <v>987</v>
      </c>
      <c r="C76" s="287"/>
      <c r="D76" s="792"/>
      <c r="E76" s="793"/>
      <c r="F76" s="271">
        <f t="shared" si="11"/>
        <v>0</v>
      </c>
      <c r="G76" s="663">
        <f>5459106+4697+61868-66565</f>
        <v>5459106</v>
      </c>
      <c r="H76" s="793"/>
      <c r="I76" s="271">
        <f t="shared" si="12"/>
        <v>5459106</v>
      </c>
      <c r="J76" s="664"/>
      <c r="K76" s="664"/>
      <c r="L76" s="271">
        <f t="shared" si="13"/>
        <v>0</v>
      </c>
      <c r="M76" s="275">
        <f t="shared" si="14"/>
        <v>5459106</v>
      </c>
    </row>
    <row r="77" spans="1:13" ht="27" customHeight="1" thickBot="1">
      <c r="A77" s="794" t="s">
        <v>415</v>
      </c>
      <c r="B77" s="278" t="s">
        <v>988</v>
      </c>
      <c r="C77" s="287"/>
      <c r="D77" s="307"/>
      <c r="E77" s="308"/>
      <c r="F77" s="305">
        <f t="shared" si="11"/>
        <v>0</v>
      </c>
      <c r="G77" s="307">
        <f>27430982+10500000+6558094-6602437</f>
        <v>37886639</v>
      </c>
      <c r="H77" s="308"/>
      <c r="I77" s="305">
        <f t="shared" si="12"/>
        <v>37886639</v>
      </c>
      <c r="J77" s="307"/>
      <c r="K77" s="308"/>
      <c r="L77" s="305">
        <f t="shared" si="13"/>
        <v>0</v>
      </c>
      <c r="M77" s="275">
        <f t="shared" si="14"/>
        <v>37886639</v>
      </c>
    </row>
    <row r="78" spans="1:16" ht="27.75" customHeight="1" thickBot="1">
      <c r="A78" s="1068" t="s">
        <v>806</v>
      </c>
      <c r="B78" s="1069"/>
      <c r="C78" s="1070"/>
      <c r="D78" s="309">
        <f aca="true" t="shared" si="15" ref="D78:M78">SUM(D67:D77)</f>
        <v>215379130</v>
      </c>
      <c r="E78" s="501">
        <f t="shared" si="15"/>
        <v>2360009</v>
      </c>
      <c r="F78" s="500">
        <f t="shared" si="15"/>
        <v>217739139</v>
      </c>
      <c r="G78" s="309">
        <f t="shared" si="15"/>
        <v>58690949</v>
      </c>
      <c r="H78" s="501">
        <f t="shared" si="15"/>
        <v>127829</v>
      </c>
      <c r="I78" s="500">
        <f t="shared" si="15"/>
        <v>58818778</v>
      </c>
      <c r="J78" s="309">
        <f t="shared" si="15"/>
        <v>0</v>
      </c>
      <c r="K78" s="501">
        <f t="shared" si="15"/>
        <v>0</v>
      </c>
      <c r="L78" s="500">
        <f t="shared" si="15"/>
        <v>0</v>
      </c>
      <c r="M78" s="304">
        <f t="shared" si="15"/>
        <v>276557917</v>
      </c>
      <c r="P78" s="504">
        <f>SUM(L78,I78,F78)</f>
        <v>276557917</v>
      </c>
    </row>
    <row r="79" spans="1:13" ht="31.5" customHeight="1">
      <c r="A79" s="276" t="s">
        <v>405</v>
      </c>
      <c r="B79" s="286" t="s">
        <v>551</v>
      </c>
      <c r="C79" s="277" t="s">
        <v>728</v>
      </c>
      <c r="D79" s="281">
        <f>1100000+67920-16077</f>
        <v>1151843</v>
      </c>
      <c r="E79" s="282"/>
      <c r="F79" s="271">
        <f>SUM(D79:E79)</f>
        <v>1151843</v>
      </c>
      <c r="G79" s="283"/>
      <c r="H79" s="282"/>
      <c r="I79" s="271">
        <f>SUM(G79:H79)</f>
        <v>0</v>
      </c>
      <c r="J79" s="284"/>
      <c r="K79" s="285"/>
      <c r="L79" s="271">
        <f>SUM(J79:K79)</f>
        <v>0</v>
      </c>
      <c r="M79" s="275">
        <f>SUM(F79+I79+L79)</f>
        <v>1151843</v>
      </c>
    </row>
    <row r="80" spans="1:13" ht="22.5" customHeight="1">
      <c r="A80" s="276" t="s">
        <v>406</v>
      </c>
      <c r="B80" s="294" t="s">
        <v>390</v>
      </c>
      <c r="C80" s="289" t="s">
        <v>728</v>
      </c>
      <c r="D80" s="281">
        <f>3432072-140000-4023-21940</f>
        <v>3266109</v>
      </c>
      <c r="E80" s="282"/>
      <c r="F80" s="271">
        <f>SUM(D80:E80)</f>
        <v>3266109</v>
      </c>
      <c r="G80" s="283"/>
      <c r="H80" s="282"/>
      <c r="I80" s="271">
        <f>SUM(G80:H80)</f>
        <v>0</v>
      </c>
      <c r="J80" s="284"/>
      <c r="K80" s="285"/>
      <c r="L80" s="271">
        <f>SUM(J80:K80)</f>
        <v>0</v>
      </c>
      <c r="M80" s="275">
        <f>SUM(F80+I80+L80)</f>
        <v>3266109</v>
      </c>
    </row>
    <row r="81" spans="1:13" ht="33.75" customHeight="1">
      <c r="A81" s="276" t="s">
        <v>407</v>
      </c>
      <c r="B81" s="278" t="s">
        <v>79</v>
      </c>
      <c r="C81" s="293" t="s">
        <v>729</v>
      </c>
      <c r="D81" s="290">
        <f>22381580-1270000+622539+1500000+775525+7367584+614391+300000+81000+558800+203200+1-1+8000-8000-783939+600000-600000-70805-19829+584816+3354000-200000-530730-12429+37184-1-8000</f>
        <v>35484886</v>
      </c>
      <c r="E81" s="291">
        <f>635000+783939-592795</f>
        <v>826144</v>
      </c>
      <c r="F81" s="271">
        <f>SUM(D81:E81)</f>
        <v>36311030</v>
      </c>
      <c r="G81" s="292"/>
      <c r="H81" s="291"/>
      <c r="I81" s="271">
        <f>SUM(G81:H81)</f>
        <v>0</v>
      </c>
      <c r="J81" s="284"/>
      <c r="K81" s="285"/>
      <c r="L81" s="271">
        <f>SUM(J81:K81)</f>
        <v>0</v>
      </c>
      <c r="M81" s="275">
        <f>SUM(F81+I81+L81)</f>
        <v>36311030</v>
      </c>
    </row>
    <row r="82" spans="1:13" ht="22.5" customHeight="1">
      <c r="A82" s="276" t="s">
        <v>408</v>
      </c>
      <c r="B82" s="294" t="s">
        <v>895</v>
      </c>
      <c r="C82" s="289"/>
      <c r="D82" s="281"/>
      <c r="E82" s="282"/>
      <c r="F82" s="271">
        <f>SUM(D82:E82)</f>
        <v>0</v>
      </c>
      <c r="G82" s="283">
        <v>22502900</v>
      </c>
      <c r="H82" s="282">
        <v>2497100</v>
      </c>
      <c r="I82" s="271">
        <f>SUM(G82:H82)</f>
        <v>25000000</v>
      </c>
      <c r="J82" s="284"/>
      <c r="K82" s="285"/>
      <c r="L82" s="271">
        <f>SUM(J82:K82)</f>
        <v>0</v>
      </c>
      <c r="M82" s="275">
        <f>SUM(F82+I82+L82)</f>
        <v>25000000</v>
      </c>
    </row>
    <row r="83" spans="1:13" ht="24.75" customHeight="1" thickBot="1">
      <c r="A83" s="276" t="s">
        <v>409</v>
      </c>
      <c r="B83" s="278" t="s">
        <v>1062</v>
      </c>
      <c r="C83" s="293"/>
      <c r="D83" s="290"/>
      <c r="E83" s="291"/>
      <c r="F83" s="271">
        <f>SUM(D83:E83)</f>
        <v>0</v>
      </c>
      <c r="G83" s="292">
        <f>223500+39112+1+8000</f>
        <v>270613</v>
      </c>
      <c r="H83" s="291"/>
      <c r="I83" s="271">
        <f>SUM(G83:H83)</f>
        <v>270613</v>
      </c>
      <c r="J83" s="284"/>
      <c r="K83" s="285"/>
      <c r="L83" s="271">
        <f>SUM(J83:K83)</f>
        <v>0</v>
      </c>
      <c r="M83" s="275">
        <f>SUM(F83+I83+L83)</f>
        <v>270613</v>
      </c>
    </row>
    <row r="84" spans="1:16" ht="27.75" customHeight="1" thickBot="1">
      <c r="A84" s="1068" t="s">
        <v>834</v>
      </c>
      <c r="B84" s="1069"/>
      <c r="C84" s="1070"/>
      <c r="D84" s="309">
        <f>SUM(D79:D83)</f>
        <v>39902838</v>
      </c>
      <c r="E84" s="501">
        <f aca="true" t="shared" si="16" ref="E84:K84">SUM(E79:E83)</f>
        <v>826144</v>
      </c>
      <c r="F84" s="500">
        <f t="shared" si="16"/>
        <v>40728982</v>
      </c>
      <c r="G84" s="309">
        <f t="shared" si="16"/>
        <v>22773513</v>
      </c>
      <c r="H84" s="501">
        <f t="shared" si="16"/>
        <v>2497100</v>
      </c>
      <c r="I84" s="500">
        <f t="shared" si="16"/>
        <v>25270613</v>
      </c>
      <c r="J84" s="309">
        <f t="shared" si="16"/>
        <v>0</v>
      </c>
      <c r="K84" s="501">
        <f t="shared" si="16"/>
        <v>0</v>
      </c>
      <c r="L84" s="500">
        <f>SUM(L79:L83)</f>
        <v>0</v>
      </c>
      <c r="M84" s="304">
        <f>SUM(M79:M83)</f>
        <v>65999595</v>
      </c>
      <c r="P84" s="504"/>
    </row>
    <row r="85" spans="1:13" s="251" customFormat="1" ht="16.5" thickBot="1">
      <c r="A85" s="1056" t="s">
        <v>507</v>
      </c>
      <c r="B85" s="1057"/>
      <c r="C85" s="1058"/>
      <c r="D85" s="310">
        <f aca="true" t="shared" si="17" ref="D85:M85">D58+D66+D78+D84</f>
        <v>1026650404</v>
      </c>
      <c r="E85" s="310">
        <f t="shared" si="17"/>
        <v>411493600</v>
      </c>
      <c r="F85" s="658">
        <f t="shared" si="17"/>
        <v>1438144004</v>
      </c>
      <c r="G85" s="310">
        <f t="shared" si="17"/>
        <v>327943415</v>
      </c>
      <c r="H85" s="310">
        <f t="shared" si="17"/>
        <v>885585255</v>
      </c>
      <c r="I85" s="311">
        <f t="shared" si="17"/>
        <v>1213528670</v>
      </c>
      <c r="J85" s="502">
        <f t="shared" si="17"/>
        <v>29297034</v>
      </c>
      <c r="K85" s="659">
        <f t="shared" si="17"/>
        <v>0</v>
      </c>
      <c r="L85" s="660">
        <f t="shared" si="17"/>
        <v>29297034</v>
      </c>
      <c r="M85" s="312">
        <f t="shared" si="17"/>
        <v>2680969708</v>
      </c>
    </row>
    <row r="87" spans="1:2" ht="12.75">
      <c r="A87" s="186" t="s">
        <v>508</v>
      </c>
      <c r="B87" s="186" t="s">
        <v>509</v>
      </c>
    </row>
    <row r="88" spans="1:2" ht="12.75">
      <c r="A88" s="186" t="s">
        <v>510</v>
      </c>
      <c r="B88" s="186" t="s">
        <v>511</v>
      </c>
    </row>
    <row r="89" spans="1:2" ht="12.75">
      <c r="A89" s="186" t="s">
        <v>512</v>
      </c>
      <c r="B89" s="186" t="s">
        <v>513</v>
      </c>
    </row>
    <row r="90" spans="1:2" ht="12.75">
      <c r="A90" s="186" t="s">
        <v>514</v>
      </c>
      <c r="B90" s="186" t="s">
        <v>515</v>
      </c>
    </row>
    <row r="91" spans="1:2" ht="12.75">
      <c r="A91" s="186" t="s">
        <v>516</v>
      </c>
      <c r="B91" s="186" t="s">
        <v>517</v>
      </c>
    </row>
    <row r="92" spans="1:2" ht="12.75">
      <c r="A92" s="186" t="s">
        <v>804</v>
      </c>
      <c r="B92" s="186" t="s">
        <v>805</v>
      </c>
    </row>
    <row r="93" spans="1:2" ht="12.75">
      <c r="A93" s="186" t="s">
        <v>620</v>
      </c>
      <c r="B93" s="186" t="s">
        <v>619</v>
      </c>
    </row>
    <row r="94" spans="1:2" ht="12.75">
      <c r="A94" s="186" t="s">
        <v>1026</v>
      </c>
      <c r="B94" s="186" t="s">
        <v>1027</v>
      </c>
    </row>
  </sheetData>
  <sheetProtection/>
  <mergeCells count="15">
    <mergeCell ref="G1:M1"/>
    <mergeCell ref="M6:M8"/>
    <mergeCell ref="C6:C8"/>
    <mergeCell ref="G6:I7"/>
    <mergeCell ref="J6:L7"/>
    <mergeCell ref="A3:M3"/>
    <mergeCell ref="A85:C85"/>
    <mergeCell ref="A66:C66"/>
    <mergeCell ref="D6:F7"/>
    <mergeCell ref="A78:C78"/>
    <mergeCell ref="B5:B8"/>
    <mergeCell ref="A5:A8"/>
    <mergeCell ref="C5:M5"/>
    <mergeCell ref="A58:C58"/>
    <mergeCell ref="A84:C8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6"/>
  <sheetViews>
    <sheetView view="pageBreakPreview" zoomScale="60" zoomScalePageLayoutView="0" workbookViewId="0" topLeftCell="I1">
      <pane ySplit="7" topLeftCell="A35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86" customWidth="1"/>
    <col min="3" max="3" width="22.375" style="186" customWidth="1"/>
    <col min="4" max="6" width="18.00390625" style="186" bestFit="1" customWidth="1"/>
    <col min="7" max="7" width="12.625" style="186" customWidth="1"/>
    <col min="8" max="8" width="18.875" style="186" customWidth="1"/>
    <col min="9" max="9" width="9.25390625" style="186" bestFit="1" customWidth="1"/>
    <col min="10" max="10" width="11.375" style="186" bestFit="1" customWidth="1"/>
    <col min="11" max="11" width="19.25390625" style="186" customWidth="1"/>
    <col min="12" max="12" width="9.75390625" style="186" customWidth="1"/>
    <col min="13" max="13" width="9.125" style="186" customWidth="1"/>
    <col min="14" max="14" width="12.625" style="186" customWidth="1"/>
    <col min="15" max="15" width="8.125" style="186" customWidth="1"/>
    <col min="16" max="16" width="10.375" style="186" bestFit="1" customWidth="1"/>
    <col min="17" max="17" width="14.00390625" style="186" bestFit="1" customWidth="1"/>
    <col min="18" max="20" width="9.125" style="186" customWidth="1"/>
    <col min="21" max="21" width="9.875" style="186" customWidth="1"/>
    <col min="22" max="22" width="13.125" style="186" customWidth="1"/>
    <col min="23" max="23" width="16.625" style="186" bestFit="1" customWidth="1"/>
    <col min="24" max="24" width="18.00390625" style="321" bestFit="1" customWidth="1"/>
    <col min="25" max="25" width="18.25390625" style="321" customWidth="1"/>
    <col min="26" max="26" width="18.75390625" style="321" customWidth="1"/>
    <col min="27" max="27" width="19.75390625" style="321" bestFit="1" customWidth="1"/>
    <col min="28" max="28" width="17.375" style="321" bestFit="1" customWidth="1"/>
    <col min="29" max="29" width="19.75390625" style="321" bestFit="1" customWidth="1"/>
    <col min="30" max="223" width="9.125" style="321" customWidth="1"/>
    <col min="224" max="16384" width="9.125" style="186" customWidth="1"/>
  </cols>
  <sheetData>
    <row r="1" spans="1:28" ht="15">
      <c r="A1" s="253"/>
      <c r="B1" s="254"/>
      <c r="C1" s="255"/>
      <c r="H1" s="254"/>
      <c r="I1" s="254"/>
      <c r="J1" s="254"/>
      <c r="K1" s="256"/>
      <c r="L1" s="256"/>
      <c r="M1" s="256"/>
      <c r="N1" s="254"/>
      <c r="T1" s="1182" t="s">
        <v>1183</v>
      </c>
      <c r="U1" s="1183"/>
      <c r="V1" s="1183"/>
      <c r="W1" s="1183"/>
      <c r="X1" s="1184"/>
      <c r="Y1" s="1184"/>
      <c r="Z1" s="1184"/>
      <c r="AA1" s="1184"/>
      <c r="AB1" s="1184"/>
    </row>
    <row r="2" spans="1:14" ht="12.75">
      <c r="A2" s="253"/>
      <c r="B2" s="254"/>
      <c r="C2" s="255"/>
      <c r="D2" s="257"/>
      <c r="E2" s="258"/>
      <c r="F2" s="258"/>
      <c r="G2" s="258"/>
      <c r="H2" s="254"/>
      <c r="I2" s="254"/>
      <c r="J2" s="254"/>
      <c r="K2" s="256"/>
      <c r="L2" s="256"/>
      <c r="M2" s="256"/>
      <c r="N2" s="254"/>
    </row>
    <row r="3" spans="1:29" ht="15.75" customHeight="1">
      <c r="A3" s="1181" t="s">
        <v>942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  <c r="V3" s="1181"/>
      <c r="W3" s="1181"/>
      <c r="X3" s="1181"/>
      <c r="Y3" s="1181"/>
      <c r="Z3" s="1181"/>
      <c r="AA3" s="1181"/>
      <c r="AB3" s="1181"/>
      <c r="AC3" s="1181"/>
    </row>
    <row r="4" spans="1:29" ht="15.75" customHeigh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</row>
    <row r="5" spans="1:29" ht="13.5" customHeight="1" thickBot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</row>
    <row r="6" spans="1:223" s="322" customFormat="1" ht="15" customHeight="1" thickBot="1" thickTop="1">
      <c r="A6" s="1164" t="s">
        <v>87</v>
      </c>
      <c r="B6" s="1165"/>
      <c r="C6" s="1165"/>
      <c r="D6" s="1173" t="s">
        <v>367</v>
      </c>
      <c r="E6" s="1144"/>
      <c r="F6" s="1174"/>
      <c r="G6" s="1175" t="s">
        <v>518</v>
      </c>
      <c r="H6" s="1176"/>
      <c r="I6" s="1176"/>
      <c r="J6" s="1176"/>
      <c r="K6" s="1177"/>
      <c r="L6" s="1143" t="s">
        <v>519</v>
      </c>
      <c r="M6" s="1168"/>
      <c r="N6" s="1168"/>
      <c r="O6" s="1168"/>
      <c r="P6" s="1168"/>
      <c r="Q6" s="1169"/>
      <c r="R6" s="1143" t="s">
        <v>520</v>
      </c>
      <c r="S6" s="1168"/>
      <c r="T6" s="1168"/>
      <c r="U6" s="1168"/>
      <c r="V6" s="1168"/>
      <c r="W6" s="1168"/>
      <c r="X6" s="1185" t="s">
        <v>521</v>
      </c>
      <c r="Y6" s="1186"/>
      <c r="Z6" s="1186"/>
      <c r="AA6" s="1187" t="s">
        <v>88</v>
      </c>
      <c r="AB6" s="1188"/>
      <c r="AC6" s="1189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  <c r="FW6" s="321"/>
      <c r="FX6" s="321"/>
      <c r="FY6" s="321"/>
      <c r="FZ6" s="321"/>
      <c r="GA6" s="321"/>
      <c r="GB6" s="321"/>
      <c r="GC6" s="321"/>
      <c r="GD6" s="321"/>
      <c r="GE6" s="321"/>
      <c r="GF6" s="321"/>
      <c r="GG6" s="321"/>
      <c r="GH6" s="321"/>
      <c r="GI6" s="321"/>
      <c r="GJ6" s="321"/>
      <c r="GK6" s="321"/>
      <c r="GL6" s="321"/>
      <c r="GM6" s="321"/>
      <c r="GN6" s="321"/>
      <c r="GO6" s="321"/>
      <c r="GP6" s="321"/>
      <c r="GQ6" s="321"/>
      <c r="GR6" s="321"/>
      <c r="GS6" s="321"/>
      <c r="GT6" s="321"/>
      <c r="GU6" s="321"/>
      <c r="GV6" s="321"/>
      <c r="GW6" s="321"/>
      <c r="GX6" s="321"/>
      <c r="GY6" s="321"/>
      <c r="GZ6" s="321"/>
      <c r="HA6" s="321"/>
      <c r="HB6" s="321"/>
      <c r="HC6" s="321"/>
      <c r="HD6" s="321"/>
      <c r="HE6" s="321"/>
      <c r="HF6" s="321"/>
      <c r="HG6" s="321"/>
      <c r="HH6" s="321"/>
      <c r="HI6" s="321"/>
      <c r="HJ6" s="321"/>
      <c r="HK6" s="321"/>
      <c r="HL6" s="321"/>
      <c r="HM6" s="321"/>
      <c r="HN6" s="321"/>
      <c r="HO6" s="321"/>
    </row>
    <row r="7" spans="1:29" s="321" customFormat="1" ht="16.5" customHeight="1" thickBot="1">
      <c r="A7" s="1166"/>
      <c r="B7" s="1167"/>
      <c r="C7" s="1167"/>
      <c r="D7" s="464" t="s">
        <v>89</v>
      </c>
      <c r="E7" s="777" t="s">
        <v>85</v>
      </c>
      <c r="F7" s="324" t="s">
        <v>90</v>
      </c>
      <c r="G7" s="1178"/>
      <c r="H7" s="1179"/>
      <c r="I7" s="1179"/>
      <c r="J7" s="1179"/>
      <c r="K7" s="1180"/>
      <c r="L7" s="1170"/>
      <c r="M7" s="1171"/>
      <c r="N7" s="1171"/>
      <c r="O7" s="1171"/>
      <c r="P7" s="1171"/>
      <c r="Q7" s="1172"/>
      <c r="R7" s="1170"/>
      <c r="S7" s="1171"/>
      <c r="T7" s="1171"/>
      <c r="U7" s="1171"/>
      <c r="V7" s="1171"/>
      <c r="W7" s="1171"/>
      <c r="X7" s="323" t="s">
        <v>89</v>
      </c>
      <c r="Y7" s="464" t="s">
        <v>85</v>
      </c>
      <c r="Z7" s="764" t="s">
        <v>90</v>
      </c>
      <c r="AA7" s="323" t="s">
        <v>89</v>
      </c>
      <c r="AB7" s="464" t="s">
        <v>85</v>
      </c>
      <c r="AC7" s="324" t="s">
        <v>90</v>
      </c>
    </row>
    <row r="8" spans="1:29" s="339" customFormat="1" ht="26.25" customHeight="1">
      <c r="A8" s="325"/>
      <c r="B8" s="326"/>
      <c r="C8" s="327"/>
      <c r="D8" s="328"/>
      <c r="E8" s="326"/>
      <c r="F8" s="329"/>
      <c r="G8" s="1149" t="s">
        <v>662</v>
      </c>
      <c r="H8" s="1138"/>
      <c r="I8" s="1138"/>
      <c r="J8" s="494">
        <f>67592700</f>
        <v>67592700</v>
      </c>
      <c r="K8" s="1119">
        <f>SUM(J8:J18)</f>
        <v>186039696</v>
      </c>
      <c r="L8" s="1158"/>
      <c r="M8" s="1159"/>
      <c r="N8" s="1159"/>
      <c r="O8" s="1159"/>
      <c r="P8" s="331"/>
      <c r="Q8" s="1162">
        <f>SUM(P8:P18)</f>
        <v>98776767</v>
      </c>
      <c r="R8" s="1125" t="s">
        <v>235</v>
      </c>
      <c r="S8" s="1126"/>
      <c r="T8" s="1126"/>
      <c r="U8" s="1126"/>
      <c r="V8" s="494">
        <f>254780000+432632+127765+874745</f>
        <v>256215142</v>
      </c>
      <c r="W8" s="1094">
        <f>SUM(V8:V18)</f>
        <v>413893137</v>
      </c>
      <c r="X8" s="333"/>
      <c r="Y8" s="334"/>
      <c r="Z8" s="335"/>
      <c r="AA8" s="336"/>
      <c r="AB8" s="337"/>
      <c r="AC8" s="338"/>
    </row>
    <row r="9" spans="1:29" s="339" customFormat="1" ht="27" customHeight="1">
      <c r="A9" s="325"/>
      <c r="B9" s="326"/>
      <c r="C9" s="328"/>
      <c r="D9" s="328"/>
      <c r="E9" s="326"/>
      <c r="F9" s="329"/>
      <c r="G9" s="1157" t="s">
        <v>624</v>
      </c>
      <c r="H9" s="1130"/>
      <c r="I9" s="1130"/>
      <c r="J9" s="494">
        <f>1778400-27360-429210</f>
        <v>1321830</v>
      </c>
      <c r="K9" s="1124"/>
      <c r="L9" s="1134" t="s">
        <v>1116</v>
      </c>
      <c r="M9" s="1135"/>
      <c r="N9" s="1135"/>
      <c r="O9" s="1135"/>
      <c r="P9" s="494">
        <v>1710029</v>
      </c>
      <c r="Q9" s="1163"/>
      <c r="R9" s="1125" t="s">
        <v>109</v>
      </c>
      <c r="S9" s="1126"/>
      <c r="T9" s="1126"/>
      <c r="U9" s="1126"/>
      <c r="V9" s="494">
        <f>9471380+540000</f>
        <v>10011380</v>
      </c>
      <c r="W9" s="1095"/>
      <c r="X9" s="340"/>
      <c r="Y9" s="334"/>
      <c r="Z9" s="341"/>
      <c r="AA9" s="325"/>
      <c r="AB9" s="342"/>
      <c r="AC9" s="343"/>
    </row>
    <row r="10" spans="1:29" s="339" customFormat="1" ht="24.75" customHeight="1">
      <c r="A10" s="344"/>
      <c r="B10" s="345"/>
      <c r="C10" s="346" t="s">
        <v>495</v>
      </c>
      <c r="D10" s="347">
        <f>SUM('6. kiadások megbontása'!D58)</f>
        <v>630908925</v>
      </c>
      <c r="E10" s="348">
        <f>SUM('6. kiadások megbontása'!E58)</f>
        <v>406983273</v>
      </c>
      <c r="F10" s="349">
        <f>SUM(D10:E10)</f>
        <v>1037892198</v>
      </c>
      <c r="G10" s="1157" t="s">
        <v>752</v>
      </c>
      <c r="H10" s="1130"/>
      <c r="I10" s="1130"/>
      <c r="J10" s="494">
        <f>48302876+1924152-2192365</f>
        <v>48034663</v>
      </c>
      <c r="K10" s="1124"/>
      <c r="L10" s="1134" t="s">
        <v>1117</v>
      </c>
      <c r="M10" s="1135"/>
      <c r="N10" s="1135"/>
      <c r="O10" s="1135"/>
      <c r="P10" s="494">
        <f>21228000+2577831</f>
        <v>23805831</v>
      </c>
      <c r="Q10" s="1163"/>
      <c r="R10" s="782" t="s">
        <v>812</v>
      </c>
      <c r="S10" s="789"/>
      <c r="T10" s="789"/>
      <c r="U10" s="789"/>
      <c r="V10" s="494">
        <v>60000</v>
      </c>
      <c r="W10" s="1095"/>
      <c r="X10" s="350"/>
      <c r="Y10" s="351"/>
      <c r="Z10" s="341"/>
      <c r="AA10" s="352"/>
      <c r="AB10" s="353"/>
      <c r="AC10" s="354"/>
    </row>
    <row r="11" spans="1:29" s="339" customFormat="1" ht="14.25" customHeight="1">
      <c r="A11" s="344"/>
      <c r="B11" s="345"/>
      <c r="C11" s="346"/>
      <c r="D11" s="347"/>
      <c r="E11" s="348"/>
      <c r="F11" s="349"/>
      <c r="G11" s="1155" t="s">
        <v>553</v>
      </c>
      <c r="H11" s="1155"/>
      <c r="I11" s="1155"/>
      <c r="J11" s="494">
        <v>49762591</v>
      </c>
      <c r="K11" s="1124"/>
      <c r="L11" s="782" t="s">
        <v>944</v>
      </c>
      <c r="M11" s="783"/>
      <c r="N11" s="783"/>
      <c r="O11" s="783"/>
      <c r="P11" s="494">
        <f>10633011-6854236+16507503+1152632</f>
        <v>21438910</v>
      </c>
      <c r="Q11" s="1163"/>
      <c r="R11" s="1160" t="s">
        <v>1118</v>
      </c>
      <c r="S11" s="1161"/>
      <c r="T11" s="1161"/>
      <c r="U11" s="1161"/>
      <c r="V11" s="494">
        <v>696400</v>
      </c>
      <c r="W11" s="1095"/>
      <c r="X11" s="350"/>
      <c r="Y11" s="351"/>
      <c r="Z11" s="341"/>
      <c r="AA11" s="352"/>
      <c r="AB11" s="353"/>
      <c r="AC11" s="354"/>
    </row>
    <row r="12" spans="1:29" s="339" customFormat="1" ht="24" customHeight="1">
      <c r="A12" s="344"/>
      <c r="B12" s="345"/>
      <c r="C12" s="346"/>
      <c r="D12" s="347"/>
      <c r="E12" s="348"/>
      <c r="F12" s="349"/>
      <c r="G12" s="1157" t="s">
        <v>1086</v>
      </c>
      <c r="H12" s="1130"/>
      <c r="I12" s="1130"/>
      <c r="J12" s="330">
        <f>3585+20900+4081-191</f>
        <v>28375</v>
      </c>
      <c r="K12" s="1124"/>
      <c r="L12" s="1125" t="s">
        <v>945</v>
      </c>
      <c r="M12" s="1126"/>
      <c r="N12" s="1126"/>
      <c r="O12" s="1126"/>
      <c r="P12" s="490">
        <f>12480966-6737965+42621100+3457896</f>
        <v>51821997</v>
      </c>
      <c r="Q12" s="1163"/>
      <c r="R12" s="1125" t="s">
        <v>1068</v>
      </c>
      <c r="S12" s="1126"/>
      <c r="T12" s="1126"/>
      <c r="U12" s="1126"/>
      <c r="V12" s="494">
        <f>30000+664721+78901+516434+128723+109120+216600</f>
        <v>1744499</v>
      </c>
      <c r="W12" s="1095"/>
      <c r="X12" s="350"/>
      <c r="Y12" s="351"/>
      <c r="Z12" s="341"/>
      <c r="AA12" s="352"/>
      <c r="AB12" s="353"/>
      <c r="AC12" s="354"/>
    </row>
    <row r="13" spans="1:29" s="339" customFormat="1" ht="15" customHeight="1">
      <c r="A13" s="344"/>
      <c r="B13" s="345"/>
      <c r="C13" s="346"/>
      <c r="D13" s="347"/>
      <c r="E13" s="348"/>
      <c r="F13" s="349"/>
      <c r="G13" s="1157" t="s">
        <v>1134</v>
      </c>
      <c r="H13" s="1130"/>
      <c r="I13" s="1130"/>
      <c r="J13" s="494">
        <v>19299537</v>
      </c>
      <c r="K13" s="1124"/>
      <c r="L13" s="1151"/>
      <c r="M13" s="1152"/>
      <c r="N13" s="1152"/>
      <c r="O13" s="1152"/>
      <c r="P13" s="494"/>
      <c r="Q13" s="1163"/>
      <c r="R13" s="1125" t="s">
        <v>1067</v>
      </c>
      <c r="S13" s="1126"/>
      <c r="T13" s="1126"/>
      <c r="U13" s="1126"/>
      <c r="V13" s="494">
        <f>3548380+920000+248400</f>
        <v>4716780</v>
      </c>
      <c r="W13" s="1095"/>
      <c r="X13" s="350"/>
      <c r="Y13" s="351"/>
      <c r="Z13" s="341"/>
      <c r="AA13" s="352"/>
      <c r="AB13" s="353"/>
      <c r="AC13" s="354"/>
    </row>
    <row r="14" spans="1:29" s="339" customFormat="1" ht="16.5" customHeight="1">
      <c r="A14" s="355"/>
      <c r="B14" s="356"/>
      <c r="C14" s="357"/>
      <c r="D14" s="357"/>
      <c r="E14" s="326"/>
      <c r="F14" s="329"/>
      <c r="G14" s="1155"/>
      <c r="H14" s="1155"/>
      <c r="I14" s="1155"/>
      <c r="J14" s="494"/>
      <c r="K14" s="1124"/>
      <c r="L14" s="782"/>
      <c r="M14" s="783"/>
      <c r="N14" s="783"/>
      <c r="O14" s="783"/>
      <c r="P14" s="494"/>
      <c r="Q14" s="1163"/>
      <c r="R14" s="782" t="s">
        <v>276</v>
      </c>
      <c r="S14" s="789"/>
      <c r="T14" s="789"/>
      <c r="U14" s="789"/>
      <c r="V14" s="494">
        <f>706000+123120+15000+25000+6750</f>
        <v>875870</v>
      </c>
      <c r="W14" s="1095"/>
      <c r="X14" s="350"/>
      <c r="Y14" s="351"/>
      <c r="Z14" s="341"/>
      <c r="AA14" s="352"/>
      <c r="AB14" s="353"/>
      <c r="AC14" s="354"/>
    </row>
    <row r="15" spans="1:29" s="339" customFormat="1" ht="18.75" customHeight="1">
      <c r="A15" s="355"/>
      <c r="B15" s="356"/>
      <c r="C15" s="357"/>
      <c r="D15" s="357"/>
      <c r="E15" s="326"/>
      <c r="F15" s="329"/>
      <c r="G15" s="1157"/>
      <c r="H15" s="1130"/>
      <c r="I15" s="1130"/>
      <c r="J15" s="330"/>
      <c r="K15" s="1124"/>
      <c r="L15" s="1125"/>
      <c r="M15" s="1126"/>
      <c r="N15" s="1126"/>
      <c r="O15" s="1126"/>
      <c r="P15" s="490"/>
      <c r="Q15" s="1163"/>
      <c r="R15" s="782" t="s">
        <v>749</v>
      </c>
      <c r="S15" s="789"/>
      <c r="T15" s="789"/>
      <c r="U15" s="789"/>
      <c r="V15" s="494">
        <f>2840247+537587+853440</f>
        <v>4231274</v>
      </c>
      <c r="W15" s="1095"/>
      <c r="X15" s="350"/>
      <c r="Y15" s="351"/>
      <c r="Z15" s="341"/>
      <c r="AA15" s="352"/>
      <c r="AB15" s="353"/>
      <c r="AC15" s="354"/>
    </row>
    <row r="16" spans="1:29" s="339" customFormat="1" ht="15.75" customHeight="1">
      <c r="A16" s="355"/>
      <c r="B16" s="356"/>
      <c r="C16" s="357"/>
      <c r="D16" s="357"/>
      <c r="E16" s="326"/>
      <c r="F16" s="329"/>
      <c r="G16" s="1155"/>
      <c r="H16" s="1155"/>
      <c r="I16" s="1155"/>
      <c r="J16" s="330"/>
      <c r="K16" s="1124"/>
      <c r="L16" s="1125"/>
      <c r="M16" s="1126"/>
      <c r="N16" s="1126"/>
      <c r="O16" s="1126"/>
      <c r="P16" s="490"/>
      <c r="Q16" s="1163"/>
      <c r="R16" s="782" t="s">
        <v>810</v>
      </c>
      <c r="S16" s="783"/>
      <c r="T16" s="783"/>
      <c r="U16" s="783"/>
      <c r="V16" s="744">
        <v>6592967</v>
      </c>
      <c r="W16" s="1095"/>
      <c r="X16" s="350"/>
      <c r="Y16" s="351"/>
      <c r="Z16" s="341"/>
      <c r="AA16" s="352"/>
      <c r="AB16" s="353"/>
      <c r="AC16" s="354"/>
    </row>
    <row r="17" spans="1:29" s="339" customFormat="1" ht="16.5" customHeight="1">
      <c r="A17" s="355"/>
      <c r="B17" s="356"/>
      <c r="C17" s="357"/>
      <c r="D17" s="357"/>
      <c r="E17" s="326"/>
      <c r="F17" s="358"/>
      <c r="G17" s="1155"/>
      <c r="H17" s="1155"/>
      <c r="I17" s="1155"/>
      <c r="J17" s="330"/>
      <c r="K17" s="1124"/>
      <c r="L17" s="1156"/>
      <c r="M17" s="1155"/>
      <c r="N17" s="1155"/>
      <c r="O17" s="1155"/>
      <c r="Q17" s="1163"/>
      <c r="R17" s="1125" t="s">
        <v>750</v>
      </c>
      <c r="S17" s="1126"/>
      <c r="T17" s="1126"/>
      <c r="U17" s="1126"/>
      <c r="V17" s="744">
        <v>500</v>
      </c>
      <c r="W17" s="1095"/>
      <c r="X17" s="360">
        <f>SUM(W8,Q8,K8)</f>
        <v>698709600</v>
      </c>
      <c r="Y17" s="361">
        <f>SUM(W19+Q19+K19)</f>
        <v>409339670</v>
      </c>
      <c r="Z17" s="362">
        <f>SUM(Y17,X17)</f>
        <v>1108049270</v>
      </c>
      <c r="AA17" s="360">
        <f>X17-D10</f>
        <v>67800675</v>
      </c>
      <c r="AB17" s="361">
        <f>Y17-E10</f>
        <v>2356397</v>
      </c>
      <c r="AC17" s="363">
        <f>SUM(AA17:AB17)</f>
        <v>70157072</v>
      </c>
    </row>
    <row r="18" spans="1:29" s="321" customFormat="1" ht="17.25" customHeight="1" thickBot="1">
      <c r="A18" s="364"/>
      <c r="B18" s="365"/>
      <c r="C18" s="366"/>
      <c r="D18" s="366"/>
      <c r="E18" s="367"/>
      <c r="F18" s="368"/>
      <c r="G18" s="1157"/>
      <c r="H18" s="1130"/>
      <c r="I18" s="1130"/>
      <c r="J18" s="920"/>
      <c r="K18" s="1124"/>
      <c r="L18" s="1156"/>
      <c r="M18" s="1155"/>
      <c r="N18" s="1155"/>
      <c r="O18" s="1155"/>
      <c r="P18" s="359"/>
      <c r="Q18" s="1163"/>
      <c r="R18" s="1125" t="s">
        <v>751</v>
      </c>
      <c r="S18" s="1126"/>
      <c r="T18" s="1126"/>
      <c r="U18" s="1126"/>
      <c r="V18" s="744">
        <f>29101707+97110256+2940272-403910</f>
        <v>128748325</v>
      </c>
      <c r="W18" s="1095"/>
      <c r="X18" s="350"/>
      <c r="Y18" s="351"/>
      <c r="Z18" s="341"/>
      <c r="AA18" s="352"/>
      <c r="AB18" s="353"/>
      <c r="AC18" s="354"/>
    </row>
    <row r="19" spans="1:29" s="321" customFormat="1" ht="65.25" customHeight="1">
      <c r="A19" s="364"/>
      <c r="B19" s="365"/>
      <c r="C19" s="366"/>
      <c r="D19" s="366"/>
      <c r="E19" s="367"/>
      <c r="F19" s="368"/>
      <c r="G19" s="1149" t="s">
        <v>1078</v>
      </c>
      <c r="H19" s="1138"/>
      <c r="I19" s="1138"/>
      <c r="J19" s="494">
        <v>29999998</v>
      </c>
      <c r="K19" s="1119">
        <f>SUM(J19)</f>
        <v>29999998</v>
      </c>
      <c r="L19" s="1137" t="s">
        <v>1115</v>
      </c>
      <c r="M19" s="1138"/>
      <c r="N19" s="1138"/>
      <c r="O19" s="1138"/>
      <c r="P19" s="741">
        <f>9999992</f>
        <v>9999992</v>
      </c>
      <c r="Q19" s="1121">
        <f>SUM(P19:P21)</f>
        <v>43990396</v>
      </c>
      <c r="R19" s="1100" t="s">
        <v>92</v>
      </c>
      <c r="S19" s="1101"/>
      <c r="T19" s="1101"/>
      <c r="U19" s="1101"/>
      <c r="V19" s="495">
        <f>78841508+140105-900000+88787+200000-8458000-2581377-1300460-13206949-9632064-1212766</f>
        <v>41978784</v>
      </c>
      <c r="W19" s="1094">
        <f>SUM(V19:V21)</f>
        <v>335349276</v>
      </c>
      <c r="X19" s="350"/>
      <c r="Y19" s="351"/>
      <c r="Z19" s="341"/>
      <c r="AA19" s="352"/>
      <c r="AB19" s="353"/>
      <c r="AC19" s="354"/>
    </row>
    <row r="20" spans="1:29" s="321" customFormat="1" ht="24" customHeight="1">
      <c r="A20" s="364"/>
      <c r="B20" s="365"/>
      <c r="C20" s="366"/>
      <c r="D20" s="366"/>
      <c r="E20" s="367"/>
      <c r="F20" s="368"/>
      <c r="G20" s="960"/>
      <c r="H20" s="623"/>
      <c r="I20" s="623"/>
      <c r="J20" s="494"/>
      <c r="K20" s="1124"/>
      <c r="L20" s="1129" t="s">
        <v>1093</v>
      </c>
      <c r="M20" s="1130"/>
      <c r="N20" s="1130"/>
      <c r="O20" s="1130"/>
      <c r="P20" s="490">
        <f>16000000+1331031+401078+764084+50000+15055017</f>
        <v>33601210</v>
      </c>
      <c r="Q20" s="1150"/>
      <c r="R20" s="782"/>
      <c r="S20" s="783"/>
      <c r="T20" s="783"/>
      <c r="U20" s="783"/>
      <c r="V20" s="492"/>
      <c r="W20" s="1095"/>
      <c r="X20" s="350"/>
      <c r="Y20" s="351"/>
      <c r="Z20" s="341"/>
      <c r="AA20" s="352"/>
      <c r="AB20" s="353"/>
      <c r="AC20" s="354"/>
    </row>
    <row r="21" spans="1:29" s="321" customFormat="1" ht="18.75" customHeight="1" thickBot="1">
      <c r="A21" s="364"/>
      <c r="B21" s="365"/>
      <c r="C21" s="366"/>
      <c r="D21" s="366"/>
      <c r="E21" s="367"/>
      <c r="F21" s="368"/>
      <c r="G21" s="370"/>
      <c r="H21" s="371"/>
      <c r="I21" s="371"/>
      <c r="J21" s="373"/>
      <c r="K21" s="1124"/>
      <c r="L21" s="1156" t="s">
        <v>946</v>
      </c>
      <c r="M21" s="1155"/>
      <c r="N21" s="1155"/>
      <c r="O21" s="1155"/>
      <c r="P21" s="359">
        <f>289870-39360+138684</f>
        <v>389194</v>
      </c>
      <c r="Q21" s="1150"/>
      <c r="R21" s="1134" t="s">
        <v>746</v>
      </c>
      <c r="S21" s="1135"/>
      <c r="T21" s="1135"/>
      <c r="U21" s="1135"/>
      <c r="V21" s="492">
        <f>288331132+5039360</f>
        <v>293370492</v>
      </c>
      <c r="W21" s="1095"/>
      <c r="X21" s="350"/>
      <c r="Y21" s="351"/>
      <c r="Z21" s="341"/>
      <c r="AA21" s="352"/>
      <c r="AB21" s="353"/>
      <c r="AC21" s="354"/>
    </row>
    <row r="22" spans="1:29" s="321" customFormat="1" ht="18" customHeight="1" thickTop="1">
      <c r="A22" s="498"/>
      <c r="B22" s="374"/>
      <c r="C22" s="375"/>
      <c r="D22" s="375"/>
      <c r="E22" s="376"/>
      <c r="F22" s="377"/>
      <c r="G22" s="1271" t="s">
        <v>1069</v>
      </c>
      <c r="H22" s="1272"/>
      <c r="I22" s="1272"/>
      <c r="J22" s="499">
        <v>10858846</v>
      </c>
      <c r="K22" s="1123">
        <f>SUM(J22:J23)</f>
        <v>10858846</v>
      </c>
      <c r="L22" s="1196" t="s">
        <v>522</v>
      </c>
      <c r="M22" s="1197"/>
      <c r="N22" s="1197"/>
      <c r="O22" s="1197"/>
      <c r="P22" s="742"/>
      <c r="Q22" s="1123">
        <f>SUM(P22:P23)</f>
        <v>0</v>
      </c>
      <c r="R22" s="379"/>
      <c r="S22" s="380"/>
      <c r="T22" s="380"/>
      <c r="U22" s="380"/>
      <c r="V22" s="381"/>
      <c r="W22" s="382"/>
      <c r="X22" s="383"/>
      <c r="Y22" s="384"/>
      <c r="Z22" s="385"/>
      <c r="AA22" s="386"/>
      <c r="AB22" s="387"/>
      <c r="AC22" s="388"/>
    </row>
    <row r="23" spans="1:223" s="470" customFormat="1" ht="19.5" customHeight="1" thickBot="1">
      <c r="A23" s="767"/>
      <c r="B23" s="1200" t="s">
        <v>93</v>
      </c>
      <c r="C23" s="1201"/>
      <c r="D23" s="768">
        <f>SUM('6. kiadások megbontása'!J58)</f>
        <v>29297034</v>
      </c>
      <c r="E23" s="769">
        <f>SUM('6. kiadások megbontása'!K58)</f>
        <v>0</v>
      </c>
      <c r="F23" s="770">
        <f>SUM(D23:E23)</f>
        <v>29297034</v>
      </c>
      <c r="G23" s="1273"/>
      <c r="H23" s="1274"/>
      <c r="I23" s="1274"/>
      <c r="J23" s="771"/>
      <c r="K23" s="1133"/>
      <c r="L23" s="1131" t="s">
        <v>625</v>
      </c>
      <c r="M23" s="1132"/>
      <c r="N23" s="1132"/>
      <c r="O23" s="1132"/>
      <c r="P23" s="743"/>
      <c r="Q23" s="1133"/>
      <c r="R23" s="1131"/>
      <c r="S23" s="1132"/>
      <c r="T23" s="1132"/>
      <c r="U23" s="1132"/>
      <c r="V23" s="772"/>
      <c r="W23" s="773">
        <f>SUM(V23)</f>
        <v>0</v>
      </c>
      <c r="X23" s="774">
        <f>SUM(W23,Q22,K22)</f>
        <v>10858846</v>
      </c>
      <c r="Y23" s="775">
        <v>0</v>
      </c>
      <c r="Z23" s="776">
        <f>SUM(X23:Y23)</f>
        <v>10858846</v>
      </c>
      <c r="AA23" s="774">
        <f>X23-D23</f>
        <v>-18438188</v>
      </c>
      <c r="AB23" s="775">
        <f>Y23-E23</f>
        <v>0</v>
      </c>
      <c r="AC23" s="389">
        <f>SUM(AA23:AB23)</f>
        <v>-18438188</v>
      </c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5"/>
      <c r="DA23" s="485"/>
      <c r="DB23" s="485"/>
      <c r="DC23" s="485"/>
      <c r="DD23" s="485"/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5"/>
      <c r="DR23" s="485"/>
      <c r="DS23" s="485"/>
      <c r="DT23" s="485"/>
      <c r="DU23" s="485"/>
      <c r="DV23" s="485"/>
      <c r="DW23" s="485"/>
      <c r="DX23" s="485"/>
      <c r="DY23" s="485"/>
      <c r="DZ23" s="485"/>
      <c r="EA23" s="485"/>
      <c r="EB23" s="485"/>
      <c r="EC23" s="485"/>
      <c r="ED23" s="485"/>
      <c r="EE23" s="485"/>
      <c r="EF23" s="485"/>
      <c r="EG23" s="485"/>
      <c r="EH23" s="485"/>
      <c r="EI23" s="485"/>
      <c r="EJ23" s="485"/>
      <c r="EK23" s="485"/>
      <c r="EL23" s="485"/>
      <c r="EM23" s="485"/>
      <c r="EN23" s="485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5"/>
      <c r="EZ23" s="485"/>
      <c r="FA23" s="485"/>
      <c r="FB23" s="485"/>
      <c r="FC23" s="485"/>
      <c r="FD23" s="485"/>
      <c r="FE23" s="485"/>
      <c r="FF23" s="485"/>
      <c r="FG23" s="485"/>
      <c r="FH23" s="485"/>
      <c r="FI23" s="485"/>
      <c r="FJ23" s="485"/>
      <c r="FK23" s="485"/>
      <c r="FL23" s="485"/>
      <c r="FM23" s="485"/>
      <c r="FN23" s="485"/>
      <c r="FO23" s="485"/>
      <c r="FP23" s="485"/>
      <c r="FQ23" s="485"/>
      <c r="FR23" s="485"/>
      <c r="FS23" s="485"/>
      <c r="FT23" s="485"/>
      <c r="FU23" s="485"/>
      <c r="FV23" s="485"/>
      <c r="FW23" s="485"/>
      <c r="FX23" s="485"/>
      <c r="FY23" s="485"/>
      <c r="FZ23" s="485"/>
      <c r="GA23" s="485"/>
      <c r="GB23" s="485"/>
      <c r="GC23" s="485"/>
      <c r="GD23" s="485"/>
      <c r="GE23" s="485"/>
      <c r="GF23" s="485"/>
      <c r="GG23" s="485"/>
      <c r="GH23" s="485"/>
      <c r="GI23" s="485"/>
      <c r="GJ23" s="485"/>
      <c r="GK23" s="485"/>
      <c r="GL23" s="485"/>
      <c r="GM23" s="485"/>
      <c r="GN23" s="485"/>
      <c r="GO23" s="485"/>
      <c r="GP23" s="485"/>
      <c r="GQ23" s="485"/>
      <c r="GR23" s="485"/>
      <c r="GS23" s="485"/>
      <c r="GT23" s="485"/>
      <c r="GU23" s="485"/>
      <c r="GV23" s="485"/>
      <c r="GW23" s="485"/>
      <c r="GX23" s="485"/>
      <c r="GY23" s="485"/>
      <c r="GZ23" s="485"/>
      <c r="HA23" s="485"/>
      <c r="HB23" s="485"/>
      <c r="HC23" s="485"/>
      <c r="HD23" s="485"/>
      <c r="HE23" s="485"/>
      <c r="HF23" s="485"/>
      <c r="HG23" s="485"/>
      <c r="HH23" s="485"/>
      <c r="HI23" s="485"/>
      <c r="HJ23" s="485"/>
      <c r="HK23" s="485"/>
      <c r="HL23" s="485"/>
      <c r="HM23" s="485"/>
      <c r="HN23" s="485"/>
      <c r="HO23" s="485"/>
    </row>
    <row r="24" spans="1:29" ht="24.75" customHeight="1" thickTop="1">
      <c r="A24" s="405"/>
      <c r="B24" s="367"/>
      <c r="C24" s="391"/>
      <c r="D24" s="392"/>
      <c r="E24" s="392"/>
      <c r="F24" s="368"/>
      <c r="G24" s="370"/>
      <c r="H24" s="371"/>
      <c r="I24" s="371"/>
      <c r="J24" s="393"/>
      <c r="K24" s="1123">
        <f>SUM(J24:J27)</f>
        <v>0</v>
      </c>
      <c r="L24" s="1125" t="s">
        <v>108</v>
      </c>
      <c r="M24" s="1126"/>
      <c r="N24" s="1126"/>
      <c r="O24" s="1126"/>
      <c r="P24" s="330">
        <v>2000000</v>
      </c>
      <c r="Q24" s="1123">
        <f>SUM(P24:P27)</f>
        <v>63735594</v>
      </c>
      <c r="R24" s="1134" t="s">
        <v>747</v>
      </c>
      <c r="S24" s="1135"/>
      <c r="T24" s="1135"/>
      <c r="U24" s="1135"/>
      <c r="V24" s="492">
        <v>8000000</v>
      </c>
      <c r="W24" s="1192">
        <f>SUM(V24:V27)</f>
        <v>143956417</v>
      </c>
      <c r="X24" s="394"/>
      <c r="Y24" s="395"/>
      <c r="Z24" s="396"/>
      <c r="AA24" s="394"/>
      <c r="AB24" s="395"/>
      <c r="AC24" s="377"/>
    </row>
    <row r="25" spans="1:29" ht="24.75" customHeight="1">
      <c r="A25" s="405"/>
      <c r="B25" s="367"/>
      <c r="C25" s="391"/>
      <c r="D25" s="392"/>
      <c r="E25" s="367"/>
      <c r="F25" s="368"/>
      <c r="G25" s="370"/>
      <c r="H25" s="371"/>
      <c r="I25" s="371"/>
      <c r="J25" s="393"/>
      <c r="K25" s="1124"/>
      <c r="L25" s="1129" t="s">
        <v>811</v>
      </c>
      <c r="M25" s="1130"/>
      <c r="N25" s="1130"/>
      <c r="O25" s="1130"/>
      <c r="P25" s="330">
        <v>52411853</v>
      </c>
      <c r="Q25" s="1124"/>
      <c r="R25" s="1134" t="s">
        <v>1119</v>
      </c>
      <c r="S25" s="1135"/>
      <c r="T25" s="1135"/>
      <c r="U25" s="1135"/>
      <c r="V25" s="492">
        <f>117194+3110236+839764</f>
        <v>4067194</v>
      </c>
      <c r="W25" s="1150"/>
      <c r="X25" s="808"/>
      <c r="Y25" s="392"/>
      <c r="Z25" s="367"/>
      <c r="AA25" s="405"/>
      <c r="AB25" s="392"/>
      <c r="AC25" s="368"/>
    </row>
    <row r="26" spans="1:29" ht="24.75" customHeight="1">
      <c r="A26" s="405"/>
      <c r="B26" s="367"/>
      <c r="C26" s="391"/>
      <c r="D26" s="392"/>
      <c r="E26" s="367"/>
      <c r="F26" s="368"/>
      <c r="G26" s="370"/>
      <c r="H26" s="371"/>
      <c r="I26" s="371"/>
      <c r="J26" s="393"/>
      <c r="K26" s="1124"/>
      <c r="L26" s="1129" t="s">
        <v>1030</v>
      </c>
      <c r="M26" s="1130"/>
      <c r="N26" s="1130"/>
      <c r="O26" s="1130"/>
      <c r="P26" s="330">
        <v>3303941</v>
      </c>
      <c r="Q26" s="1124"/>
      <c r="R26" s="1125" t="s">
        <v>751</v>
      </c>
      <c r="S26" s="1126"/>
      <c r="T26" s="1126"/>
      <c r="U26" s="1126"/>
      <c r="V26" s="492">
        <f>130189368-4015200+55</f>
        <v>126174223</v>
      </c>
      <c r="W26" s="1150"/>
      <c r="X26" s="808"/>
      <c r="Y26" s="392"/>
      <c r="Z26" s="367"/>
      <c r="AA26" s="405"/>
      <c r="AB26" s="392"/>
      <c r="AC26" s="368"/>
    </row>
    <row r="27" spans="1:29" ht="25.5" customHeight="1" thickBot="1">
      <c r="A27" s="1193" t="s">
        <v>496</v>
      </c>
      <c r="B27" s="1194"/>
      <c r="C27" s="1195"/>
      <c r="D27" s="397">
        <f>SUM('6. kiadások megbontása'!G58)</f>
        <v>237374175</v>
      </c>
      <c r="E27" s="348">
        <f>SUM('6. kiadások megbontása'!H58)</f>
        <v>882960326</v>
      </c>
      <c r="F27" s="349">
        <f>SUM(D27:E27)</f>
        <v>1120334501</v>
      </c>
      <c r="G27" s="398"/>
      <c r="H27" s="332"/>
      <c r="I27" s="332"/>
      <c r="J27" s="359"/>
      <c r="K27" s="1120"/>
      <c r="L27" s="1129" t="s">
        <v>1114</v>
      </c>
      <c r="M27" s="1130"/>
      <c r="N27" s="1130"/>
      <c r="O27" s="1130"/>
      <c r="P27" s="330">
        <v>6019800</v>
      </c>
      <c r="Q27" s="1120"/>
      <c r="R27" s="1127" t="s">
        <v>748</v>
      </c>
      <c r="S27" s="1128"/>
      <c r="T27" s="1128"/>
      <c r="U27" s="1128"/>
      <c r="V27" s="491">
        <v>5715000</v>
      </c>
      <c r="W27" s="1122"/>
      <c r="X27" s="399">
        <f>SUM(W24,Q24,K24)</f>
        <v>207692011</v>
      </c>
      <c r="Y27" s="361">
        <f>SUM(Q28,W28,K28)</f>
        <v>894585233</v>
      </c>
      <c r="Z27" s="362">
        <f>SUM(X27:Y27)</f>
        <v>1102277244</v>
      </c>
      <c r="AA27" s="360">
        <f>X27-D27</f>
        <v>-29682164</v>
      </c>
      <c r="AB27" s="361">
        <f>Y27-E27</f>
        <v>11624907</v>
      </c>
      <c r="AC27" s="363">
        <f>SUM(AA27:AB27)</f>
        <v>-18057257</v>
      </c>
    </row>
    <row r="28" spans="1:29" ht="29.25" customHeight="1">
      <c r="A28" s="344"/>
      <c r="B28" s="345"/>
      <c r="C28" s="346"/>
      <c r="D28" s="397"/>
      <c r="E28" s="348"/>
      <c r="F28" s="349"/>
      <c r="G28" s="624"/>
      <c r="H28" s="625"/>
      <c r="I28" s="625"/>
      <c r="J28" s="372"/>
      <c r="K28" s="1119">
        <f>SUM(J28)</f>
        <v>0</v>
      </c>
      <c r="L28" s="1137" t="s">
        <v>947</v>
      </c>
      <c r="M28" s="1138"/>
      <c r="N28" s="1138"/>
      <c r="O28" s="1138"/>
      <c r="P28" s="741">
        <v>4990349</v>
      </c>
      <c r="Q28" s="1119">
        <f>SUM(P28:P32)</f>
        <v>18058791</v>
      </c>
      <c r="R28" s="1134" t="s">
        <v>746</v>
      </c>
      <c r="S28" s="1135"/>
      <c r="T28" s="1135"/>
      <c r="U28" s="1135"/>
      <c r="V28" s="493">
        <f>876526497-55</f>
        <v>876526442</v>
      </c>
      <c r="W28" s="1190">
        <f>SUM(V28:V32)</f>
        <v>876526442</v>
      </c>
      <c r="X28" s="400"/>
      <c r="Y28" s="361"/>
      <c r="Z28" s="362"/>
      <c r="AA28" s="360"/>
      <c r="AB28" s="361"/>
      <c r="AC28" s="363"/>
    </row>
    <row r="29" spans="1:29" ht="29.25" customHeight="1">
      <c r="A29" s="344"/>
      <c r="B29" s="345"/>
      <c r="C29" s="346"/>
      <c r="D29" s="397"/>
      <c r="E29" s="348"/>
      <c r="F29" s="349"/>
      <c r="G29" s="398"/>
      <c r="H29" s="332"/>
      <c r="I29" s="332"/>
      <c r="J29" s="359"/>
      <c r="K29" s="1124"/>
      <c r="L29" s="1129" t="s">
        <v>809</v>
      </c>
      <c r="M29" s="1130"/>
      <c r="N29" s="1130"/>
      <c r="O29" s="1130"/>
      <c r="P29" s="490">
        <v>9889960</v>
      </c>
      <c r="Q29" s="1124"/>
      <c r="R29" s="867"/>
      <c r="S29" s="789"/>
      <c r="T29" s="789"/>
      <c r="U29" s="789"/>
      <c r="V29" s="493"/>
      <c r="W29" s="1191"/>
      <c r="X29" s="400"/>
      <c r="Y29" s="361"/>
      <c r="Z29" s="362"/>
      <c r="AA29" s="360"/>
      <c r="AB29" s="361"/>
      <c r="AC29" s="363"/>
    </row>
    <row r="30" spans="1:29" ht="29.25" customHeight="1">
      <c r="A30" s="344"/>
      <c r="B30" s="345"/>
      <c r="C30" s="346"/>
      <c r="D30" s="397"/>
      <c r="E30" s="348"/>
      <c r="F30" s="349"/>
      <c r="G30" s="398"/>
      <c r="H30" s="332"/>
      <c r="I30" s="332"/>
      <c r="J30" s="359"/>
      <c r="K30" s="1124"/>
      <c r="L30" s="1129" t="s">
        <v>1030</v>
      </c>
      <c r="M30" s="1130"/>
      <c r="N30" s="1130"/>
      <c r="O30" s="1130"/>
      <c r="P30" s="330">
        <v>779383</v>
      </c>
      <c r="Q30" s="1124"/>
      <c r="R30" s="867"/>
      <c r="S30" s="789"/>
      <c r="T30" s="789"/>
      <c r="U30" s="789"/>
      <c r="V30" s="493"/>
      <c r="W30" s="1191"/>
      <c r="X30" s="400"/>
      <c r="Y30" s="361"/>
      <c r="Z30" s="362"/>
      <c r="AA30" s="360"/>
      <c r="AB30" s="361"/>
      <c r="AC30" s="363"/>
    </row>
    <row r="31" spans="1:29" ht="29.25" customHeight="1">
      <c r="A31" s="344"/>
      <c r="B31" s="345"/>
      <c r="C31" s="346"/>
      <c r="D31" s="397"/>
      <c r="E31" s="348"/>
      <c r="F31" s="349"/>
      <c r="G31" s="398"/>
      <c r="H31" s="332"/>
      <c r="I31" s="332"/>
      <c r="J31" s="359"/>
      <c r="K31" s="1124"/>
      <c r="L31" s="1129" t="s">
        <v>1070</v>
      </c>
      <c r="M31" s="1130"/>
      <c r="N31" s="1130"/>
      <c r="O31" s="1130"/>
      <c r="P31" s="330">
        <v>1499099</v>
      </c>
      <c r="Q31" s="1124"/>
      <c r="R31" s="867"/>
      <c r="S31" s="789"/>
      <c r="T31" s="789"/>
      <c r="U31" s="789"/>
      <c r="V31" s="493"/>
      <c r="W31" s="1191"/>
      <c r="X31" s="400"/>
      <c r="Y31" s="361"/>
      <c r="Z31" s="362"/>
      <c r="AA31" s="360"/>
      <c r="AB31" s="361"/>
      <c r="AC31" s="363"/>
    </row>
    <row r="32" spans="1:29" ht="25.5" customHeight="1" thickBot="1">
      <c r="A32" s="344"/>
      <c r="B32" s="345"/>
      <c r="C32" s="346"/>
      <c r="D32" s="397"/>
      <c r="E32" s="348"/>
      <c r="F32" s="349"/>
      <c r="G32" s="398"/>
      <c r="H32" s="332"/>
      <c r="I32" s="332"/>
      <c r="J32" s="359"/>
      <c r="K32" s="1124"/>
      <c r="L32" s="1127" t="s">
        <v>1035</v>
      </c>
      <c r="M32" s="1128"/>
      <c r="N32" s="1128"/>
      <c r="O32" s="1128"/>
      <c r="P32" s="668">
        <v>900000</v>
      </c>
      <c r="Q32" s="1124"/>
      <c r="R32" s="471"/>
      <c r="S32" s="623"/>
      <c r="T32" s="623"/>
      <c r="U32" s="623"/>
      <c r="V32" s="492"/>
      <c r="W32" s="1191"/>
      <c r="X32" s="400"/>
      <c r="Y32" s="361"/>
      <c r="Z32" s="362"/>
      <c r="AA32" s="360"/>
      <c r="AB32" s="361"/>
      <c r="AC32" s="363"/>
    </row>
    <row r="33" spans="1:223" s="470" customFormat="1" ht="33.75" customHeight="1" thickBot="1">
      <c r="A33" s="1202" t="s">
        <v>1164</v>
      </c>
      <c r="B33" s="1203"/>
      <c r="C33" s="1204"/>
      <c r="D33" s="745">
        <f>SUM(D9:D32)</f>
        <v>897580134</v>
      </c>
      <c r="E33" s="746">
        <f>SUM(E8:E32)</f>
        <v>1289943599</v>
      </c>
      <c r="F33" s="747">
        <f>SUM(F8:F32)</f>
        <v>2187523733</v>
      </c>
      <c r="G33" s="748"/>
      <c r="H33" s="1205" t="s">
        <v>94</v>
      </c>
      <c r="I33" s="1206"/>
      <c r="J33" s="1207"/>
      <c r="K33" s="749">
        <f>SUM(K8:K32)</f>
        <v>226898540</v>
      </c>
      <c r="L33" s="478"/>
      <c r="M33" s="1139" t="s">
        <v>95</v>
      </c>
      <c r="N33" s="1139"/>
      <c r="O33" s="1139"/>
      <c r="P33" s="1140"/>
      <c r="Q33" s="749">
        <f>SUM(Q8:Q32)</f>
        <v>224561548</v>
      </c>
      <c r="R33" s="480"/>
      <c r="S33" s="1139" t="s">
        <v>96</v>
      </c>
      <c r="T33" s="1139"/>
      <c r="U33" s="1139"/>
      <c r="V33" s="1140"/>
      <c r="W33" s="750">
        <f>SUM(W8:W32)</f>
        <v>1769725272</v>
      </c>
      <c r="X33" s="751">
        <f>SUM(X8:X32)</f>
        <v>917260457</v>
      </c>
      <c r="Y33" s="752">
        <f>SUM(Y8:Y32)</f>
        <v>1303924903</v>
      </c>
      <c r="Z33" s="753">
        <f>SUM(X33:Y33)</f>
        <v>2221185360</v>
      </c>
      <c r="AA33" s="754">
        <f>SUM(AA14:AA32)</f>
        <v>19680323</v>
      </c>
      <c r="AB33" s="755">
        <f>SUM(AB10:AB32)</f>
        <v>13981304</v>
      </c>
      <c r="AC33" s="476">
        <f>SUM(AA33:AB33)</f>
        <v>33661627</v>
      </c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5"/>
      <c r="DX33" s="485"/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5"/>
      <c r="EZ33" s="485"/>
      <c r="FA33" s="485"/>
      <c r="FB33" s="485"/>
      <c r="FC33" s="485"/>
      <c r="FD33" s="485"/>
      <c r="FE33" s="485"/>
      <c r="FF33" s="485"/>
      <c r="FG33" s="485"/>
      <c r="FH33" s="485"/>
      <c r="FI33" s="485"/>
      <c r="FJ33" s="485"/>
      <c r="FK33" s="485"/>
      <c r="FL33" s="485"/>
      <c r="FM33" s="485"/>
      <c r="FN33" s="485"/>
      <c r="FO33" s="485"/>
      <c r="FP33" s="485"/>
      <c r="FQ33" s="485"/>
      <c r="FR33" s="485"/>
      <c r="FS33" s="485"/>
      <c r="FT33" s="485"/>
      <c r="FU33" s="485"/>
      <c r="FV33" s="485"/>
      <c r="FW33" s="485"/>
      <c r="FX33" s="485"/>
      <c r="FY33" s="485"/>
      <c r="FZ33" s="485"/>
      <c r="GA33" s="485"/>
      <c r="GB33" s="485"/>
      <c r="GC33" s="485"/>
      <c r="GD33" s="485"/>
      <c r="GE33" s="485"/>
      <c r="GF33" s="485"/>
      <c r="GG33" s="485"/>
      <c r="GH33" s="485"/>
      <c r="GI33" s="485"/>
      <c r="GJ33" s="485"/>
      <c r="GK33" s="485"/>
      <c r="GL33" s="485"/>
      <c r="GM33" s="485"/>
      <c r="GN33" s="485"/>
      <c r="GO33" s="485"/>
      <c r="GP33" s="485"/>
      <c r="GQ33" s="485"/>
      <c r="GR33" s="485"/>
      <c r="GS33" s="485"/>
      <c r="GT33" s="485"/>
      <c r="GU33" s="485"/>
      <c r="GV33" s="485"/>
      <c r="GW33" s="485"/>
      <c r="GX33" s="485"/>
      <c r="GY33" s="485"/>
      <c r="GZ33" s="485"/>
      <c r="HA33" s="485"/>
      <c r="HB33" s="485"/>
      <c r="HC33" s="485"/>
      <c r="HD33" s="485"/>
      <c r="HE33" s="485"/>
      <c r="HF33" s="485"/>
      <c r="HG33" s="485"/>
      <c r="HH33" s="485"/>
      <c r="HI33" s="485"/>
      <c r="HJ33" s="485"/>
      <c r="HK33" s="485"/>
      <c r="HL33" s="485"/>
      <c r="HM33" s="485"/>
      <c r="HN33" s="485"/>
      <c r="HO33" s="485"/>
    </row>
    <row r="34" spans="1:29" ht="27.75" customHeight="1" thickBot="1" thickTop="1">
      <c r="A34" s="1164" t="s">
        <v>1087</v>
      </c>
      <c r="B34" s="1220"/>
      <c r="C34" s="1221"/>
      <c r="D34" s="1173" t="s">
        <v>367</v>
      </c>
      <c r="E34" s="1144"/>
      <c r="F34" s="1174"/>
      <c r="G34" s="1175" t="s">
        <v>518</v>
      </c>
      <c r="H34" s="1144"/>
      <c r="I34" s="1144"/>
      <c r="J34" s="1144"/>
      <c r="K34" s="1145"/>
      <c r="L34" s="1143" t="s">
        <v>519</v>
      </c>
      <c r="M34" s="1144"/>
      <c r="N34" s="1144"/>
      <c r="O34" s="1144"/>
      <c r="P34" s="1144"/>
      <c r="Q34" s="1145"/>
      <c r="R34" s="1143" t="s">
        <v>520</v>
      </c>
      <c r="S34" s="1144"/>
      <c r="T34" s="1144"/>
      <c r="U34" s="1144"/>
      <c r="V34" s="1144"/>
      <c r="W34" s="1174"/>
      <c r="X34" s="1199" t="s">
        <v>521</v>
      </c>
      <c r="Y34" s="1186"/>
      <c r="Z34" s="1186"/>
      <c r="AA34" s="1187" t="s">
        <v>88</v>
      </c>
      <c r="AB34" s="1188"/>
      <c r="AC34" s="1189"/>
    </row>
    <row r="35" spans="1:223" s="401" customFormat="1" ht="18.75" customHeight="1" thickBot="1" thickTop="1">
      <c r="A35" s="1222"/>
      <c r="B35" s="1223"/>
      <c r="C35" s="1224"/>
      <c r="D35" s="466" t="s">
        <v>89</v>
      </c>
      <c r="E35" s="778" t="s">
        <v>85</v>
      </c>
      <c r="F35" s="324" t="s">
        <v>90</v>
      </c>
      <c r="G35" s="1225"/>
      <c r="H35" s="1147"/>
      <c r="I35" s="1147"/>
      <c r="J35" s="1226"/>
      <c r="K35" s="1148"/>
      <c r="L35" s="1146"/>
      <c r="M35" s="1147"/>
      <c r="N35" s="1147"/>
      <c r="O35" s="1147"/>
      <c r="P35" s="1147"/>
      <c r="Q35" s="1148"/>
      <c r="R35" s="1146"/>
      <c r="S35" s="1147"/>
      <c r="T35" s="1147"/>
      <c r="U35" s="1147"/>
      <c r="V35" s="1147"/>
      <c r="W35" s="1198"/>
      <c r="X35" s="763" t="s">
        <v>89</v>
      </c>
      <c r="Y35" s="766" t="s">
        <v>85</v>
      </c>
      <c r="Z35" s="324" t="s">
        <v>90</v>
      </c>
      <c r="AA35" s="757" t="s">
        <v>89</v>
      </c>
      <c r="AB35" s="466" t="s">
        <v>85</v>
      </c>
      <c r="AC35" s="324" t="s">
        <v>90</v>
      </c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1"/>
      <c r="FF35" s="321"/>
      <c r="FG35" s="321"/>
      <c r="FH35" s="321"/>
      <c r="FI35" s="321"/>
      <c r="FJ35" s="321"/>
      <c r="FK35" s="321"/>
      <c r="FL35" s="321"/>
      <c r="FM35" s="321"/>
      <c r="FN35" s="321"/>
      <c r="FO35" s="321"/>
      <c r="FP35" s="321"/>
      <c r="FQ35" s="321"/>
      <c r="FR35" s="321"/>
      <c r="FS35" s="321"/>
      <c r="FT35" s="321"/>
      <c r="FU35" s="321"/>
      <c r="FV35" s="321"/>
      <c r="FW35" s="321"/>
      <c r="FX35" s="321"/>
      <c r="FY35" s="321"/>
      <c r="FZ35" s="321"/>
      <c r="GA35" s="321"/>
      <c r="GB35" s="321"/>
      <c r="GC35" s="321"/>
      <c r="GD35" s="321"/>
      <c r="GE35" s="321"/>
      <c r="GF35" s="321"/>
      <c r="GG35" s="321"/>
      <c r="GH35" s="321"/>
      <c r="GI35" s="321"/>
      <c r="GJ35" s="321"/>
      <c r="GK35" s="321"/>
      <c r="GL35" s="321"/>
      <c r="GM35" s="321"/>
      <c r="GN35" s="321"/>
      <c r="GO35" s="321"/>
      <c r="GP35" s="321"/>
      <c r="GQ35" s="321"/>
      <c r="GR35" s="321"/>
      <c r="GS35" s="321"/>
      <c r="GT35" s="321"/>
      <c r="GU35" s="321"/>
      <c r="GV35" s="321"/>
      <c r="GW35" s="321"/>
      <c r="GX35" s="321"/>
      <c r="GY35" s="321"/>
      <c r="GZ35" s="321"/>
      <c r="HA35" s="321"/>
      <c r="HB35" s="321"/>
      <c r="HC35" s="321"/>
      <c r="HD35" s="321"/>
      <c r="HE35" s="321"/>
      <c r="HF35" s="321"/>
      <c r="HG35" s="321"/>
      <c r="HH35" s="321"/>
      <c r="HI35" s="321"/>
      <c r="HJ35" s="321"/>
      <c r="HK35" s="321"/>
      <c r="HL35" s="321"/>
      <c r="HM35" s="321"/>
      <c r="HN35" s="321"/>
      <c r="HO35" s="321"/>
    </row>
    <row r="36" spans="1:29" ht="12.75" customHeight="1">
      <c r="A36" s="325"/>
      <c r="B36" s="367"/>
      <c r="C36" s="367"/>
      <c r="D36" s="392"/>
      <c r="E36" s="367"/>
      <c r="F36" s="329"/>
      <c r="G36" s="1209" t="s">
        <v>476</v>
      </c>
      <c r="H36" s="1101"/>
      <c r="I36" s="1101"/>
      <c r="J36" s="1211">
        <f>119812800+3401000</f>
        <v>123213800</v>
      </c>
      <c r="K36" s="1208">
        <f>SUM(J36:J39)</f>
        <v>133945514</v>
      </c>
      <c r="L36" s="1227" t="s">
        <v>745</v>
      </c>
      <c r="M36" s="1228"/>
      <c r="N36" s="1228"/>
      <c r="O36" s="1228"/>
      <c r="P36" s="1104">
        <f>7430000-7430000</f>
        <v>0</v>
      </c>
      <c r="Q36" s="1119">
        <f>SUM(P36:P39)</f>
        <v>4598901</v>
      </c>
      <c r="R36" s="1100" t="s">
        <v>836</v>
      </c>
      <c r="S36" s="1101"/>
      <c r="T36" s="1101"/>
      <c r="U36" s="1101"/>
      <c r="V36" s="1104">
        <v>250000</v>
      </c>
      <c r="W36" s="1094">
        <f>SUM(V36:V39)</f>
        <v>8587068</v>
      </c>
      <c r="X36" s="402"/>
      <c r="Y36" s="403"/>
      <c r="Z36" s="404"/>
      <c r="AA36" s="325"/>
      <c r="AB36" s="342"/>
      <c r="AC36" s="343"/>
    </row>
    <row r="37" spans="1:29" ht="12.75" customHeight="1">
      <c r="A37" s="405"/>
      <c r="B37" s="365"/>
      <c r="C37" s="365"/>
      <c r="D37" s="406"/>
      <c r="E37" s="367"/>
      <c r="F37" s="368"/>
      <c r="G37" s="1210"/>
      <c r="H37" s="1126"/>
      <c r="I37" s="1126"/>
      <c r="J37" s="1212"/>
      <c r="K37" s="1124"/>
      <c r="L37" s="1134"/>
      <c r="M37" s="1135"/>
      <c r="N37" s="1135"/>
      <c r="O37" s="1135"/>
      <c r="P37" s="1136"/>
      <c r="Q37" s="1124"/>
      <c r="R37" s="1125"/>
      <c r="S37" s="1126"/>
      <c r="T37" s="1126"/>
      <c r="U37" s="1126"/>
      <c r="V37" s="1136"/>
      <c r="W37" s="1095"/>
      <c r="X37" s="407"/>
      <c r="Y37" s="351"/>
      <c r="Z37" s="341"/>
      <c r="AA37" s="352"/>
      <c r="AB37" s="353"/>
      <c r="AC37" s="354"/>
    </row>
    <row r="38" spans="1:29" ht="24.75" customHeight="1">
      <c r="A38" s="405"/>
      <c r="B38" s="1194" t="s">
        <v>495</v>
      </c>
      <c r="C38" s="1195"/>
      <c r="D38" s="397">
        <f>SUM('6. kiadások megbontása'!D66)</f>
        <v>140459511</v>
      </c>
      <c r="E38" s="348">
        <f>SUM('6. kiadások megbontása'!E66)</f>
        <v>1324174</v>
      </c>
      <c r="F38" s="349">
        <f>SUM(D38:E38)</f>
        <v>141783685</v>
      </c>
      <c r="G38" s="1210" t="s">
        <v>1031</v>
      </c>
      <c r="H38" s="1126"/>
      <c r="I38" s="1126"/>
      <c r="J38" s="475">
        <f>33819+239000-5105</f>
        <v>267714</v>
      </c>
      <c r="K38" s="1124"/>
      <c r="L38" s="1151" t="s">
        <v>1036</v>
      </c>
      <c r="M38" s="1152"/>
      <c r="N38" s="1152"/>
      <c r="O38" s="1152"/>
      <c r="P38" s="490">
        <f>1960719+47334</f>
        <v>2008053</v>
      </c>
      <c r="Q38" s="1124"/>
      <c r="R38" s="1125" t="s">
        <v>523</v>
      </c>
      <c r="S38" s="1126"/>
      <c r="T38" s="1126"/>
      <c r="U38" s="1126"/>
      <c r="V38" s="488">
        <v>6799209</v>
      </c>
      <c r="W38" s="1095"/>
      <c r="X38" s="407">
        <f>SUM(W36,Q36,K36)</f>
        <v>147131483</v>
      </c>
      <c r="Y38" s="351">
        <v>0</v>
      </c>
      <c r="Z38" s="362">
        <f>SUM(Y38,X38)</f>
        <v>147131483</v>
      </c>
      <c r="AA38" s="360">
        <f>X38-D38</f>
        <v>6671972</v>
      </c>
      <c r="AB38" s="361">
        <f>Y38-E38</f>
        <v>-1324174</v>
      </c>
      <c r="AC38" s="354">
        <f>SUM(AA38:AB38)</f>
        <v>5347798</v>
      </c>
    </row>
    <row r="39" spans="1:29" ht="36.75" customHeight="1">
      <c r="A39" s="405"/>
      <c r="B39" s="345"/>
      <c r="C39" s="345"/>
      <c r="D39" s="397"/>
      <c r="E39" s="348"/>
      <c r="F39" s="349"/>
      <c r="G39" s="1213" t="s">
        <v>1034</v>
      </c>
      <c r="H39" s="1155"/>
      <c r="I39" s="1155"/>
      <c r="J39" s="868">
        <v>10464000</v>
      </c>
      <c r="K39" s="1124"/>
      <c r="L39" s="1141" t="s">
        <v>1084</v>
      </c>
      <c r="M39" s="1142"/>
      <c r="N39" s="1142"/>
      <c r="O39" s="1142"/>
      <c r="P39" s="490">
        <f>2156000+434848</f>
        <v>2590848</v>
      </c>
      <c r="Q39" s="1124"/>
      <c r="R39" s="1153" t="s">
        <v>751</v>
      </c>
      <c r="S39" s="1154"/>
      <c r="T39" s="1154"/>
      <c r="U39" s="1154"/>
      <c r="V39" s="963">
        <v>1537859</v>
      </c>
      <c r="W39" s="1095"/>
      <c r="X39" s="407"/>
      <c r="Y39" s="351"/>
      <c r="Z39" s="362"/>
      <c r="AA39" s="360"/>
      <c r="AB39" s="361"/>
      <c r="AC39" s="354"/>
    </row>
    <row r="40" spans="1:29" ht="20.25" customHeight="1" thickBot="1">
      <c r="A40" s="1214" t="s">
        <v>496</v>
      </c>
      <c r="B40" s="1215"/>
      <c r="C40" s="1216"/>
      <c r="D40" s="806">
        <f>'6. kiadások megbontása'!G66</f>
        <v>9104778</v>
      </c>
      <c r="E40" s="795"/>
      <c r="F40" s="807">
        <f>SUM(D40:E40)</f>
        <v>9104778</v>
      </c>
      <c r="G40" s="796"/>
      <c r="H40" s="796"/>
      <c r="I40" s="796"/>
      <c r="J40" s="797"/>
      <c r="K40" s="798"/>
      <c r="L40" s="799"/>
      <c r="M40" s="800"/>
      <c r="N40" s="800"/>
      <c r="O40" s="800"/>
      <c r="P40" s="801"/>
      <c r="Q40" s="798"/>
      <c r="R40" s="1102" t="s">
        <v>751</v>
      </c>
      <c r="S40" s="1103"/>
      <c r="T40" s="1103"/>
      <c r="U40" s="1103"/>
      <c r="V40" s="962">
        <f>4015200+403910</f>
        <v>4419110</v>
      </c>
      <c r="W40" s="802">
        <f>SUM(V40)</f>
        <v>4419110</v>
      </c>
      <c r="X40" s="803">
        <f>SUM(W40)</f>
        <v>4419110</v>
      </c>
      <c r="Y40" s="804"/>
      <c r="Z40" s="883">
        <f>SUM(Y40,X40)</f>
        <v>4419110</v>
      </c>
      <c r="AA40" s="884">
        <f>X40-D40</f>
        <v>-4685668</v>
      </c>
      <c r="AB40" s="885">
        <f>Y40-E40</f>
        <v>0</v>
      </c>
      <c r="AC40" s="805">
        <f>SUM(AA40:AB40)</f>
        <v>-4685668</v>
      </c>
    </row>
    <row r="41" spans="1:223" s="470" customFormat="1" ht="33.75" customHeight="1" thickBot="1">
      <c r="A41" s="1202" t="s">
        <v>1162</v>
      </c>
      <c r="B41" s="1203"/>
      <c r="C41" s="1204"/>
      <c r="D41" s="745">
        <f>SUM(D36:D40)</f>
        <v>149564289</v>
      </c>
      <c r="E41" s="746">
        <f>SUM(E36:E40)</f>
        <v>1324174</v>
      </c>
      <c r="F41" s="747">
        <f>SUM(F36:F40)</f>
        <v>150888463</v>
      </c>
      <c r="G41" s="748"/>
      <c r="H41" s="1205" t="s">
        <v>94</v>
      </c>
      <c r="I41" s="1206"/>
      <c r="J41" s="1207"/>
      <c r="K41" s="749">
        <f>SUM(K36:K39)</f>
        <v>133945514</v>
      </c>
      <c r="L41" s="478"/>
      <c r="M41" s="1139" t="s">
        <v>95</v>
      </c>
      <c r="N41" s="1139"/>
      <c r="O41" s="1139"/>
      <c r="P41" s="1140"/>
      <c r="Q41" s="749">
        <f>SUM(Q36:Q39)</f>
        <v>4598901</v>
      </c>
      <c r="R41" s="480"/>
      <c r="S41" s="1139" t="s">
        <v>96</v>
      </c>
      <c r="T41" s="1139"/>
      <c r="U41" s="1139"/>
      <c r="V41" s="1140"/>
      <c r="W41" s="750">
        <f>SUM(W36:W40)</f>
        <v>13006178</v>
      </c>
      <c r="X41" s="751">
        <f>SUM(X36:X40)</f>
        <v>151550593</v>
      </c>
      <c r="Y41" s="752">
        <v>0</v>
      </c>
      <c r="Z41" s="753">
        <f>SUM(X41:Y41)</f>
        <v>151550593</v>
      </c>
      <c r="AA41" s="754">
        <f>X41-D41</f>
        <v>1986304</v>
      </c>
      <c r="AB41" s="755">
        <f>Y41-E41</f>
        <v>-1324174</v>
      </c>
      <c r="AC41" s="476">
        <f>SUM(AA41:AB41)</f>
        <v>662130</v>
      </c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  <c r="DR41" s="485"/>
      <c r="DS41" s="485"/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5"/>
      <c r="EL41" s="485"/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5"/>
      <c r="EY41" s="485"/>
      <c r="EZ41" s="485"/>
      <c r="FA41" s="485"/>
      <c r="FB41" s="485"/>
      <c r="FC41" s="485"/>
      <c r="FD41" s="485"/>
      <c r="FE41" s="485"/>
      <c r="FF41" s="485"/>
      <c r="FG41" s="485"/>
      <c r="FH41" s="485"/>
      <c r="FI41" s="485"/>
      <c r="FJ41" s="485"/>
      <c r="FK41" s="485"/>
      <c r="FL41" s="485"/>
      <c r="FM41" s="485"/>
      <c r="FN41" s="485"/>
      <c r="FO41" s="485"/>
      <c r="FP41" s="485"/>
      <c r="FQ41" s="485"/>
      <c r="FR41" s="485"/>
      <c r="FS41" s="485"/>
      <c r="FT41" s="485"/>
      <c r="FU41" s="485"/>
      <c r="FV41" s="485"/>
      <c r="FW41" s="485"/>
      <c r="FX41" s="485"/>
      <c r="FY41" s="485"/>
      <c r="FZ41" s="485"/>
      <c r="GA41" s="485"/>
      <c r="GB41" s="485"/>
      <c r="GC41" s="485"/>
      <c r="GD41" s="485"/>
      <c r="GE41" s="485"/>
      <c r="GF41" s="485"/>
      <c r="GG41" s="485"/>
      <c r="GH41" s="485"/>
      <c r="GI41" s="485"/>
      <c r="GJ41" s="485"/>
      <c r="GK41" s="485"/>
      <c r="GL41" s="485"/>
      <c r="GM41" s="485"/>
      <c r="GN41" s="485"/>
      <c r="GO41" s="485"/>
      <c r="GP41" s="485"/>
      <c r="GQ41" s="485"/>
      <c r="GR41" s="485"/>
      <c r="GS41" s="485"/>
      <c r="GT41" s="485"/>
      <c r="GU41" s="485"/>
      <c r="GV41" s="485"/>
      <c r="GW41" s="485"/>
      <c r="GX41" s="485"/>
      <c r="GY41" s="485"/>
      <c r="GZ41" s="485"/>
      <c r="HA41" s="485"/>
      <c r="HB41" s="485"/>
      <c r="HC41" s="485"/>
      <c r="HD41" s="485"/>
      <c r="HE41" s="485"/>
      <c r="HF41" s="485"/>
      <c r="HG41" s="485"/>
      <c r="HH41" s="485"/>
      <c r="HI41" s="485"/>
      <c r="HJ41" s="485"/>
      <c r="HK41" s="485"/>
      <c r="HL41" s="485"/>
      <c r="HM41" s="485"/>
      <c r="HN41" s="485"/>
      <c r="HO41" s="485"/>
    </row>
    <row r="42" spans="1:29" ht="27.75" customHeight="1" thickBot="1" thickTop="1">
      <c r="A42" s="1164" t="s">
        <v>833</v>
      </c>
      <c r="B42" s="1220"/>
      <c r="C42" s="1221"/>
      <c r="D42" s="1173" t="s">
        <v>367</v>
      </c>
      <c r="E42" s="1144"/>
      <c r="F42" s="1174"/>
      <c r="G42" s="1175" t="s">
        <v>518</v>
      </c>
      <c r="H42" s="1144"/>
      <c r="I42" s="1144"/>
      <c r="J42" s="1144"/>
      <c r="K42" s="1145"/>
      <c r="L42" s="1143" t="s">
        <v>519</v>
      </c>
      <c r="M42" s="1144"/>
      <c r="N42" s="1144"/>
      <c r="O42" s="1144"/>
      <c r="P42" s="1144"/>
      <c r="Q42" s="1145"/>
      <c r="R42" s="1143" t="s">
        <v>520</v>
      </c>
      <c r="S42" s="1144"/>
      <c r="T42" s="1144"/>
      <c r="U42" s="1144"/>
      <c r="V42" s="1144"/>
      <c r="W42" s="1174"/>
      <c r="X42" s="1199" t="s">
        <v>521</v>
      </c>
      <c r="Y42" s="1186"/>
      <c r="Z42" s="1186"/>
      <c r="AA42" s="1187" t="s">
        <v>88</v>
      </c>
      <c r="AB42" s="1188"/>
      <c r="AC42" s="1189"/>
    </row>
    <row r="43" spans="1:223" s="401" customFormat="1" ht="18.75" customHeight="1" thickBot="1" thickTop="1">
      <c r="A43" s="1222"/>
      <c r="B43" s="1223"/>
      <c r="C43" s="1224"/>
      <c r="D43" s="466" t="s">
        <v>89</v>
      </c>
      <c r="E43" s="778" t="s">
        <v>85</v>
      </c>
      <c r="F43" s="324" t="s">
        <v>90</v>
      </c>
      <c r="G43" s="1225"/>
      <c r="H43" s="1147"/>
      <c r="I43" s="1147"/>
      <c r="J43" s="1226"/>
      <c r="K43" s="1148"/>
      <c r="L43" s="1146"/>
      <c r="M43" s="1147"/>
      <c r="N43" s="1147"/>
      <c r="O43" s="1147"/>
      <c r="P43" s="1147"/>
      <c r="Q43" s="1148"/>
      <c r="R43" s="1146"/>
      <c r="S43" s="1147"/>
      <c r="T43" s="1147"/>
      <c r="U43" s="1147"/>
      <c r="V43" s="1147"/>
      <c r="W43" s="1147"/>
      <c r="X43" s="765" t="s">
        <v>89</v>
      </c>
      <c r="Y43" s="766" t="s">
        <v>85</v>
      </c>
      <c r="Z43" s="324" t="s">
        <v>90</v>
      </c>
      <c r="AA43" s="757" t="s">
        <v>89</v>
      </c>
      <c r="AB43" s="466" t="s">
        <v>85</v>
      </c>
      <c r="AC43" s="324" t="s">
        <v>90</v>
      </c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321"/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/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J43" s="321"/>
      <c r="GK43" s="321"/>
      <c r="GL43" s="321"/>
      <c r="GM43" s="321"/>
      <c r="GN43" s="321"/>
      <c r="GO43" s="321"/>
      <c r="GP43" s="321"/>
      <c r="GQ43" s="321"/>
      <c r="GR43" s="321"/>
      <c r="GS43" s="321"/>
      <c r="GT43" s="321"/>
      <c r="GU43" s="321"/>
      <c r="GV43" s="321"/>
      <c r="GW43" s="321"/>
      <c r="GX43" s="321"/>
      <c r="GY43" s="321"/>
      <c r="GZ43" s="321"/>
      <c r="HA43" s="321"/>
      <c r="HB43" s="321"/>
      <c r="HC43" s="321"/>
      <c r="HD43" s="321"/>
      <c r="HE43" s="321"/>
      <c r="HF43" s="321"/>
      <c r="HG43" s="321"/>
      <c r="HH43" s="321"/>
      <c r="HI43" s="321"/>
      <c r="HJ43" s="321"/>
      <c r="HK43" s="321"/>
      <c r="HL43" s="321"/>
      <c r="HM43" s="321"/>
      <c r="HN43" s="321"/>
      <c r="HO43" s="321"/>
    </row>
    <row r="44" spans="1:29" ht="26.25" customHeight="1">
      <c r="A44" s="325"/>
      <c r="B44" s="367"/>
      <c r="C44" s="367"/>
      <c r="D44" s="392"/>
      <c r="E44" s="367"/>
      <c r="F44" s="329"/>
      <c r="G44" s="1157" t="s">
        <v>543</v>
      </c>
      <c r="H44" s="1130"/>
      <c r="I44" s="1130"/>
      <c r="J44" s="474">
        <f>10507640+356000</f>
        <v>10863640</v>
      </c>
      <c r="K44" s="1119">
        <f>SUM(J44:J46)</f>
        <v>11635318</v>
      </c>
      <c r="L44" s="1137"/>
      <c r="M44" s="1138"/>
      <c r="N44" s="1138"/>
      <c r="O44" s="1138"/>
      <c r="P44" s="1104"/>
      <c r="Q44" s="1119">
        <f>SUM(P44:P46)</f>
        <v>0</v>
      </c>
      <c r="R44" s="1125" t="s">
        <v>813</v>
      </c>
      <c r="S44" s="1126"/>
      <c r="T44" s="1126"/>
      <c r="U44" s="1126"/>
      <c r="V44" s="494">
        <f>110000+32790</f>
        <v>142790</v>
      </c>
      <c r="W44" s="1121">
        <f>SUM(V44:V46)</f>
        <v>21141731</v>
      </c>
      <c r="X44" s="761"/>
      <c r="Y44" s="403"/>
      <c r="Z44" s="404"/>
      <c r="AA44" s="325"/>
      <c r="AB44" s="342"/>
      <c r="AC44" s="343"/>
    </row>
    <row r="45" spans="1:29" ht="19.5" customHeight="1">
      <c r="A45" s="405"/>
      <c r="B45" s="1194" t="s">
        <v>495</v>
      </c>
      <c r="C45" s="1195"/>
      <c r="D45" s="397">
        <f>SUM('6. kiadások megbontása'!D84)</f>
        <v>39902838</v>
      </c>
      <c r="E45" s="348">
        <f>SUM('6. kiadások megbontása'!E84)</f>
        <v>826144</v>
      </c>
      <c r="F45" s="349">
        <f>SUM(D45:E45)</f>
        <v>40728982</v>
      </c>
      <c r="G45" s="1213" t="s">
        <v>1033</v>
      </c>
      <c r="H45" s="1155"/>
      <c r="I45" s="1155"/>
      <c r="J45" s="475">
        <f>862312-90634</f>
        <v>771678</v>
      </c>
      <c r="K45" s="1124"/>
      <c r="L45" s="1129"/>
      <c r="M45" s="1130"/>
      <c r="N45" s="1130"/>
      <c r="O45" s="1130"/>
      <c r="P45" s="1136"/>
      <c r="Q45" s="1124"/>
      <c r="R45" s="1125" t="s">
        <v>814</v>
      </c>
      <c r="S45" s="1126"/>
      <c r="T45" s="1126"/>
      <c r="U45" s="1126"/>
      <c r="V45" s="494">
        <f>4190000+1080000+8076772+2180728+300000+81000+440000+118800+160000+43200+2112000+567021+808568+218313</f>
        <v>20376402</v>
      </c>
      <c r="W45" s="1150"/>
      <c r="X45" s="760">
        <f>SUM(W44,Q44,K44)</f>
        <v>32777049</v>
      </c>
      <c r="Y45" s="351">
        <v>0</v>
      </c>
      <c r="Z45" s="362">
        <f>SUM(Y45,X45)</f>
        <v>32777049</v>
      </c>
      <c r="AA45" s="360">
        <f>X45-D45</f>
        <v>-7125789</v>
      </c>
      <c r="AB45" s="361">
        <f>Y45-E45</f>
        <v>-826144</v>
      </c>
      <c r="AC45" s="354">
        <f>SUM(AA45:AB45)</f>
        <v>-7951933</v>
      </c>
    </row>
    <row r="46" spans="1:29" ht="17.25" customHeight="1" thickBot="1">
      <c r="A46" s="405"/>
      <c r="B46" s="365"/>
      <c r="C46" s="365"/>
      <c r="D46" s="408"/>
      <c r="E46" s="409"/>
      <c r="F46" s="410"/>
      <c r="G46" s="332"/>
      <c r="H46" s="332"/>
      <c r="I46" s="332"/>
      <c r="J46" s="411"/>
      <c r="K46" s="1124"/>
      <c r="L46" s="486"/>
      <c r="M46" s="487"/>
      <c r="N46" s="487"/>
      <c r="O46" s="487"/>
      <c r="P46" s="489"/>
      <c r="Q46" s="1124"/>
      <c r="R46" s="1102" t="s">
        <v>751</v>
      </c>
      <c r="S46" s="1103"/>
      <c r="T46" s="1103"/>
      <c r="U46" s="1103"/>
      <c r="V46" s="494">
        <v>622539</v>
      </c>
      <c r="W46" s="1150"/>
      <c r="X46" s="762"/>
      <c r="Y46" s="351"/>
      <c r="Z46" s="341"/>
      <c r="AA46" s="352"/>
      <c r="AB46" s="353"/>
      <c r="AC46" s="354"/>
    </row>
    <row r="47" spans="1:29" ht="15.75" customHeight="1">
      <c r="A47" s="433"/>
      <c r="B47" s="434"/>
      <c r="C47" s="477"/>
      <c r="D47" s="435"/>
      <c r="E47" s="436"/>
      <c r="F47" s="437"/>
      <c r="G47" s="1264"/>
      <c r="H47" s="1159"/>
      <c r="I47" s="1159"/>
      <c r="J47" s="438"/>
      <c r="K47" s="1119">
        <f>SUM(J47:J49)</f>
        <v>0</v>
      </c>
      <c r="L47" s="1137" t="s">
        <v>948</v>
      </c>
      <c r="M47" s="1138"/>
      <c r="N47" s="1138"/>
      <c r="O47" s="1138"/>
      <c r="P47" s="1269">
        <v>22502900</v>
      </c>
      <c r="Q47" s="1119">
        <f>SUM(P47:P50)</f>
        <v>25262612</v>
      </c>
      <c r="R47" s="439"/>
      <c r="S47" s="440"/>
      <c r="T47" s="440"/>
      <c r="U47" s="440"/>
      <c r="V47" s="441"/>
      <c r="W47" s="1094">
        <f>SUM(V47:V49)</f>
        <v>0</v>
      </c>
      <c r="X47" s="1097">
        <f>SUM(K48+P47+P50+W48)</f>
        <v>22765512</v>
      </c>
      <c r="Y47" s="1088">
        <f>P49</f>
        <v>2497100</v>
      </c>
      <c r="Z47" s="1091">
        <f>SUM(X48:Y48)</f>
        <v>0</v>
      </c>
      <c r="AA47" s="1097">
        <f>X47-D48</f>
        <v>-8001</v>
      </c>
      <c r="AB47" s="1088">
        <f>Y47-E48</f>
        <v>0</v>
      </c>
      <c r="AC47" s="1091">
        <f>SUM(AA48:AB48)</f>
        <v>0</v>
      </c>
    </row>
    <row r="48" spans="1:29" ht="16.5" customHeight="1">
      <c r="A48" s="1193" t="s">
        <v>496</v>
      </c>
      <c r="B48" s="1194"/>
      <c r="C48" s="1195"/>
      <c r="D48" s="397">
        <f>SUM('6. kiadások megbontása'!G84)</f>
        <v>22773513</v>
      </c>
      <c r="E48" s="348">
        <f>SUM('6. kiadások megbontása'!H84)</f>
        <v>2497100</v>
      </c>
      <c r="F48" s="349">
        <f>SUM(D48:E48)</f>
        <v>25270613</v>
      </c>
      <c r="G48" s="370"/>
      <c r="H48" s="371"/>
      <c r="I48" s="371"/>
      <c r="J48" s="442"/>
      <c r="K48" s="1124"/>
      <c r="L48" s="1129"/>
      <c r="M48" s="1130"/>
      <c r="N48" s="1130"/>
      <c r="O48" s="1130"/>
      <c r="P48" s="1270"/>
      <c r="Q48" s="1124"/>
      <c r="R48" s="1267"/>
      <c r="S48" s="1268"/>
      <c r="T48" s="1268"/>
      <c r="U48" s="1268"/>
      <c r="V48" s="369"/>
      <c r="W48" s="1095"/>
      <c r="X48" s="1098"/>
      <c r="Y48" s="1089"/>
      <c r="Z48" s="1092"/>
      <c r="AA48" s="1098"/>
      <c r="AB48" s="1089"/>
      <c r="AC48" s="1092"/>
    </row>
    <row r="49" spans="1:29" ht="27" customHeight="1">
      <c r="A49" s="344"/>
      <c r="B49" s="431"/>
      <c r="C49" s="431"/>
      <c r="D49" s="408"/>
      <c r="E49" s="409"/>
      <c r="F49" s="1229"/>
      <c r="G49" s="895"/>
      <c r="H49" s="896"/>
      <c r="I49" s="896"/>
      <c r="J49" s="897"/>
      <c r="K49" s="1124"/>
      <c r="L49" s="1129" t="s">
        <v>949</v>
      </c>
      <c r="M49" s="1130"/>
      <c r="N49" s="1130"/>
      <c r="O49" s="1130"/>
      <c r="P49" s="490">
        <v>2497100</v>
      </c>
      <c r="Q49" s="1124"/>
      <c r="R49" s="367"/>
      <c r="S49" s="367"/>
      <c r="T49" s="367"/>
      <c r="U49" s="367"/>
      <c r="V49" s="367"/>
      <c r="W49" s="1095"/>
      <c r="X49" s="1098"/>
      <c r="Y49" s="1089"/>
      <c r="Z49" s="1092"/>
      <c r="AA49" s="1098"/>
      <c r="AB49" s="1089"/>
      <c r="AC49" s="1092"/>
    </row>
    <row r="50" spans="1:29" ht="13.5" customHeight="1" thickBot="1">
      <c r="A50" s="344"/>
      <c r="B50" s="431"/>
      <c r="C50" s="431"/>
      <c r="D50" s="408"/>
      <c r="E50" s="409"/>
      <c r="F50" s="1230"/>
      <c r="G50" s="898"/>
      <c r="H50" s="899"/>
      <c r="I50" s="899"/>
      <c r="J50" s="900"/>
      <c r="K50" s="1120"/>
      <c r="L50" s="1127" t="s">
        <v>1071</v>
      </c>
      <c r="M50" s="1128"/>
      <c r="N50" s="1128"/>
      <c r="O50" s="1128"/>
      <c r="P50" s="668">
        <v>262612</v>
      </c>
      <c r="Q50" s="1120"/>
      <c r="R50" s="367"/>
      <c r="S50" s="367"/>
      <c r="T50" s="367"/>
      <c r="U50" s="367"/>
      <c r="V50" s="367"/>
      <c r="W50" s="1096"/>
      <c r="X50" s="1099"/>
      <c r="Y50" s="1090"/>
      <c r="Z50" s="1093"/>
      <c r="AA50" s="1099"/>
      <c r="AB50" s="1090"/>
      <c r="AC50" s="1093"/>
    </row>
    <row r="51" spans="1:223" s="470" customFormat="1" ht="33.75" customHeight="1" thickBot="1">
      <c r="A51" s="1202" t="s">
        <v>1163</v>
      </c>
      <c r="B51" s="1203"/>
      <c r="C51" s="1204"/>
      <c r="D51" s="745">
        <f>SUM(D44:D49)</f>
        <v>62676351</v>
      </c>
      <c r="E51" s="746">
        <f>SUM(E44:E49)</f>
        <v>3323244</v>
      </c>
      <c r="F51" s="747">
        <f>SUM(F44:F49)</f>
        <v>65999595</v>
      </c>
      <c r="G51" s="748"/>
      <c r="H51" s="1205" t="s">
        <v>94</v>
      </c>
      <c r="I51" s="1206"/>
      <c r="J51" s="1207"/>
      <c r="K51" s="749">
        <f>SUM(K47+K44)</f>
        <v>11635318</v>
      </c>
      <c r="L51" s="478"/>
      <c r="M51" s="1139" t="s">
        <v>95</v>
      </c>
      <c r="N51" s="1139"/>
      <c r="O51" s="1139"/>
      <c r="P51" s="1140"/>
      <c r="Q51" s="749">
        <f>SUM(Q44:Q49)</f>
        <v>25262612</v>
      </c>
      <c r="R51" s="480"/>
      <c r="S51" s="1139" t="s">
        <v>96</v>
      </c>
      <c r="T51" s="1139"/>
      <c r="U51" s="1139"/>
      <c r="V51" s="1140"/>
      <c r="W51" s="750">
        <f>SUM(W44:W49)</f>
        <v>21141731</v>
      </c>
      <c r="X51" s="751">
        <f>SUM(X44:X49)</f>
        <v>55542561</v>
      </c>
      <c r="Y51" s="752">
        <f>SUM(Y44:Y49)</f>
        <v>2497100</v>
      </c>
      <c r="Z51" s="753">
        <f>SUM(X51:Y51)</f>
        <v>58039661</v>
      </c>
      <c r="AA51" s="754">
        <f>X51-D51</f>
        <v>-7133790</v>
      </c>
      <c r="AB51" s="755">
        <f>Y51-E51</f>
        <v>-826144</v>
      </c>
      <c r="AC51" s="476">
        <f>SUM(AA51:AB51)</f>
        <v>-7959934</v>
      </c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5"/>
      <c r="DB51" s="485"/>
      <c r="DC51" s="485"/>
      <c r="DD51" s="485"/>
      <c r="DE51" s="485"/>
      <c r="DF51" s="485"/>
      <c r="DG51" s="485"/>
      <c r="DH51" s="485"/>
      <c r="DI51" s="485"/>
      <c r="DJ51" s="485"/>
      <c r="DK51" s="485"/>
      <c r="DL51" s="485"/>
      <c r="DM51" s="485"/>
      <c r="DN51" s="485"/>
      <c r="DO51" s="485"/>
      <c r="DP51" s="485"/>
      <c r="DQ51" s="485"/>
      <c r="DR51" s="485"/>
      <c r="DS51" s="485"/>
      <c r="DT51" s="485"/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5"/>
      <c r="EG51" s="485"/>
      <c r="EH51" s="485"/>
      <c r="EI51" s="485"/>
      <c r="EJ51" s="485"/>
      <c r="EK51" s="485"/>
      <c r="EL51" s="485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5"/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5"/>
      <c r="FL51" s="485"/>
      <c r="FM51" s="485"/>
      <c r="FN51" s="485"/>
      <c r="FO51" s="485"/>
      <c r="FP51" s="485"/>
      <c r="FQ51" s="485"/>
      <c r="FR51" s="485"/>
      <c r="FS51" s="485"/>
      <c r="FT51" s="485"/>
      <c r="FU51" s="485"/>
      <c r="FV51" s="485"/>
      <c r="FW51" s="485"/>
      <c r="FX51" s="485"/>
      <c r="FY51" s="485"/>
      <c r="FZ51" s="485"/>
      <c r="GA51" s="485"/>
      <c r="GB51" s="485"/>
      <c r="GC51" s="485"/>
      <c r="GD51" s="485"/>
      <c r="GE51" s="485"/>
      <c r="GF51" s="485"/>
      <c r="GG51" s="485"/>
      <c r="GH51" s="485"/>
      <c r="GI51" s="485"/>
      <c r="GJ51" s="485"/>
      <c r="GK51" s="485"/>
      <c r="GL51" s="485"/>
      <c r="GM51" s="485"/>
      <c r="GN51" s="485"/>
      <c r="GO51" s="485"/>
      <c r="GP51" s="485"/>
      <c r="GQ51" s="485"/>
      <c r="GR51" s="485"/>
      <c r="GS51" s="485"/>
      <c r="GT51" s="485"/>
      <c r="GU51" s="485"/>
      <c r="GV51" s="485"/>
      <c r="GW51" s="485"/>
      <c r="GX51" s="485"/>
      <c r="GY51" s="485"/>
      <c r="GZ51" s="485"/>
      <c r="HA51" s="485"/>
      <c r="HB51" s="485"/>
      <c r="HC51" s="485"/>
      <c r="HD51" s="485"/>
      <c r="HE51" s="485"/>
      <c r="HF51" s="485"/>
      <c r="HG51" s="485"/>
      <c r="HH51" s="485"/>
      <c r="HI51" s="485"/>
      <c r="HJ51" s="485"/>
      <c r="HK51" s="485"/>
      <c r="HL51" s="485"/>
      <c r="HM51" s="485"/>
      <c r="HN51" s="485"/>
      <c r="HO51" s="485"/>
    </row>
    <row r="52" spans="1:29" ht="17.25" thickBot="1" thickTop="1">
      <c r="A52" s="412"/>
      <c r="B52" s="413"/>
      <c r="C52" s="413"/>
      <c r="D52" s="414"/>
      <c r="E52" s="415"/>
      <c r="F52" s="416"/>
      <c r="G52" s="415"/>
      <c r="H52" s="415"/>
      <c r="I52" s="417"/>
      <c r="J52" s="417"/>
      <c r="K52" s="418"/>
      <c r="L52" s="419"/>
      <c r="M52" s="415"/>
      <c r="N52" s="415"/>
      <c r="O52" s="415"/>
      <c r="P52" s="415"/>
      <c r="Q52" s="418"/>
      <c r="R52" s="415"/>
      <c r="S52" s="415"/>
      <c r="T52" s="415"/>
      <c r="U52" s="415"/>
      <c r="V52" s="415"/>
      <c r="W52" s="420"/>
      <c r="X52" s="421"/>
      <c r="Y52" s="422"/>
      <c r="Z52" s="423"/>
      <c r="AA52" s="412"/>
      <c r="AB52" s="424"/>
      <c r="AC52" s="425"/>
    </row>
    <row r="53" spans="1:29" ht="14.25" thickBot="1" thickTop="1">
      <c r="A53" s="1164" t="s">
        <v>768</v>
      </c>
      <c r="B53" s="1165"/>
      <c r="C53" s="1165"/>
      <c r="D53" s="1173" t="s">
        <v>367</v>
      </c>
      <c r="E53" s="1144"/>
      <c r="F53" s="1174"/>
      <c r="G53" s="1175" t="s">
        <v>518</v>
      </c>
      <c r="H53" s="1250"/>
      <c r="I53" s="1250"/>
      <c r="J53" s="1250"/>
      <c r="K53" s="1251"/>
      <c r="L53" s="1143" t="s">
        <v>519</v>
      </c>
      <c r="M53" s="1168"/>
      <c r="N53" s="1168"/>
      <c r="O53" s="1168"/>
      <c r="P53" s="1168"/>
      <c r="Q53" s="1169"/>
      <c r="R53" s="1143" t="s">
        <v>520</v>
      </c>
      <c r="S53" s="1168"/>
      <c r="T53" s="1168"/>
      <c r="U53" s="1168"/>
      <c r="V53" s="1168"/>
      <c r="W53" s="1265"/>
      <c r="X53" s="1199" t="s">
        <v>521</v>
      </c>
      <c r="Y53" s="1186"/>
      <c r="Z53" s="1186"/>
      <c r="AA53" s="1187" t="s">
        <v>88</v>
      </c>
      <c r="AB53" s="1188"/>
      <c r="AC53" s="1189"/>
    </row>
    <row r="54" spans="1:223" s="672" customFormat="1" ht="32.25" customHeight="1" thickBot="1">
      <c r="A54" s="1166"/>
      <c r="B54" s="1167"/>
      <c r="C54" s="1167"/>
      <c r="D54" s="466" t="s">
        <v>89</v>
      </c>
      <c r="E54" s="778" t="s">
        <v>85</v>
      </c>
      <c r="F54" s="324" t="s">
        <v>90</v>
      </c>
      <c r="G54" s="1252"/>
      <c r="H54" s="1253"/>
      <c r="I54" s="1253"/>
      <c r="J54" s="1253"/>
      <c r="K54" s="1254"/>
      <c r="L54" s="1170"/>
      <c r="M54" s="1171"/>
      <c r="N54" s="1171"/>
      <c r="O54" s="1171"/>
      <c r="P54" s="1171"/>
      <c r="Q54" s="1172"/>
      <c r="R54" s="1170"/>
      <c r="S54" s="1171"/>
      <c r="T54" s="1171"/>
      <c r="U54" s="1171"/>
      <c r="V54" s="1171"/>
      <c r="W54" s="1266"/>
      <c r="X54" s="763" t="s">
        <v>89</v>
      </c>
      <c r="Y54" s="466" t="s">
        <v>85</v>
      </c>
      <c r="Z54" s="764" t="s">
        <v>90</v>
      </c>
      <c r="AA54" s="465" t="s">
        <v>89</v>
      </c>
      <c r="AB54" s="466" t="s">
        <v>85</v>
      </c>
      <c r="AC54" s="324" t="s">
        <v>90</v>
      </c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6"/>
      <c r="AS54" s="756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756"/>
      <c r="BF54" s="756"/>
      <c r="BG54" s="756"/>
      <c r="BH54" s="756"/>
      <c r="BI54" s="756"/>
      <c r="BJ54" s="756"/>
      <c r="BK54" s="756"/>
      <c r="BL54" s="756"/>
      <c r="BM54" s="756"/>
      <c r="BN54" s="756"/>
      <c r="BO54" s="756"/>
      <c r="BP54" s="756"/>
      <c r="BQ54" s="756"/>
      <c r="BR54" s="756"/>
      <c r="BS54" s="756"/>
      <c r="BT54" s="756"/>
      <c r="BU54" s="756"/>
      <c r="BV54" s="756"/>
      <c r="BW54" s="756"/>
      <c r="BX54" s="756"/>
      <c r="BY54" s="756"/>
      <c r="BZ54" s="756"/>
      <c r="CA54" s="756"/>
      <c r="CB54" s="756"/>
      <c r="CC54" s="756"/>
      <c r="CD54" s="756"/>
      <c r="CE54" s="756"/>
      <c r="CF54" s="756"/>
      <c r="CG54" s="756"/>
      <c r="CH54" s="756"/>
      <c r="CI54" s="756"/>
      <c r="CJ54" s="756"/>
      <c r="CK54" s="756"/>
      <c r="CL54" s="756"/>
      <c r="CM54" s="756"/>
      <c r="CN54" s="756"/>
      <c r="CO54" s="756"/>
      <c r="CP54" s="756"/>
      <c r="CQ54" s="756"/>
      <c r="CR54" s="756"/>
      <c r="CS54" s="756"/>
      <c r="CT54" s="756"/>
      <c r="CU54" s="756"/>
      <c r="CV54" s="756"/>
      <c r="CW54" s="756"/>
      <c r="CX54" s="756"/>
      <c r="CY54" s="756"/>
      <c r="CZ54" s="756"/>
      <c r="DA54" s="756"/>
      <c r="DB54" s="756"/>
      <c r="DC54" s="756"/>
      <c r="DD54" s="756"/>
      <c r="DE54" s="756"/>
      <c r="DF54" s="756"/>
      <c r="DG54" s="756"/>
      <c r="DH54" s="756"/>
      <c r="DI54" s="756"/>
      <c r="DJ54" s="756"/>
      <c r="DK54" s="756"/>
      <c r="DL54" s="756"/>
      <c r="DM54" s="756"/>
      <c r="DN54" s="756"/>
      <c r="DO54" s="756"/>
      <c r="DP54" s="756"/>
      <c r="DQ54" s="756"/>
      <c r="DR54" s="756"/>
      <c r="DS54" s="756"/>
      <c r="DT54" s="756"/>
      <c r="DU54" s="756"/>
      <c r="DV54" s="756"/>
      <c r="DW54" s="756"/>
      <c r="DX54" s="756"/>
      <c r="DY54" s="756"/>
      <c r="DZ54" s="756"/>
      <c r="EA54" s="756"/>
      <c r="EB54" s="756"/>
      <c r="EC54" s="756"/>
      <c r="ED54" s="756"/>
      <c r="EE54" s="756"/>
      <c r="EF54" s="756"/>
      <c r="EG54" s="756"/>
      <c r="EH54" s="756"/>
      <c r="EI54" s="756"/>
      <c r="EJ54" s="756"/>
      <c r="EK54" s="756"/>
      <c r="EL54" s="756"/>
      <c r="EM54" s="756"/>
      <c r="EN54" s="756"/>
      <c r="EO54" s="756"/>
      <c r="EP54" s="756"/>
      <c r="EQ54" s="756"/>
      <c r="ER54" s="756"/>
      <c r="ES54" s="756"/>
      <c r="ET54" s="756"/>
      <c r="EU54" s="756"/>
      <c r="EV54" s="756"/>
      <c r="EW54" s="756"/>
      <c r="EX54" s="756"/>
      <c r="EY54" s="756"/>
      <c r="EZ54" s="756"/>
      <c r="FA54" s="756"/>
      <c r="FB54" s="756"/>
      <c r="FC54" s="756"/>
      <c r="FD54" s="756"/>
      <c r="FE54" s="756"/>
      <c r="FF54" s="756"/>
      <c r="FG54" s="756"/>
      <c r="FH54" s="756"/>
      <c r="FI54" s="756"/>
      <c r="FJ54" s="756"/>
      <c r="FK54" s="756"/>
      <c r="FL54" s="756"/>
      <c r="FM54" s="756"/>
      <c r="FN54" s="756"/>
      <c r="FO54" s="756"/>
      <c r="FP54" s="756"/>
      <c r="FQ54" s="756"/>
      <c r="FR54" s="756"/>
      <c r="FS54" s="756"/>
      <c r="FT54" s="756"/>
      <c r="FU54" s="756"/>
      <c r="FV54" s="756"/>
      <c r="FW54" s="756"/>
      <c r="FX54" s="756"/>
      <c r="FY54" s="756"/>
      <c r="FZ54" s="756"/>
      <c r="GA54" s="756"/>
      <c r="GB54" s="756"/>
      <c r="GC54" s="756"/>
      <c r="GD54" s="756"/>
      <c r="GE54" s="756"/>
      <c r="GF54" s="756"/>
      <c r="GG54" s="756"/>
      <c r="GH54" s="756"/>
      <c r="GI54" s="756"/>
      <c r="GJ54" s="756"/>
      <c r="GK54" s="756"/>
      <c r="GL54" s="756"/>
      <c r="GM54" s="756"/>
      <c r="GN54" s="756"/>
      <c r="GO54" s="756"/>
      <c r="GP54" s="756"/>
      <c r="GQ54" s="756"/>
      <c r="GR54" s="756"/>
      <c r="GS54" s="756"/>
      <c r="GT54" s="756"/>
      <c r="GU54" s="756"/>
      <c r="GV54" s="756"/>
      <c r="GW54" s="756"/>
      <c r="GX54" s="756"/>
      <c r="GY54" s="756"/>
      <c r="GZ54" s="756"/>
      <c r="HA54" s="756"/>
      <c r="HB54" s="756"/>
      <c r="HC54" s="756"/>
      <c r="HD54" s="756"/>
      <c r="HE54" s="756"/>
      <c r="HF54" s="756"/>
      <c r="HG54" s="756"/>
      <c r="HH54" s="756"/>
      <c r="HI54" s="756"/>
      <c r="HJ54" s="756"/>
      <c r="HK54" s="756"/>
      <c r="HL54" s="756"/>
      <c r="HM54" s="756"/>
      <c r="HN54" s="756"/>
      <c r="HO54" s="756"/>
    </row>
    <row r="55" spans="1:29" ht="25.5" customHeight="1">
      <c r="A55" s="405"/>
      <c r="B55" s="367"/>
      <c r="C55" s="367"/>
      <c r="D55" s="392"/>
      <c r="E55" s="367"/>
      <c r="F55" s="368"/>
      <c r="G55" s="1210" t="s">
        <v>482</v>
      </c>
      <c r="H55" s="1126"/>
      <c r="I55" s="1126"/>
      <c r="J55" s="490">
        <f>16720333+616867</f>
        <v>17337200</v>
      </c>
      <c r="K55" s="1119">
        <f>SUM(J55:J64)</f>
        <v>194441687</v>
      </c>
      <c r="L55" s="1149"/>
      <c r="M55" s="1138"/>
      <c r="N55" s="1138"/>
      <c r="O55" s="1138"/>
      <c r="P55" s="490"/>
      <c r="Q55" s="1261">
        <f>SUM(P55:P64)</f>
        <v>0</v>
      </c>
      <c r="R55" s="1134" t="s">
        <v>524</v>
      </c>
      <c r="S55" s="1135"/>
      <c r="T55" s="1135"/>
      <c r="U55" s="1135"/>
      <c r="V55" s="494">
        <f>1081470+323495+87348+81402+21978</f>
        <v>1595693</v>
      </c>
      <c r="W55" s="1094">
        <f>SUM(V55:V64)</f>
        <v>3506838</v>
      </c>
      <c r="X55" s="367"/>
      <c r="Y55" s="392"/>
      <c r="Z55" s="427"/>
      <c r="AA55" s="405"/>
      <c r="AB55" s="392"/>
      <c r="AC55" s="343"/>
    </row>
    <row r="56" spans="1:29" ht="25.5" customHeight="1">
      <c r="A56" s="405"/>
      <c r="B56" s="367"/>
      <c r="C56" s="391"/>
      <c r="D56" s="392"/>
      <c r="E56" s="367"/>
      <c r="F56" s="368"/>
      <c r="G56" s="1238" t="s">
        <v>623</v>
      </c>
      <c r="H56" s="1135"/>
      <c r="I56" s="1135"/>
      <c r="J56" s="490">
        <f>90264650+2145000+2331466</f>
        <v>94741116</v>
      </c>
      <c r="K56" s="1124"/>
      <c r="L56" s="1236"/>
      <c r="M56" s="1237"/>
      <c r="N56" s="1237"/>
      <c r="O56" s="1237"/>
      <c r="P56" s="369"/>
      <c r="Q56" s="1262"/>
      <c r="R56" s="1134" t="s">
        <v>751</v>
      </c>
      <c r="S56" s="1135"/>
      <c r="T56" s="1135"/>
      <c r="U56" s="1135"/>
      <c r="V56" s="490">
        <v>656145</v>
      </c>
      <c r="W56" s="1095"/>
      <c r="X56" s="330"/>
      <c r="Y56" s="353"/>
      <c r="Z56" s="341"/>
      <c r="AA56" s="352"/>
      <c r="AB56" s="353"/>
      <c r="AC56" s="354"/>
    </row>
    <row r="57" spans="1:29" ht="30" customHeight="1">
      <c r="A57" s="405"/>
      <c r="B57" s="367"/>
      <c r="C57" s="391"/>
      <c r="D57" s="392"/>
      <c r="E57" s="367"/>
      <c r="F57" s="368"/>
      <c r="G57" s="1238" t="s">
        <v>540</v>
      </c>
      <c r="H57" s="1135"/>
      <c r="I57" s="1135"/>
      <c r="J57" s="494">
        <v>6068200</v>
      </c>
      <c r="K57" s="1124"/>
      <c r="L57" s="472"/>
      <c r="M57" s="473"/>
      <c r="N57" s="473"/>
      <c r="O57" s="473"/>
      <c r="P57" s="369"/>
      <c r="Q57" s="1262"/>
      <c r="R57" s="1134" t="s">
        <v>1068</v>
      </c>
      <c r="S57" s="1135"/>
      <c r="T57" s="1135"/>
      <c r="U57" s="1135"/>
      <c r="V57" s="489">
        <f>1100000+155000</f>
        <v>1255000</v>
      </c>
      <c r="W57" s="1095"/>
      <c r="X57" s="330"/>
      <c r="Y57" s="353"/>
      <c r="Z57" s="341"/>
      <c r="AA57" s="352"/>
      <c r="AB57" s="353"/>
      <c r="AC57" s="354"/>
    </row>
    <row r="58" spans="1:29" ht="26.25" customHeight="1">
      <c r="A58" s="1193" t="s">
        <v>495</v>
      </c>
      <c r="B58" s="1239"/>
      <c r="C58" s="1240"/>
      <c r="D58" s="397">
        <f>SUM('6. kiadások megbontása'!D78)</f>
        <v>215379130</v>
      </c>
      <c r="E58" s="348">
        <f>SUM('6. kiadások megbontása'!E78)</f>
        <v>2360009</v>
      </c>
      <c r="F58" s="349">
        <f>SUM(D58:E58)</f>
        <v>217739139</v>
      </c>
      <c r="G58" s="1238" t="s">
        <v>753</v>
      </c>
      <c r="H58" s="1135"/>
      <c r="I58" s="1135"/>
      <c r="J58" s="490">
        <f>21339990+850000-1068627</f>
        <v>21121363</v>
      </c>
      <c r="K58" s="1124"/>
      <c r="L58" s="390"/>
      <c r="M58" s="367"/>
      <c r="N58" s="367"/>
      <c r="O58" s="367"/>
      <c r="P58" s="367"/>
      <c r="Q58" s="1262"/>
      <c r="R58" s="1129"/>
      <c r="S58" s="1130"/>
      <c r="T58" s="1130"/>
      <c r="U58" s="1130"/>
      <c r="V58" s="330"/>
      <c r="W58" s="1095"/>
      <c r="X58" s="429">
        <f>SUM(W55+Q55+K55)</f>
        <v>197948525</v>
      </c>
      <c r="Y58" s="361">
        <v>0</v>
      </c>
      <c r="Z58" s="362">
        <f>SUM(X58:Y58)</f>
        <v>197948525</v>
      </c>
      <c r="AA58" s="430">
        <f>X58-D58</f>
        <v>-17430605</v>
      </c>
      <c r="AB58" s="361">
        <f>Y58-E58</f>
        <v>-2360009</v>
      </c>
      <c r="AC58" s="363">
        <f>SUM(AA58:AB58)</f>
        <v>-19790614</v>
      </c>
    </row>
    <row r="59" spans="1:29" ht="29.25" customHeight="1">
      <c r="A59" s="344"/>
      <c r="B59" s="431"/>
      <c r="C59" s="626"/>
      <c r="D59" s="397"/>
      <c r="E59" s="348"/>
      <c r="F59" s="349"/>
      <c r="G59" s="1238" t="s">
        <v>755</v>
      </c>
      <c r="H59" s="1135"/>
      <c r="I59" s="1135"/>
      <c r="J59" s="494">
        <f>21890000+2556000</f>
        <v>24446000</v>
      </c>
      <c r="K59" s="1124"/>
      <c r="L59" s="390"/>
      <c r="M59" s="367"/>
      <c r="N59" s="367"/>
      <c r="O59" s="367"/>
      <c r="P59" s="432"/>
      <c r="Q59" s="1262"/>
      <c r="R59" s="1129"/>
      <c r="S59" s="1130"/>
      <c r="T59" s="1130"/>
      <c r="U59" s="1130"/>
      <c r="V59" s="428"/>
      <c r="W59" s="1095"/>
      <c r="X59" s="407"/>
      <c r="Y59" s="351"/>
      <c r="Z59" s="362"/>
      <c r="AA59" s="360"/>
      <c r="AB59" s="361"/>
      <c r="AC59" s="354"/>
    </row>
    <row r="60" spans="1:29" ht="29.25" customHeight="1">
      <c r="A60" s="344"/>
      <c r="B60" s="431"/>
      <c r="C60" s="626"/>
      <c r="D60" s="397"/>
      <c r="E60" s="348"/>
      <c r="F60" s="349"/>
      <c r="G60" s="1238" t="s">
        <v>863</v>
      </c>
      <c r="H60" s="1135"/>
      <c r="I60" s="1135"/>
      <c r="J60" s="494">
        <v>7297579</v>
      </c>
      <c r="K60" s="1124"/>
      <c r="L60" s="390"/>
      <c r="M60" s="367"/>
      <c r="N60" s="367"/>
      <c r="O60" s="367"/>
      <c r="P60" s="432"/>
      <c r="Q60" s="1262"/>
      <c r="R60" s="471"/>
      <c r="S60" s="623"/>
      <c r="T60" s="623"/>
      <c r="U60" s="623"/>
      <c r="V60" s="428"/>
      <c r="W60" s="1095"/>
      <c r="X60" s="407"/>
      <c r="Y60" s="351"/>
      <c r="Z60" s="362"/>
      <c r="AA60" s="360"/>
      <c r="AB60" s="361"/>
      <c r="AC60" s="354"/>
    </row>
    <row r="61" spans="1:29" ht="15.75" customHeight="1">
      <c r="A61" s="344"/>
      <c r="B61" s="431"/>
      <c r="C61" s="626"/>
      <c r="D61" s="397"/>
      <c r="E61" s="348"/>
      <c r="F61" s="349"/>
      <c r="G61" s="1157" t="s">
        <v>1086</v>
      </c>
      <c r="H61" s="1130"/>
      <c r="I61" s="1130"/>
      <c r="J61" s="494">
        <f>43857+329940-33413</f>
        <v>340384</v>
      </c>
      <c r="K61" s="1124"/>
      <c r="L61" s="390"/>
      <c r="M61" s="367"/>
      <c r="N61" s="367"/>
      <c r="O61" s="367"/>
      <c r="P61" s="432"/>
      <c r="Q61" s="1262"/>
      <c r="R61" s="471"/>
      <c r="S61" s="623"/>
      <c r="T61" s="623"/>
      <c r="U61" s="623"/>
      <c r="V61" s="428"/>
      <c r="W61" s="1095"/>
      <c r="X61" s="407"/>
      <c r="Y61" s="351"/>
      <c r="Z61" s="362"/>
      <c r="AA61" s="360"/>
      <c r="AB61" s="361"/>
      <c r="AC61" s="354"/>
    </row>
    <row r="62" spans="1:29" ht="16.5" customHeight="1">
      <c r="A62" s="344"/>
      <c r="B62" s="431"/>
      <c r="C62" s="626"/>
      <c r="D62" s="397"/>
      <c r="E62" s="348"/>
      <c r="F62" s="349"/>
      <c r="G62" s="1238" t="s">
        <v>1032</v>
      </c>
      <c r="H62" s="1135"/>
      <c r="I62" s="1135"/>
      <c r="J62" s="494">
        <f>10844656-463855</f>
        <v>10380801</v>
      </c>
      <c r="K62" s="1124"/>
      <c r="L62" s="390"/>
      <c r="M62" s="367"/>
      <c r="N62" s="367"/>
      <c r="O62" s="367"/>
      <c r="P62" s="432"/>
      <c r="Q62" s="1262"/>
      <c r="R62" s="471"/>
      <c r="S62" s="623"/>
      <c r="T62" s="623"/>
      <c r="U62" s="623"/>
      <c r="V62" s="428"/>
      <c r="W62" s="1095"/>
      <c r="X62" s="407"/>
      <c r="Y62" s="351"/>
      <c r="Z62" s="362"/>
      <c r="AA62" s="360"/>
      <c r="AB62" s="361"/>
      <c r="AC62" s="354"/>
    </row>
    <row r="63" spans="1:29" ht="14.25" customHeight="1">
      <c r="A63" s="344"/>
      <c r="B63" s="431"/>
      <c r="C63" s="626"/>
      <c r="D63" s="397"/>
      <c r="E63" s="348"/>
      <c r="F63" s="349"/>
      <c r="G63" s="1238" t="s">
        <v>808</v>
      </c>
      <c r="H63" s="1135"/>
      <c r="I63" s="1135"/>
      <c r="J63" s="490">
        <f>11544000-192775-85225</f>
        <v>11266000</v>
      </c>
      <c r="K63" s="1124"/>
      <c r="L63" s="390"/>
      <c r="M63" s="367"/>
      <c r="N63" s="367"/>
      <c r="O63" s="367"/>
      <c r="P63" s="432"/>
      <c r="Q63" s="1262"/>
      <c r="R63" s="471"/>
      <c r="S63" s="623"/>
      <c r="T63" s="623"/>
      <c r="U63" s="623"/>
      <c r="V63" s="428"/>
      <c r="W63" s="1095"/>
      <c r="X63" s="407"/>
      <c r="Y63" s="351"/>
      <c r="Z63" s="362"/>
      <c r="AA63" s="360"/>
      <c r="AB63" s="361"/>
      <c r="AC63" s="354"/>
    </row>
    <row r="64" spans="1:29" ht="29.25" customHeight="1" thickBot="1">
      <c r="A64" s="344"/>
      <c r="B64" s="431"/>
      <c r="C64" s="626"/>
      <c r="D64" s="397"/>
      <c r="E64" s="348"/>
      <c r="F64" s="349"/>
      <c r="G64" s="1255" t="s">
        <v>943</v>
      </c>
      <c r="H64" s="1256"/>
      <c r="I64" s="1256"/>
      <c r="J64" s="864">
        <v>1443044</v>
      </c>
      <c r="K64" s="1124"/>
      <c r="L64" s="390"/>
      <c r="M64" s="367"/>
      <c r="N64" s="367"/>
      <c r="O64" s="367"/>
      <c r="P64" s="432"/>
      <c r="Q64" s="1262"/>
      <c r="R64" s="471"/>
      <c r="S64" s="623"/>
      <c r="T64" s="623"/>
      <c r="U64" s="623"/>
      <c r="V64" s="428"/>
      <c r="W64" s="1095"/>
      <c r="X64" s="407"/>
      <c r="Y64" s="351"/>
      <c r="Z64" s="362"/>
      <c r="AA64" s="360"/>
      <c r="AB64" s="361"/>
      <c r="AC64" s="354"/>
    </row>
    <row r="65" spans="1:29" ht="23.25" customHeight="1">
      <c r="A65" s="1244" t="s">
        <v>496</v>
      </c>
      <c r="B65" s="1245"/>
      <c r="C65" s="1246"/>
      <c r="D65" s="1109">
        <f>SUM('6. kiadások megbontása'!G78)</f>
        <v>58690949</v>
      </c>
      <c r="E65" s="1109">
        <f>SUM('6. kiadások megbontása'!H78)</f>
        <v>127829</v>
      </c>
      <c r="F65" s="1111">
        <f>SUM(D65:E65)</f>
        <v>58818778</v>
      </c>
      <c r="G65" s="1113"/>
      <c r="H65" s="1114"/>
      <c r="I65" s="1114"/>
      <c r="J65" s="1115"/>
      <c r="K65" s="1119">
        <f>SUM(J65:J65)</f>
        <v>0</v>
      </c>
      <c r="L65" s="1100" t="s">
        <v>837</v>
      </c>
      <c r="M65" s="1101"/>
      <c r="N65" s="1101"/>
      <c r="O65" s="1101"/>
      <c r="P65" s="741">
        <f>6245115+1166000</f>
        <v>7411115</v>
      </c>
      <c r="Q65" s="1121">
        <f>SUM(P65:P66)</f>
        <v>8855481</v>
      </c>
      <c r="R65" s="1100" t="s">
        <v>751</v>
      </c>
      <c r="S65" s="1101"/>
      <c r="T65" s="1101"/>
      <c r="U65" s="1101"/>
      <c r="V65" s="1104">
        <f>32890088+10500000</f>
        <v>43390088</v>
      </c>
      <c r="W65" s="1094">
        <f>SUM(V65:V65)</f>
        <v>43390088</v>
      </c>
      <c r="X65" s="1097">
        <f>SUM(K65+Q65+W65)</f>
        <v>52245569</v>
      </c>
      <c r="Y65" s="1088">
        <v>0</v>
      </c>
      <c r="Z65" s="1091">
        <f>SUM(X65:Y65)</f>
        <v>52245569</v>
      </c>
      <c r="AA65" s="1097">
        <f>X65-D65</f>
        <v>-6445380</v>
      </c>
      <c r="AB65" s="1088">
        <f>Y65-E65</f>
        <v>-127829</v>
      </c>
      <c r="AC65" s="1091">
        <f>SUM(AA65:AB65)</f>
        <v>-6573209</v>
      </c>
    </row>
    <row r="66" spans="1:29" ht="23.25" customHeight="1" thickBot="1">
      <c r="A66" s="1247"/>
      <c r="B66" s="1248"/>
      <c r="C66" s="1249"/>
      <c r="D66" s="1110"/>
      <c r="E66" s="1110"/>
      <c r="F66" s="1112"/>
      <c r="G66" s="1116"/>
      <c r="H66" s="1117"/>
      <c r="I66" s="1117"/>
      <c r="J66" s="1118"/>
      <c r="K66" s="1120"/>
      <c r="L66" s="1102" t="s">
        <v>1071</v>
      </c>
      <c r="M66" s="1103"/>
      <c r="N66" s="1103"/>
      <c r="O66" s="1103"/>
      <c r="P66" s="490">
        <v>1444366</v>
      </c>
      <c r="Q66" s="1122"/>
      <c r="R66" s="1102"/>
      <c r="S66" s="1103"/>
      <c r="T66" s="1103"/>
      <c r="U66" s="1103"/>
      <c r="V66" s="1105"/>
      <c r="W66" s="1096"/>
      <c r="X66" s="1107"/>
      <c r="Y66" s="1108"/>
      <c r="Z66" s="1106"/>
      <c r="AA66" s="1107"/>
      <c r="AB66" s="1108"/>
      <c r="AC66" s="1106"/>
    </row>
    <row r="67" spans="1:223" s="470" customFormat="1" ht="44.25" customHeight="1" thickBot="1" thickTop="1">
      <c r="A67" s="1241" t="s">
        <v>838</v>
      </c>
      <c r="B67" s="1242"/>
      <c r="C67" s="1243"/>
      <c r="D67" s="865">
        <f>SUM(D56:D65)</f>
        <v>274070079</v>
      </c>
      <c r="E67" s="866">
        <f>SUM(E56:E65)</f>
        <v>2487838</v>
      </c>
      <c r="F67" s="747">
        <f>SUM(D67:E67)</f>
        <v>276557917</v>
      </c>
      <c r="G67" s="893"/>
      <c r="H67" s="1205" t="s">
        <v>94</v>
      </c>
      <c r="I67" s="1206"/>
      <c r="J67" s="1207"/>
      <c r="K67" s="479">
        <f>SUM(K55:K65)</f>
        <v>194441687</v>
      </c>
      <c r="L67" s="478"/>
      <c r="M67" s="1139" t="s">
        <v>95</v>
      </c>
      <c r="N67" s="1139"/>
      <c r="O67" s="1139"/>
      <c r="P67" s="1140"/>
      <c r="Q67" s="479">
        <f>SUM(Q55:Q65)</f>
        <v>8855481</v>
      </c>
      <c r="R67" s="480"/>
      <c r="S67" s="1139" t="s">
        <v>96</v>
      </c>
      <c r="T67" s="1139"/>
      <c r="U67" s="1139"/>
      <c r="V67" s="1140"/>
      <c r="W67" s="479">
        <f>SUM(W55:W65)</f>
        <v>46896926</v>
      </c>
      <c r="X67" s="481">
        <f>SUM(X54:X65)</f>
        <v>250194094</v>
      </c>
      <c r="Y67" s="482">
        <f>SUM(Y54:Y65)</f>
        <v>0</v>
      </c>
      <c r="Z67" s="483">
        <f>SUM(X67:Y67)</f>
        <v>250194094</v>
      </c>
      <c r="AA67" s="481">
        <f>X67-D67</f>
        <v>-23875985</v>
      </c>
      <c r="AB67" s="484">
        <f>Y67-E67</f>
        <v>-2487838</v>
      </c>
      <c r="AC67" s="483">
        <f>SUM(AA67:AB67)</f>
        <v>-26363823</v>
      </c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/>
      <c r="AP67" s="485"/>
      <c r="AQ67" s="485"/>
      <c r="AR67" s="485"/>
      <c r="AS67" s="485"/>
      <c r="AT67" s="485"/>
      <c r="AU67" s="485"/>
      <c r="AV67" s="485"/>
      <c r="AW67" s="485"/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/>
      <c r="BN67" s="485"/>
      <c r="BO67" s="485"/>
      <c r="BP67" s="485"/>
      <c r="BQ67" s="485"/>
      <c r="BR67" s="485"/>
      <c r="BS67" s="485"/>
      <c r="BT67" s="485"/>
      <c r="BU67" s="485"/>
      <c r="BV67" s="485"/>
      <c r="BW67" s="485"/>
      <c r="BX67" s="485"/>
      <c r="BY67" s="485"/>
      <c r="BZ67" s="485"/>
      <c r="CA67" s="485"/>
      <c r="CB67" s="485"/>
      <c r="CC67" s="485"/>
      <c r="CD67" s="485"/>
      <c r="CE67" s="485"/>
      <c r="CF67" s="485"/>
      <c r="CG67" s="485"/>
      <c r="CH67" s="485"/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/>
      <c r="CU67" s="485"/>
      <c r="CV67" s="485"/>
      <c r="CW67" s="485"/>
      <c r="CX67" s="485"/>
      <c r="CY67" s="485"/>
      <c r="CZ67" s="485"/>
      <c r="DA67" s="485"/>
      <c r="DB67" s="485"/>
      <c r="DC67" s="485"/>
      <c r="DD67" s="485"/>
      <c r="DE67" s="485"/>
      <c r="DF67" s="485"/>
      <c r="DG67" s="485"/>
      <c r="DH67" s="485"/>
      <c r="DI67" s="485"/>
      <c r="DJ67" s="485"/>
      <c r="DK67" s="485"/>
      <c r="DL67" s="485"/>
      <c r="DM67" s="485"/>
      <c r="DN67" s="485"/>
      <c r="DO67" s="485"/>
      <c r="DP67" s="485"/>
      <c r="DQ67" s="485"/>
      <c r="DR67" s="485"/>
      <c r="DS67" s="485"/>
      <c r="DT67" s="485"/>
      <c r="DU67" s="485"/>
      <c r="DV67" s="485"/>
      <c r="DW67" s="485"/>
      <c r="DX67" s="485"/>
      <c r="DY67" s="485"/>
      <c r="DZ67" s="485"/>
      <c r="EA67" s="485"/>
      <c r="EB67" s="485"/>
      <c r="EC67" s="485"/>
      <c r="ED67" s="485"/>
      <c r="EE67" s="485"/>
      <c r="EF67" s="485"/>
      <c r="EG67" s="485"/>
      <c r="EH67" s="485"/>
      <c r="EI67" s="485"/>
      <c r="EJ67" s="485"/>
      <c r="EK67" s="485"/>
      <c r="EL67" s="485"/>
      <c r="EM67" s="485"/>
      <c r="EN67" s="485"/>
      <c r="EO67" s="485"/>
      <c r="EP67" s="485"/>
      <c r="EQ67" s="485"/>
      <c r="ER67" s="485"/>
      <c r="ES67" s="485"/>
      <c r="ET67" s="485"/>
      <c r="EU67" s="485"/>
      <c r="EV67" s="485"/>
      <c r="EW67" s="485"/>
      <c r="EX67" s="485"/>
      <c r="EY67" s="485"/>
      <c r="EZ67" s="485"/>
      <c r="FA67" s="485"/>
      <c r="FB67" s="485"/>
      <c r="FC67" s="485"/>
      <c r="FD67" s="485"/>
      <c r="FE67" s="485"/>
      <c r="FF67" s="485"/>
      <c r="FG67" s="485"/>
      <c r="FH67" s="485"/>
      <c r="FI67" s="485"/>
      <c r="FJ67" s="485"/>
      <c r="FK67" s="485"/>
      <c r="FL67" s="485"/>
      <c r="FM67" s="485"/>
      <c r="FN67" s="485"/>
      <c r="FO67" s="485"/>
      <c r="FP67" s="485"/>
      <c r="FQ67" s="485"/>
      <c r="FR67" s="485"/>
      <c r="FS67" s="485"/>
      <c r="FT67" s="485"/>
      <c r="FU67" s="485"/>
      <c r="FV67" s="485"/>
      <c r="FW67" s="485"/>
      <c r="FX67" s="485"/>
      <c r="FY67" s="485"/>
      <c r="FZ67" s="485"/>
      <c r="GA67" s="485"/>
      <c r="GB67" s="485"/>
      <c r="GC67" s="485"/>
      <c r="GD67" s="485"/>
      <c r="GE67" s="485"/>
      <c r="GF67" s="485"/>
      <c r="GG67" s="485"/>
      <c r="GH67" s="485"/>
      <c r="GI67" s="485"/>
      <c r="GJ67" s="485"/>
      <c r="GK67" s="485"/>
      <c r="GL67" s="485"/>
      <c r="GM67" s="485"/>
      <c r="GN67" s="485"/>
      <c r="GO67" s="485"/>
      <c r="GP67" s="485"/>
      <c r="GQ67" s="485"/>
      <c r="GR67" s="485"/>
      <c r="GS67" s="485"/>
      <c r="GT67" s="485"/>
      <c r="GU67" s="485"/>
      <c r="GV67" s="485"/>
      <c r="GW67" s="485"/>
      <c r="GX67" s="485"/>
      <c r="GY67" s="485"/>
      <c r="GZ67" s="485"/>
      <c r="HA67" s="485"/>
      <c r="HB67" s="485"/>
      <c r="HC67" s="485"/>
      <c r="HD67" s="485"/>
      <c r="HE67" s="485"/>
      <c r="HF67" s="485"/>
      <c r="HG67" s="485"/>
      <c r="HH67" s="485"/>
      <c r="HI67" s="485"/>
      <c r="HJ67" s="485"/>
      <c r="HK67" s="485"/>
      <c r="HL67" s="485"/>
      <c r="HM67" s="485"/>
      <c r="HN67" s="485"/>
      <c r="HO67" s="485"/>
    </row>
    <row r="68" spans="1:29" ht="21" customHeight="1" thickBot="1" thickTop="1">
      <c r="A68" s="1231" t="s">
        <v>370</v>
      </c>
      <c r="B68" s="1232"/>
      <c r="C68" s="1233"/>
      <c r="D68" s="443">
        <f>SUM(D67,D41,D33,D51)</f>
        <v>1383890853</v>
      </c>
      <c r="E68" s="443">
        <f>SUM(E67,E41,E33,E51)</f>
        <v>1297078855</v>
      </c>
      <c r="F68" s="669">
        <f>SUM(D68:E68)</f>
        <v>2680969708</v>
      </c>
      <c r="G68" s="894"/>
      <c r="H68" s="1217" t="s">
        <v>97</v>
      </c>
      <c r="I68" s="1218"/>
      <c r="J68" s="1219"/>
      <c r="K68" s="445">
        <f>SUM(K67,K41,K33,K51)</f>
        <v>566921059</v>
      </c>
      <c r="L68" s="444"/>
      <c r="M68" s="1259" t="s">
        <v>98</v>
      </c>
      <c r="N68" s="1259"/>
      <c r="O68" s="1259"/>
      <c r="P68" s="1260"/>
      <c r="Q68" s="445">
        <f>SUM(Q67,Q41,Q33,Q51)</f>
        <v>263278542</v>
      </c>
      <c r="R68" s="446"/>
      <c r="S68" s="1259" t="s">
        <v>99</v>
      </c>
      <c r="T68" s="1259"/>
      <c r="U68" s="1259"/>
      <c r="V68" s="1260"/>
      <c r="W68" s="758">
        <f>SUM(W67,W41,W33,W51)</f>
        <v>1850770107</v>
      </c>
      <c r="X68" s="759">
        <f>SUM(X67,X41,X33,X51)</f>
        <v>1374547705</v>
      </c>
      <c r="Y68" s="447">
        <f>SUM(Y67,Y41,Y33,Y51)</f>
        <v>1306422003</v>
      </c>
      <c r="Z68" s="448">
        <f>SUM(W68+Q68+K68)</f>
        <v>2680969708</v>
      </c>
      <c r="AA68" s="447">
        <f>SUM(AA67,AA41,AA33,AA51)</f>
        <v>-9343148</v>
      </c>
      <c r="AB68" s="447">
        <f>SUM(AB67,AB41,AB33,AB51)</f>
        <v>9343148</v>
      </c>
      <c r="AC68" s="669">
        <f>SUM(AC67,AC41,AC33,AC51)</f>
        <v>0</v>
      </c>
    </row>
    <row r="69" spans="1:29" ht="19.5" thickTop="1">
      <c r="A69" s="1234"/>
      <c r="B69" s="1235"/>
      <c r="C69" s="1235"/>
      <c r="D69" s="426"/>
      <c r="E69" s="426"/>
      <c r="F69" s="426"/>
      <c r="G69" s="378"/>
      <c r="H69" s="378"/>
      <c r="I69" s="378"/>
      <c r="J69" s="449"/>
      <c r="K69" s="402"/>
      <c r="L69" s="376"/>
      <c r="M69" s="367"/>
      <c r="N69" s="367"/>
      <c r="O69" s="367"/>
      <c r="P69" s="367"/>
      <c r="Q69" s="367"/>
      <c r="R69" s="37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376"/>
    </row>
    <row r="70" spans="1:29" ht="15.75">
      <c r="A70" s="426"/>
      <c r="B70" s="426"/>
      <c r="C70" s="426"/>
      <c r="D70" s="1257" t="s">
        <v>493</v>
      </c>
      <c r="E70" s="1258"/>
      <c r="F70" s="1258"/>
      <c r="G70" s="332"/>
      <c r="H70" s="332"/>
      <c r="I70" s="332"/>
      <c r="J70" s="326"/>
      <c r="K70" s="402"/>
      <c r="L70" s="367"/>
      <c r="M70" s="367"/>
      <c r="N70" s="367"/>
      <c r="O70" s="367"/>
      <c r="P70" s="367"/>
      <c r="Q70" s="367"/>
      <c r="R70" s="367"/>
      <c r="S70" s="426"/>
      <c r="T70" s="426"/>
      <c r="U70" s="426"/>
      <c r="V70" s="426"/>
      <c r="W70" s="1257" t="s">
        <v>100</v>
      </c>
      <c r="X70" s="1258"/>
      <c r="Y70" s="1258"/>
      <c r="Z70" s="450"/>
      <c r="AA70" s="1257" t="s">
        <v>88</v>
      </c>
      <c r="AB70" s="1258"/>
      <c r="AC70" s="1258"/>
    </row>
    <row r="71" spans="1:29" ht="15.75">
      <c r="A71" s="426"/>
      <c r="B71" s="426"/>
      <c r="C71" s="426"/>
      <c r="D71" s="451" t="s">
        <v>89</v>
      </c>
      <c r="E71" s="451" t="s">
        <v>101</v>
      </c>
      <c r="F71" s="451" t="s">
        <v>90</v>
      </c>
      <c r="G71" s="332"/>
      <c r="H71" s="332"/>
      <c r="I71" s="332"/>
      <c r="J71" s="326"/>
      <c r="K71" s="402"/>
      <c r="L71" s="367"/>
      <c r="M71" s="367"/>
      <c r="N71" s="367"/>
      <c r="O71" s="367"/>
      <c r="P71" s="367"/>
      <c r="Q71" s="367"/>
      <c r="R71" s="367"/>
      <c r="S71" s="1263"/>
      <c r="T71" s="1263"/>
      <c r="U71" s="1263"/>
      <c r="V71" s="1263"/>
      <c r="W71" s="451" t="s">
        <v>89</v>
      </c>
      <c r="X71" s="451" t="s">
        <v>101</v>
      </c>
      <c r="Y71" s="451" t="s">
        <v>90</v>
      </c>
      <c r="Z71" s="452"/>
      <c r="AA71" s="451" t="s">
        <v>89</v>
      </c>
      <c r="AB71" s="451" t="s">
        <v>101</v>
      </c>
      <c r="AC71" s="451" t="s">
        <v>90</v>
      </c>
    </row>
    <row r="72" spans="1:29" ht="15.75">
      <c r="A72" s="426"/>
      <c r="B72" s="426"/>
      <c r="C72" s="453" t="s">
        <v>102</v>
      </c>
      <c r="D72" s="426"/>
      <c r="E72" s="426"/>
      <c r="F72" s="426"/>
      <c r="G72" s="332"/>
      <c r="H72" s="332"/>
      <c r="I72" s="332"/>
      <c r="J72" s="326"/>
      <c r="K72" s="402"/>
      <c r="L72" s="367"/>
      <c r="M72" s="367"/>
      <c r="N72" s="367"/>
      <c r="O72" s="367"/>
      <c r="P72" s="367"/>
      <c r="Q72" s="367"/>
      <c r="R72" s="367"/>
      <c r="S72" s="426"/>
      <c r="T72" s="453" t="s">
        <v>102</v>
      </c>
      <c r="U72" s="426"/>
      <c r="V72" s="1257"/>
      <c r="W72" s="1258"/>
      <c r="X72" s="426"/>
      <c r="Y72" s="426"/>
      <c r="Z72" s="426"/>
      <c r="AA72" s="426"/>
      <c r="AB72" s="426"/>
      <c r="AC72" s="367"/>
    </row>
    <row r="73" spans="1:29" ht="15.75">
      <c r="A73" s="426"/>
      <c r="B73" s="426"/>
      <c r="C73" s="426" t="s">
        <v>103</v>
      </c>
      <c r="D73" s="454">
        <f>SUM(D10)</f>
        <v>630908925</v>
      </c>
      <c r="E73" s="454">
        <f>SUM(E10)</f>
        <v>406983273</v>
      </c>
      <c r="F73" s="454">
        <f>SUM(D73:E73)</f>
        <v>1037892198</v>
      </c>
      <c r="G73" s="332"/>
      <c r="H73" s="332"/>
      <c r="I73" s="332"/>
      <c r="J73" s="326"/>
      <c r="K73" s="402"/>
      <c r="L73" s="367"/>
      <c r="M73" s="367"/>
      <c r="N73" s="367"/>
      <c r="O73" s="367"/>
      <c r="P73" s="367"/>
      <c r="Q73" s="367"/>
      <c r="R73" s="367"/>
      <c r="S73" s="426"/>
      <c r="T73" s="426" t="s">
        <v>103</v>
      </c>
      <c r="U73" s="426"/>
      <c r="V73" s="426"/>
      <c r="W73" s="454">
        <f>SUM(X17)</f>
        <v>698709600</v>
      </c>
      <c r="X73" s="454">
        <f>Y17</f>
        <v>409339670</v>
      </c>
      <c r="Y73" s="454">
        <f>SUM(W73:X73)</f>
        <v>1108049270</v>
      </c>
      <c r="Z73" s="409"/>
      <c r="AA73" s="454">
        <f aca="true" t="shared" si="0" ref="AA73:AB76">W73-D73</f>
        <v>67800675</v>
      </c>
      <c r="AB73" s="454">
        <f t="shared" si="0"/>
        <v>2356397</v>
      </c>
      <c r="AC73" s="409">
        <f>SUM(AA73:AB73)</f>
        <v>70157072</v>
      </c>
    </row>
    <row r="74" spans="1:29" ht="15.75">
      <c r="A74" s="426"/>
      <c r="B74" s="426"/>
      <c r="C74" s="426" t="s">
        <v>377</v>
      </c>
      <c r="D74" s="454">
        <f>SUM(D38)</f>
        <v>140459511</v>
      </c>
      <c r="E74" s="454">
        <f>SUM(E38)</f>
        <v>1324174</v>
      </c>
      <c r="F74" s="454">
        <f>SUM(D74:E74)</f>
        <v>141783685</v>
      </c>
      <c r="G74" s="332"/>
      <c r="H74" s="332"/>
      <c r="I74" s="332"/>
      <c r="J74" s="455"/>
      <c r="K74" s="402"/>
      <c r="L74" s="367"/>
      <c r="M74" s="367"/>
      <c r="N74" s="367"/>
      <c r="O74" s="367"/>
      <c r="P74" s="367"/>
      <c r="Q74" s="367"/>
      <c r="R74" s="367"/>
      <c r="S74" s="426"/>
      <c r="T74" s="426" t="s">
        <v>377</v>
      </c>
      <c r="U74" s="426"/>
      <c r="V74" s="426"/>
      <c r="W74" s="454">
        <f>SUM(X38)</f>
        <v>147131483</v>
      </c>
      <c r="X74" s="454">
        <f>Y38</f>
        <v>0</v>
      </c>
      <c r="Y74" s="454">
        <f>SUM(W74:X74)</f>
        <v>147131483</v>
      </c>
      <c r="Z74" s="409"/>
      <c r="AA74" s="454">
        <f t="shared" si="0"/>
        <v>6671972</v>
      </c>
      <c r="AB74" s="454">
        <f t="shared" si="0"/>
        <v>-1324174</v>
      </c>
      <c r="AC74" s="409">
        <f>SUM(AA74:AB74)</f>
        <v>5347798</v>
      </c>
    </row>
    <row r="75" spans="1:29" ht="15.75">
      <c r="A75" s="426"/>
      <c r="B75" s="426"/>
      <c r="C75" s="426" t="s">
        <v>807</v>
      </c>
      <c r="D75" s="454">
        <f>SUM(D45)</f>
        <v>39902838</v>
      </c>
      <c r="E75" s="454">
        <f>SUM(E45)</f>
        <v>826144</v>
      </c>
      <c r="F75" s="454">
        <f>SUM(D75:E75)</f>
        <v>40728982</v>
      </c>
      <c r="G75" s="332"/>
      <c r="H75" s="332"/>
      <c r="I75" s="332"/>
      <c r="J75" s="455"/>
      <c r="K75" s="402"/>
      <c r="L75" s="367"/>
      <c r="M75" s="367"/>
      <c r="N75" s="367"/>
      <c r="O75" s="367"/>
      <c r="P75" s="367"/>
      <c r="Q75" s="367"/>
      <c r="R75" s="367"/>
      <c r="S75" s="426"/>
      <c r="T75" s="426" t="s">
        <v>835</v>
      </c>
      <c r="U75" s="426"/>
      <c r="V75" s="426"/>
      <c r="W75" s="454">
        <f>SUM(X45)</f>
        <v>32777049</v>
      </c>
      <c r="X75" s="454">
        <f>SUM(Y45)</f>
        <v>0</v>
      </c>
      <c r="Y75" s="454">
        <f>SUM(W75:X75)</f>
        <v>32777049</v>
      </c>
      <c r="Z75" s="409"/>
      <c r="AA75" s="454">
        <f>W75-D75</f>
        <v>-7125789</v>
      </c>
      <c r="AB75" s="454">
        <f>X75-E75</f>
        <v>-826144</v>
      </c>
      <c r="AC75" s="409">
        <f>SUM(AA75:AB75)</f>
        <v>-7951933</v>
      </c>
    </row>
    <row r="76" spans="1:29" ht="12.75">
      <c r="A76" s="426"/>
      <c r="B76" s="426"/>
      <c r="C76" s="456" t="s">
        <v>104</v>
      </c>
      <c r="D76" s="457">
        <f>SUM(D58)</f>
        <v>215379130</v>
      </c>
      <c r="E76" s="457">
        <f>SUM(E58)</f>
        <v>2360009</v>
      </c>
      <c r="F76" s="457">
        <f>SUM(D76:E76)</f>
        <v>217739139</v>
      </c>
      <c r="G76" s="426"/>
      <c r="H76" s="426"/>
      <c r="I76" s="426"/>
      <c r="J76" s="426"/>
      <c r="K76" s="367"/>
      <c r="L76" s="367"/>
      <c r="M76" s="367"/>
      <c r="N76" s="367"/>
      <c r="O76" s="367"/>
      <c r="P76" s="367"/>
      <c r="Q76" s="367"/>
      <c r="R76" s="367"/>
      <c r="S76" s="426"/>
      <c r="T76" s="456" t="s">
        <v>104</v>
      </c>
      <c r="U76" s="458"/>
      <c r="V76" s="458"/>
      <c r="W76" s="457">
        <f>SUM(X58)</f>
        <v>197948525</v>
      </c>
      <c r="X76" s="457">
        <f>Y58</f>
        <v>0</v>
      </c>
      <c r="Y76" s="457">
        <f>SUM(W76:X76)</f>
        <v>197948525</v>
      </c>
      <c r="Z76" s="409"/>
      <c r="AA76" s="457">
        <f t="shared" si="0"/>
        <v>-17430605</v>
      </c>
      <c r="AB76" s="457">
        <f t="shared" si="0"/>
        <v>-2360009</v>
      </c>
      <c r="AC76" s="457">
        <f>SUM(AA76:AB76)</f>
        <v>-19790614</v>
      </c>
    </row>
    <row r="77" spans="1:29" ht="12.75">
      <c r="A77" s="426"/>
      <c r="B77" s="426"/>
      <c r="C77" s="459" t="s">
        <v>369</v>
      </c>
      <c r="D77" s="454">
        <f>SUM(D73:D76)</f>
        <v>1026650404</v>
      </c>
      <c r="E77" s="454">
        <f>SUM(E73:E76)</f>
        <v>411493600</v>
      </c>
      <c r="F77" s="454">
        <f>SUM(F73:F76)</f>
        <v>1438144004</v>
      </c>
      <c r="G77" s="426"/>
      <c r="H77" s="426"/>
      <c r="I77" s="426"/>
      <c r="J77" s="426"/>
      <c r="K77" s="367"/>
      <c r="L77" s="367"/>
      <c r="M77" s="367"/>
      <c r="N77" s="367"/>
      <c r="O77" s="367"/>
      <c r="P77" s="367"/>
      <c r="Q77" s="367"/>
      <c r="R77" s="367"/>
      <c r="S77" s="426"/>
      <c r="T77" s="459" t="s">
        <v>369</v>
      </c>
      <c r="U77" s="426"/>
      <c r="V77" s="459"/>
      <c r="W77" s="454">
        <f>SUM(W73:W76)</f>
        <v>1076566657</v>
      </c>
      <c r="X77" s="454">
        <f>SUM(X73:X76)</f>
        <v>409339670</v>
      </c>
      <c r="Y77" s="454">
        <f>SUM(Y73:Y76)</f>
        <v>1485906327</v>
      </c>
      <c r="Z77" s="409"/>
      <c r="AA77" s="454">
        <f>SUM(AA73:AA76)</f>
        <v>49916253</v>
      </c>
      <c r="AB77" s="454">
        <f>SUM(AB73:AB76)</f>
        <v>-2153930</v>
      </c>
      <c r="AC77" s="454">
        <f>SUM(AC73:AC76)</f>
        <v>47762323</v>
      </c>
    </row>
    <row r="78" spans="1:29" ht="12.75">
      <c r="A78" s="426"/>
      <c r="B78" s="426"/>
      <c r="C78" s="459"/>
      <c r="D78" s="454"/>
      <c r="E78" s="454"/>
      <c r="F78" s="454"/>
      <c r="G78" s="426"/>
      <c r="H78" s="426"/>
      <c r="I78" s="426"/>
      <c r="J78" s="426"/>
      <c r="K78" s="426"/>
      <c r="L78" s="367"/>
      <c r="M78" s="367"/>
      <c r="N78" s="367"/>
      <c r="O78" s="367"/>
      <c r="P78" s="367"/>
      <c r="Q78" s="367"/>
      <c r="R78" s="367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367"/>
    </row>
    <row r="79" spans="1:29" ht="12.75">
      <c r="A79" s="426"/>
      <c r="B79" s="426"/>
      <c r="C79" s="453" t="s">
        <v>105</v>
      </c>
      <c r="D79" s="454"/>
      <c r="E79" s="454"/>
      <c r="F79" s="454"/>
      <c r="G79" s="426"/>
      <c r="H79" s="426"/>
      <c r="I79" s="426"/>
      <c r="J79" s="426"/>
      <c r="K79" s="426"/>
      <c r="L79" s="367"/>
      <c r="M79" s="367"/>
      <c r="N79" s="367"/>
      <c r="O79" s="367"/>
      <c r="P79" s="367"/>
      <c r="Q79" s="367"/>
      <c r="R79" s="367"/>
      <c r="S79" s="426"/>
      <c r="T79" s="453" t="s">
        <v>105</v>
      </c>
      <c r="U79" s="460"/>
      <c r="V79" s="453"/>
      <c r="W79" s="461"/>
      <c r="X79" s="461"/>
      <c r="Y79" s="426"/>
      <c r="Z79" s="426"/>
      <c r="AA79" s="426"/>
      <c r="AB79" s="426"/>
      <c r="AC79" s="367"/>
    </row>
    <row r="80" spans="1:29" ht="12.75">
      <c r="A80" s="426"/>
      <c r="B80" s="426"/>
      <c r="C80" s="426" t="s">
        <v>103</v>
      </c>
      <c r="D80" s="454">
        <f>SUM(D27)</f>
        <v>237374175</v>
      </c>
      <c r="E80" s="454">
        <f>SUM(E27)</f>
        <v>882960326</v>
      </c>
      <c r="F80" s="454">
        <f>SUM(D80:E80)</f>
        <v>1120334501</v>
      </c>
      <c r="G80" s="426"/>
      <c r="H80" s="426"/>
      <c r="I80" s="426"/>
      <c r="J80" s="426"/>
      <c r="K80" s="426"/>
      <c r="L80" s="367"/>
      <c r="M80" s="367"/>
      <c r="N80" s="367"/>
      <c r="O80" s="367"/>
      <c r="P80" s="367"/>
      <c r="Q80" s="367"/>
      <c r="R80" s="367"/>
      <c r="S80" s="426"/>
      <c r="T80" s="426" t="s">
        <v>103</v>
      </c>
      <c r="U80" s="426"/>
      <c r="V80" s="426"/>
      <c r="W80" s="454">
        <f>SUM(X27)</f>
        <v>207692011</v>
      </c>
      <c r="X80" s="454">
        <f>Y27</f>
        <v>894585233</v>
      </c>
      <c r="Y80" s="454">
        <f>SUM(W80:X80)</f>
        <v>1102277244</v>
      </c>
      <c r="Z80" s="409"/>
      <c r="AA80" s="454">
        <f aca="true" t="shared" si="1" ref="AA80:AB83">W80-D80</f>
        <v>-29682164</v>
      </c>
      <c r="AB80" s="454">
        <f t="shared" si="1"/>
        <v>11624907</v>
      </c>
      <c r="AC80" s="409">
        <f>SUM(AA80:AB80)</f>
        <v>-18057257</v>
      </c>
    </row>
    <row r="81" spans="1:29" ht="12.75">
      <c r="A81" s="426"/>
      <c r="B81" s="426"/>
      <c r="C81" s="426" t="s">
        <v>377</v>
      </c>
      <c r="D81" s="454">
        <f>D40</f>
        <v>9104778</v>
      </c>
      <c r="E81" s="454">
        <v>0</v>
      </c>
      <c r="F81" s="454">
        <f>SUM(D81:E81)</f>
        <v>9104778</v>
      </c>
      <c r="G81" s="426"/>
      <c r="H81" s="426"/>
      <c r="I81" s="426"/>
      <c r="J81" s="426"/>
      <c r="K81" s="426"/>
      <c r="L81" s="367"/>
      <c r="M81" s="367"/>
      <c r="N81" s="367"/>
      <c r="O81" s="367"/>
      <c r="P81" s="367"/>
      <c r="Q81" s="367"/>
      <c r="R81" s="367"/>
      <c r="S81" s="426"/>
      <c r="T81" s="426" t="s">
        <v>377</v>
      </c>
      <c r="U81" s="426"/>
      <c r="V81" s="426"/>
      <c r="W81" s="454">
        <f>SUM(X40)</f>
        <v>4419110</v>
      </c>
      <c r="X81" s="454">
        <v>0</v>
      </c>
      <c r="Y81" s="454">
        <f>SUM(W81:X81)</f>
        <v>4419110</v>
      </c>
      <c r="Z81" s="409"/>
      <c r="AA81" s="454">
        <f t="shared" si="1"/>
        <v>-4685668</v>
      </c>
      <c r="AB81" s="454">
        <f t="shared" si="1"/>
        <v>0</v>
      </c>
      <c r="AC81" s="409">
        <f>SUM(AA81:AB81)</f>
        <v>-4685668</v>
      </c>
    </row>
    <row r="82" spans="1:29" ht="12.75">
      <c r="A82" s="426"/>
      <c r="B82" s="426"/>
      <c r="C82" s="426" t="s">
        <v>807</v>
      </c>
      <c r="D82" s="454">
        <f>SUM(D48)</f>
        <v>22773513</v>
      </c>
      <c r="E82" s="454">
        <f>SUM(E48)</f>
        <v>2497100</v>
      </c>
      <c r="F82" s="454">
        <f>SUM(D82:E82)</f>
        <v>25270613</v>
      </c>
      <c r="G82" s="426"/>
      <c r="H82" s="426"/>
      <c r="I82" s="426"/>
      <c r="J82" s="426"/>
      <c r="K82" s="426"/>
      <c r="L82" s="367"/>
      <c r="M82" s="367"/>
      <c r="N82" s="367"/>
      <c r="O82" s="367"/>
      <c r="P82" s="367"/>
      <c r="Q82" s="367"/>
      <c r="R82" s="367"/>
      <c r="S82" s="426"/>
      <c r="T82" s="426" t="s">
        <v>835</v>
      </c>
      <c r="U82" s="426"/>
      <c r="V82" s="426"/>
      <c r="W82" s="454">
        <f>X47</f>
        <v>22765512</v>
      </c>
      <c r="X82" s="454">
        <f>Y47</f>
        <v>2497100</v>
      </c>
      <c r="Y82" s="454">
        <f>SUM(W82:X82)</f>
        <v>25262612</v>
      </c>
      <c r="Z82" s="409"/>
      <c r="AA82" s="454">
        <f>W82-D82</f>
        <v>-8001</v>
      </c>
      <c r="AB82" s="454">
        <f>X82-E82</f>
        <v>0</v>
      </c>
      <c r="AC82" s="409">
        <f>SUM(AA82:AB82)</f>
        <v>-8001</v>
      </c>
    </row>
    <row r="83" spans="1:29" ht="12.75">
      <c r="A83" s="426"/>
      <c r="B83" s="426"/>
      <c r="C83" s="456" t="s">
        <v>104</v>
      </c>
      <c r="D83" s="457">
        <f>SUM(D65)</f>
        <v>58690949</v>
      </c>
      <c r="E83" s="457">
        <f>E65</f>
        <v>127829</v>
      </c>
      <c r="F83" s="457">
        <f>SUM(D83:E83)</f>
        <v>58818778</v>
      </c>
      <c r="G83" s="426"/>
      <c r="H83" s="426"/>
      <c r="I83" s="426"/>
      <c r="J83" s="426"/>
      <c r="K83" s="426"/>
      <c r="L83" s="367"/>
      <c r="M83" s="367"/>
      <c r="N83" s="367"/>
      <c r="O83" s="367"/>
      <c r="P83" s="367"/>
      <c r="Q83" s="367"/>
      <c r="R83" s="367"/>
      <c r="S83" s="426"/>
      <c r="T83" s="456" t="s">
        <v>104</v>
      </c>
      <c r="U83" s="458"/>
      <c r="V83" s="458"/>
      <c r="W83" s="457">
        <f>SUM(X65)</f>
        <v>52245569</v>
      </c>
      <c r="X83" s="457">
        <v>0</v>
      </c>
      <c r="Y83" s="457">
        <f>SUM(W83:X83)</f>
        <v>52245569</v>
      </c>
      <c r="Z83" s="409"/>
      <c r="AA83" s="457">
        <f t="shared" si="1"/>
        <v>-6445380</v>
      </c>
      <c r="AB83" s="457">
        <f t="shared" si="1"/>
        <v>-127829</v>
      </c>
      <c r="AC83" s="457">
        <f>SUM(AA83:AB83)</f>
        <v>-6573209</v>
      </c>
    </row>
    <row r="84" spans="1:29" ht="12.75">
      <c r="A84" s="426"/>
      <c r="B84" s="426"/>
      <c r="C84" s="459" t="s">
        <v>369</v>
      </c>
      <c r="D84" s="454">
        <f>SUM(D80:D83)</f>
        <v>327943415</v>
      </c>
      <c r="E84" s="454">
        <f>SUM(E80:E83)</f>
        <v>885585255</v>
      </c>
      <c r="F84" s="454">
        <f>SUM(F80:F83)</f>
        <v>1213528670</v>
      </c>
      <c r="G84" s="426"/>
      <c r="H84" s="426"/>
      <c r="I84" s="426"/>
      <c r="J84" s="426"/>
      <c r="K84" s="426"/>
      <c r="L84" s="367"/>
      <c r="M84" s="367"/>
      <c r="N84" s="367"/>
      <c r="O84" s="367"/>
      <c r="P84" s="367"/>
      <c r="Q84" s="367"/>
      <c r="R84" s="367"/>
      <c r="S84" s="426"/>
      <c r="T84" s="459" t="s">
        <v>369</v>
      </c>
      <c r="U84" s="426"/>
      <c r="V84" s="459"/>
      <c r="W84" s="454">
        <f>SUM(W80:W83)</f>
        <v>287122202</v>
      </c>
      <c r="X84" s="454">
        <f>SUM(X80:X83)</f>
        <v>897082333</v>
      </c>
      <c r="Y84" s="454">
        <f>SUM(Y80:Y83)</f>
        <v>1184204535</v>
      </c>
      <c r="Z84" s="409"/>
      <c r="AA84" s="454">
        <f>SUM(AA80:AA83)</f>
        <v>-40821213</v>
      </c>
      <c r="AB84" s="454">
        <f>SUM(AB80:AB83)</f>
        <v>11497078</v>
      </c>
      <c r="AC84" s="454">
        <f>SUM(AC80:AC83)</f>
        <v>-29324135</v>
      </c>
    </row>
    <row r="85" spans="1:29" ht="12.75">
      <c r="A85" s="426"/>
      <c r="B85" s="426"/>
      <c r="C85" s="459"/>
      <c r="D85" s="454"/>
      <c r="E85" s="454"/>
      <c r="F85" s="454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367"/>
      <c r="AA85" s="454"/>
      <c r="AB85" s="454"/>
      <c r="AC85" s="367"/>
    </row>
    <row r="86" spans="1:29" ht="12.75">
      <c r="A86" s="426"/>
      <c r="B86" s="426"/>
      <c r="C86" s="453" t="s">
        <v>106</v>
      </c>
      <c r="D86" s="454"/>
      <c r="E86" s="454"/>
      <c r="F86" s="454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53" t="s">
        <v>106</v>
      </c>
      <c r="U86" s="426"/>
      <c r="V86" s="453"/>
      <c r="W86" s="426"/>
      <c r="X86" s="426"/>
      <c r="Y86" s="426"/>
      <c r="Z86" s="367"/>
      <c r="AA86" s="454"/>
      <c r="AB86" s="454"/>
      <c r="AC86" s="367"/>
    </row>
    <row r="87" spans="1:29" ht="12.75">
      <c r="A87" s="426"/>
      <c r="B87" s="426"/>
      <c r="C87" s="426" t="s">
        <v>103</v>
      </c>
      <c r="D87" s="454">
        <f>SUM(D23)</f>
        <v>29297034</v>
      </c>
      <c r="E87" s="454">
        <f>SUM(E23)</f>
        <v>0</v>
      </c>
      <c r="F87" s="454">
        <f>SUM(D87:E87)</f>
        <v>29297034</v>
      </c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 t="s">
        <v>103</v>
      </c>
      <c r="U87" s="426"/>
      <c r="V87" s="426"/>
      <c r="W87" s="454">
        <f>SUM(X23)</f>
        <v>10858846</v>
      </c>
      <c r="X87" s="454">
        <v>0</v>
      </c>
      <c r="Y87" s="454">
        <f>SUM(W87:X87)</f>
        <v>10858846</v>
      </c>
      <c r="Z87" s="409"/>
      <c r="AA87" s="454">
        <f aca="true" t="shared" si="2" ref="AA87:AB90">W87-D87</f>
        <v>-18438188</v>
      </c>
      <c r="AB87" s="454">
        <f t="shared" si="2"/>
        <v>0</v>
      </c>
      <c r="AC87" s="409">
        <f>SUM(AA87:AB87)</f>
        <v>-18438188</v>
      </c>
    </row>
    <row r="88" spans="1:29" ht="12.75">
      <c r="A88" s="426"/>
      <c r="B88" s="426"/>
      <c r="C88" s="426" t="s">
        <v>377</v>
      </c>
      <c r="D88" s="454">
        <v>0</v>
      </c>
      <c r="E88" s="454">
        <v>0</v>
      </c>
      <c r="F88" s="454">
        <f>SUM(D88:E88)</f>
        <v>0</v>
      </c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 t="s">
        <v>377</v>
      </c>
      <c r="U88" s="426"/>
      <c r="V88" s="426"/>
      <c r="W88" s="454">
        <v>0</v>
      </c>
      <c r="X88" s="454">
        <v>0</v>
      </c>
      <c r="Y88" s="454">
        <f>SUM(W88:X88)</f>
        <v>0</v>
      </c>
      <c r="Z88" s="409"/>
      <c r="AA88" s="454">
        <f t="shared" si="2"/>
        <v>0</v>
      </c>
      <c r="AB88" s="454">
        <f t="shared" si="2"/>
        <v>0</v>
      </c>
      <c r="AC88" s="409">
        <f>SUM(AA88:AB88)</f>
        <v>0</v>
      </c>
    </row>
    <row r="89" spans="1:29" ht="12.75">
      <c r="A89" s="426"/>
      <c r="B89" s="426"/>
      <c r="C89" s="426" t="s">
        <v>807</v>
      </c>
      <c r="D89" s="454">
        <v>0</v>
      </c>
      <c r="E89" s="454">
        <v>0</v>
      </c>
      <c r="F89" s="454">
        <f>SUM(D89:E89)</f>
        <v>0</v>
      </c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 t="s">
        <v>835</v>
      </c>
      <c r="U89" s="426"/>
      <c r="V89" s="426"/>
      <c r="W89" s="454">
        <v>0</v>
      </c>
      <c r="X89" s="454">
        <v>0</v>
      </c>
      <c r="Y89" s="454">
        <f>SUM(W89:X89)</f>
        <v>0</v>
      </c>
      <c r="Z89" s="409"/>
      <c r="AA89" s="454">
        <f>W89-D89</f>
        <v>0</v>
      </c>
      <c r="AB89" s="454">
        <f>X89-E89</f>
        <v>0</v>
      </c>
      <c r="AC89" s="409">
        <f>SUM(AA89:AB89)</f>
        <v>0</v>
      </c>
    </row>
    <row r="90" spans="1:29" ht="12.75">
      <c r="A90" s="426"/>
      <c r="B90" s="426"/>
      <c r="C90" s="456" t="s">
        <v>104</v>
      </c>
      <c r="D90" s="457">
        <v>0</v>
      </c>
      <c r="E90" s="457">
        <v>0</v>
      </c>
      <c r="F90" s="457">
        <f>SUM(D90:E90)</f>
        <v>0</v>
      </c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56" t="s">
        <v>104</v>
      </c>
      <c r="U90" s="458"/>
      <c r="V90" s="458"/>
      <c r="W90" s="457">
        <v>0</v>
      </c>
      <c r="X90" s="457">
        <v>0</v>
      </c>
      <c r="Y90" s="457">
        <f>SUM(W90:X90)</f>
        <v>0</v>
      </c>
      <c r="Z90" s="409"/>
      <c r="AA90" s="457">
        <f t="shared" si="2"/>
        <v>0</v>
      </c>
      <c r="AB90" s="457">
        <f t="shared" si="2"/>
        <v>0</v>
      </c>
      <c r="AC90" s="457">
        <f>SUM(AA90:AB90)</f>
        <v>0</v>
      </c>
    </row>
    <row r="91" spans="1:29" ht="12.75">
      <c r="A91" s="426"/>
      <c r="B91" s="426"/>
      <c r="C91" s="459" t="s">
        <v>369</v>
      </c>
      <c r="D91" s="454">
        <f>SUM(D87:D90)</f>
        <v>29297034</v>
      </c>
      <c r="E91" s="454">
        <f>SUM(E87:E90)</f>
        <v>0</v>
      </c>
      <c r="F91" s="454">
        <f>SUM(F87:F90)</f>
        <v>29297034</v>
      </c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59" t="s">
        <v>369</v>
      </c>
      <c r="U91" s="426"/>
      <c r="V91" s="459"/>
      <c r="W91" s="454">
        <f>SUM(W87:W90)</f>
        <v>10858846</v>
      </c>
      <c r="X91" s="454">
        <f>SUM(X87:X90)</f>
        <v>0</v>
      </c>
      <c r="Y91" s="454">
        <f>SUM(Y87:Y90)</f>
        <v>10858846</v>
      </c>
      <c r="Z91" s="409"/>
      <c r="AA91" s="454">
        <f>SUM(AA87:AA90)</f>
        <v>-18438188</v>
      </c>
      <c r="AB91" s="454">
        <f>SUM(AB87:AB90)</f>
        <v>0</v>
      </c>
      <c r="AC91" s="454">
        <f>SUM(AC87:AC90)</f>
        <v>-18438188</v>
      </c>
    </row>
    <row r="92" spans="1:29" ht="12.75">
      <c r="A92" s="426"/>
      <c r="B92" s="426"/>
      <c r="C92" s="459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367"/>
      <c r="AA92" s="454"/>
      <c r="AB92" s="454"/>
      <c r="AC92" s="367"/>
    </row>
    <row r="93" spans="1:29" ht="12.75">
      <c r="A93" s="426"/>
      <c r="B93" s="426"/>
      <c r="C93" s="462" t="s">
        <v>107</v>
      </c>
      <c r="D93" s="463">
        <f>SUM(D91,D84,D77)</f>
        <v>1383890853</v>
      </c>
      <c r="E93" s="463">
        <f>SUM(E91,E84,E77)</f>
        <v>1297078855</v>
      </c>
      <c r="F93" s="463">
        <f>SUM(F91,F84,F77)</f>
        <v>2680969708</v>
      </c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 t="s">
        <v>107</v>
      </c>
      <c r="U93" s="462"/>
      <c r="V93" s="462"/>
      <c r="W93" s="463">
        <f>SUM(W91,W84,W77)</f>
        <v>1374547705</v>
      </c>
      <c r="X93" s="463">
        <f>SUM(X91,X84,X77)</f>
        <v>1306422003</v>
      </c>
      <c r="Y93" s="463">
        <f>SUM(Y91,Y84,Y77)</f>
        <v>2680969708</v>
      </c>
      <c r="Z93" s="348"/>
      <c r="AA93" s="463">
        <f>SUM(AA91,AA84,AA77)</f>
        <v>-9343148</v>
      </c>
      <c r="AB93" s="463">
        <f>SUM(AB91,AB84,AB77)</f>
        <v>9343148</v>
      </c>
      <c r="AC93" s="463">
        <f>SUM(AC91,AC84,AC77)</f>
        <v>0</v>
      </c>
    </row>
    <row r="94" spans="1:29" ht="12.75">
      <c r="A94" s="462"/>
      <c r="B94" s="462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367"/>
    </row>
    <row r="95" spans="1:29" ht="12.75">
      <c r="A95" s="426"/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367"/>
    </row>
    <row r="96" spans="1:3" ht="12.75">
      <c r="A96" s="426"/>
      <c r="B96" s="426"/>
      <c r="C96" s="426"/>
    </row>
  </sheetData>
  <sheetProtection/>
  <mergeCells count="209">
    <mergeCell ref="L31:O31"/>
    <mergeCell ref="S41:V41"/>
    <mergeCell ref="K28:K32"/>
    <mergeCell ref="K22:K23"/>
    <mergeCell ref="L18:O18"/>
    <mergeCell ref="G22:I22"/>
    <mergeCell ref="G23:I23"/>
    <mergeCell ref="L21:O21"/>
    <mergeCell ref="K24:K27"/>
    <mergeCell ref="K19:K21"/>
    <mergeCell ref="AA42:AC42"/>
    <mergeCell ref="X53:Z53"/>
    <mergeCell ref="X42:Z42"/>
    <mergeCell ref="R13:U13"/>
    <mergeCell ref="S51:V51"/>
    <mergeCell ref="R44:U44"/>
    <mergeCell ref="AA53:AC53"/>
    <mergeCell ref="W44:W46"/>
    <mergeCell ref="R26:U26"/>
    <mergeCell ref="R18:U18"/>
    <mergeCell ref="Q44:Q46"/>
    <mergeCell ref="P44:P45"/>
    <mergeCell ref="R46:U46"/>
    <mergeCell ref="L49:O49"/>
    <mergeCell ref="R48:U48"/>
    <mergeCell ref="B45:C45"/>
    <mergeCell ref="Q47:Q50"/>
    <mergeCell ref="P47:P48"/>
    <mergeCell ref="A51:C51"/>
    <mergeCell ref="H51:J51"/>
    <mergeCell ref="A48:C48"/>
    <mergeCell ref="G47:I47"/>
    <mergeCell ref="R53:W54"/>
    <mergeCell ref="M51:P51"/>
    <mergeCell ref="A53:C54"/>
    <mergeCell ref="K47:K50"/>
    <mergeCell ref="L50:O50"/>
    <mergeCell ref="D53:F53"/>
    <mergeCell ref="A42:C43"/>
    <mergeCell ref="R45:U45"/>
    <mergeCell ref="R42:W43"/>
    <mergeCell ref="L42:Q43"/>
    <mergeCell ref="D42:F42"/>
    <mergeCell ref="G42:K43"/>
    <mergeCell ref="G45:I45"/>
    <mergeCell ref="G44:I44"/>
    <mergeCell ref="L44:O45"/>
    <mergeCell ref="K44:K46"/>
    <mergeCell ref="V72:W72"/>
    <mergeCell ref="Q55:Q64"/>
    <mergeCell ref="R55:U55"/>
    <mergeCell ref="R56:U56"/>
    <mergeCell ref="L47:O48"/>
    <mergeCell ref="S71:V71"/>
    <mergeCell ref="R57:U57"/>
    <mergeCell ref="S67:V67"/>
    <mergeCell ref="W70:Y70"/>
    <mergeCell ref="R58:U58"/>
    <mergeCell ref="D65:D66"/>
    <mergeCell ref="AA70:AC70"/>
    <mergeCell ref="K55:K64"/>
    <mergeCell ref="W55:W64"/>
    <mergeCell ref="M68:P68"/>
    <mergeCell ref="H67:J67"/>
    <mergeCell ref="D70:F70"/>
    <mergeCell ref="S68:V68"/>
    <mergeCell ref="R59:U59"/>
    <mergeCell ref="M67:P67"/>
    <mergeCell ref="G53:K54"/>
    <mergeCell ref="G64:I64"/>
    <mergeCell ref="L53:Q54"/>
    <mergeCell ref="G56:I56"/>
    <mergeCell ref="G60:I60"/>
    <mergeCell ref="G63:I63"/>
    <mergeCell ref="G57:I57"/>
    <mergeCell ref="A69:C69"/>
    <mergeCell ref="L55:O55"/>
    <mergeCell ref="L56:O56"/>
    <mergeCell ref="G62:I62"/>
    <mergeCell ref="A58:C58"/>
    <mergeCell ref="A67:C67"/>
    <mergeCell ref="G59:I59"/>
    <mergeCell ref="G58:I58"/>
    <mergeCell ref="A65:C66"/>
    <mergeCell ref="L65:O65"/>
    <mergeCell ref="H68:J68"/>
    <mergeCell ref="G55:I55"/>
    <mergeCell ref="A34:C35"/>
    <mergeCell ref="D34:F34"/>
    <mergeCell ref="G34:K35"/>
    <mergeCell ref="M41:P41"/>
    <mergeCell ref="L36:O37"/>
    <mergeCell ref="G61:I61"/>
    <mergeCell ref="F49:F50"/>
    <mergeCell ref="A68:C68"/>
    <mergeCell ref="A41:C41"/>
    <mergeCell ref="H41:J41"/>
    <mergeCell ref="K36:K39"/>
    <mergeCell ref="B38:C38"/>
    <mergeCell ref="G36:I37"/>
    <mergeCell ref="J36:J37"/>
    <mergeCell ref="G39:I39"/>
    <mergeCell ref="A40:C40"/>
    <mergeCell ref="G38:I38"/>
    <mergeCell ref="A27:C27"/>
    <mergeCell ref="L22:O22"/>
    <mergeCell ref="K8:K18"/>
    <mergeCell ref="AA34:AC34"/>
    <mergeCell ref="R34:W35"/>
    <mergeCell ref="X34:Z34"/>
    <mergeCell ref="W8:W18"/>
    <mergeCell ref="B23:C23"/>
    <mergeCell ref="A33:C33"/>
    <mergeCell ref="H33:J33"/>
    <mergeCell ref="T1:AB1"/>
    <mergeCell ref="X6:Z6"/>
    <mergeCell ref="AA6:AC6"/>
    <mergeCell ref="R21:U21"/>
    <mergeCell ref="R28:U28"/>
    <mergeCell ref="W28:W32"/>
    <mergeCell ref="W19:W21"/>
    <mergeCell ref="W24:W27"/>
    <mergeCell ref="R27:U27"/>
    <mergeCell ref="R25:U25"/>
    <mergeCell ref="A6:C7"/>
    <mergeCell ref="L6:Q7"/>
    <mergeCell ref="R6:W7"/>
    <mergeCell ref="D6:F6"/>
    <mergeCell ref="G6:K7"/>
    <mergeCell ref="A3:AC3"/>
    <mergeCell ref="R8:U8"/>
    <mergeCell ref="L8:O8"/>
    <mergeCell ref="G9:I9"/>
    <mergeCell ref="G10:I10"/>
    <mergeCell ref="L9:O9"/>
    <mergeCell ref="G14:I14"/>
    <mergeCell ref="R9:U9"/>
    <mergeCell ref="R11:U11"/>
    <mergeCell ref="R12:U12"/>
    <mergeCell ref="Q8:Q18"/>
    <mergeCell ref="L27:O27"/>
    <mergeCell ref="L25:O25"/>
    <mergeCell ref="G19:I19"/>
    <mergeCell ref="L15:O15"/>
    <mergeCell ref="G18:I18"/>
    <mergeCell ref="G17:I17"/>
    <mergeCell ref="L16:O16"/>
    <mergeCell ref="G15:I15"/>
    <mergeCell ref="L20:O20"/>
    <mergeCell ref="L10:O10"/>
    <mergeCell ref="G16:I16"/>
    <mergeCell ref="L17:O17"/>
    <mergeCell ref="G11:I11"/>
    <mergeCell ref="G12:I12"/>
    <mergeCell ref="G13:I13"/>
    <mergeCell ref="L12:O12"/>
    <mergeCell ref="L13:O13"/>
    <mergeCell ref="G8:I8"/>
    <mergeCell ref="Q19:Q21"/>
    <mergeCell ref="L19:O19"/>
    <mergeCell ref="W36:W39"/>
    <mergeCell ref="R40:U40"/>
    <mergeCell ref="L38:O38"/>
    <mergeCell ref="R39:U39"/>
    <mergeCell ref="R38:U38"/>
    <mergeCell ref="P36:P37"/>
    <mergeCell ref="R36:U37"/>
    <mergeCell ref="V36:V37"/>
    <mergeCell ref="Q36:Q39"/>
    <mergeCell ref="L29:O29"/>
    <mergeCell ref="L28:O28"/>
    <mergeCell ref="Q28:Q32"/>
    <mergeCell ref="L30:O30"/>
    <mergeCell ref="S33:V33"/>
    <mergeCell ref="L39:O39"/>
    <mergeCell ref="L34:Q35"/>
    <mergeCell ref="M33:P33"/>
    <mergeCell ref="Q24:Q27"/>
    <mergeCell ref="L24:O24"/>
    <mergeCell ref="L32:O32"/>
    <mergeCell ref="R17:U17"/>
    <mergeCell ref="L26:O26"/>
    <mergeCell ref="L23:O23"/>
    <mergeCell ref="R19:U19"/>
    <mergeCell ref="R23:U23"/>
    <mergeCell ref="Q22:Q23"/>
    <mergeCell ref="R24:U24"/>
    <mergeCell ref="E65:E66"/>
    <mergeCell ref="F65:F66"/>
    <mergeCell ref="G65:J66"/>
    <mergeCell ref="K65:K66"/>
    <mergeCell ref="L66:O66"/>
    <mergeCell ref="Q65:Q66"/>
    <mergeCell ref="R65:U66"/>
    <mergeCell ref="V65:V66"/>
    <mergeCell ref="W65:W66"/>
    <mergeCell ref="AC65:AC66"/>
    <mergeCell ref="X65:X66"/>
    <mergeCell ref="Y65:Y66"/>
    <mergeCell ref="Z65:Z66"/>
    <mergeCell ref="AA65:AA66"/>
    <mergeCell ref="AB65:AB66"/>
    <mergeCell ref="AB47:AB50"/>
    <mergeCell ref="AC47:AC50"/>
    <mergeCell ref="W47:W50"/>
    <mergeCell ref="X47:X50"/>
    <mergeCell ref="Y47:Y50"/>
    <mergeCell ref="Z47:Z50"/>
    <mergeCell ref="AA47:AA5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1"/>
  <sheetViews>
    <sheetView zoomScalePageLayoutView="0" workbookViewId="0" topLeftCell="A91">
      <selection activeCell="W30" sqref="W30"/>
    </sheetView>
  </sheetViews>
  <sheetFormatPr defaultColWidth="9.00390625" defaultRowHeight="12.75"/>
  <cols>
    <col min="1" max="1" width="44.375" style="0" customWidth="1"/>
    <col min="14" max="14" width="9.125" style="165" customWidth="1"/>
  </cols>
  <sheetData>
    <row r="1" spans="8:13" ht="15">
      <c r="H1" s="1"/>
      <c r="I1" s="1"/>
      <c r="J1" s="1"/>
      <c r="K1" s="1"/>
      <c r="L1" s="1"/>
      <c r="M1" s="6" t="s">
        <v>1088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4" customFormat="1" ht="14.25" customHeight="1">
      <c r="A4" s="1275" t="s">
        <v>526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66"/>
    </row>
    <row r="5" spans="1:14" s="84" customFormat="1" ht="14.25" customHeight="1">
      <c r="A5" s="1275" t="s">
        <v>455</v>
      </c>
      <c r="B5" s="1275"/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66"/>
    </row>
    <row r="6" spans="1:14" s="84" customFormat="1" ht="18" customHeight="1">
      <c r="A6" s="1275"/>
      <c r="B6" s="1275"/>
      <c r="C6" s="1275"/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66"/>
    </row>
    <row r="7" spans="1:14" s="83" customFormat="1" ht="12.75">
      <c r="A7" s="150" t="s">
        <v>366</v>
      </c>
      <c r="B7" s="119" t="s">
        <v>349</v>
      </c>
      <c r="C7" s="119" t="s">
        <v>350</v>
      </c>
      <c r="D7" s="119" t="s">
        <v>351</v>
      </c>
      <c r="E7" s="119" t="s">
        <v>352</v>
      </c>
      <c r="F7" s="119" t="s">
        <v>353</v>
      </c>
      <c r="G7" s="119" t="s">
        <v>354</v>
      </c>
      <c r="H7" s="119" t="s">
        <v>355</v>
      </c>
      <c r="I7" s="119" t="s">
        <v>356</v>
      </c>
      <c r="J7" s="119" t="s">
        <v>357</v>
      </c>
      <c r="K7" s="119" t="s">
        <v>358</v>
      </c>
      <c r="L7" s="119" t="s">
        <v>359</v>
      </c>
      <c r="M7" s="119" t="s">
        <v>360</v>
      </c>
      <c r="N7" s="167"/>
    </row>
    <row r="8" spans="1:14" s="86" customFormat="1" ht="22.5" customHeight="1">
      <c r="A8" s="168" t="s">
        <v>768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3"/>
    </row>
    <row r="9" spans="1:14" s="611" customFormat="1" ht="20.25" customHeight="1">
      <c r="A9" s="608" t="s">
        <v>767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10"/>
    </row>
    <row r="10" spans="1:14" s="85" customFormat="1" ht="12.75">
      <c r="A10" s="154" t="s">
        <v>626</v>
      </c>
      <c r="B10" s="121">
        <v>15</v>
      </c>
      <c r="C10" s="121">
        <v>15</v>
      </c>
      <c r="D10" s="121">
        <v>15</v>
      </c>
      <c r="E10" s="121">
        <v>15</v>
      </c>
      <c r="F10" s="121">
        <v>15</v>
      </c>
      <c r="G10" s="121">
        <v>15</v>
      </c>
      <c r="H10" s="121">
        <v>15</v>
      </c>
      <c r="I10" s="121">
        <v>15</v>
      </c>
      <c r="J10" s="121">
        <v>16</v>
      </c>
      <c r="K10" s="121">
        <v>16</v>
      </c>
      <c r="L10" s="121">
        <v>16</v>
      </c>
      <c r="M10" s="121">
        <v>16</v>
      </c>
      <c r="N10" s="173"/>
    </row>
    <row r="11" spans="1:14" s="85" customFormat="1" ht="12.75" customHeight="1">
      <c r="A11" s="154" t="s">
        <v>627</v>
      </c>
      <c r="B11" s="121">
        <v>2</v>
      </c>
      <c r="C11" s="121">
        <v>2</v>
      </c>
      <c r="D11" s="121">
        <v>2</v>
      </c>
      <c r="E11" s="121">
        <v>2</v>
      </c>
      <c r="F11" s="121">
        <v>2</v>
      </c>
      <c r="G11" s="121">
        <v>2</v>
      </c>
      <c r="H11" s="121">
        <v>2</v>
      </c>
      <c r="I11" s="121">
        <v>2</v>
      </c>
      <c r="J11" s="121">
        <v>2</v>
      </c>
      <c r="K11" s="121">
        <v>2</v>
      </c>
      <c r="L11" s="121">
        <v>2</v>
      </c>
      <c r="M11" s="121">
        <v>2</v>
      </c>
      <c r="N11" s="173"/>
    </row>
    <row r="12" spans="1:14" s="85" customFormat="1" ht="12.75">
      <c r="A12" s="174" t="s">
        <v>628</v>
      </c>
      <c r="B12" s="121">
        <v>8</v>
      </c>
      <c r="C12" s="121">
        <v>8</v>
      </c>
      <c r="D12" s="121">
        <v>8</v>
      </c>
      <c r="E12" s="121">
        <v>8</v>
      </c>
      <c r="F12" s="121">
        <v>8</v>
      </c>
      <c r="G12" s="121">
        <v>8</v>
      </c>
      <c r="H12" s="121">
        <v>8</v>
      </c>
      <c r="I12" s="121">
        <v>8</v>
      </c>
      <c r="J12" s="121">
        <v>9</v>
      </c>
      <c r="K12" s="121">
        <v>9</v>
      </c>
      <c r="L12" s="121">
        <v>9</v>
      </c>
      <c r="M12" s="121">
        <v>8</v>
      </c>
      <c r="N12" s="173"/>
    </row>
    <row r="13" spans="1:14" s="85" customFormat="1" ht="12.75">
      <c r="A13" s="154" t="s">
        <v>629</v>
      </c>
      <c r="B13" s="121">
        <v>1</v>
      </c>
      <c r="C13" s="121">
        <v>1</v>
      </c>
      <c r="D13" s="121">
        <v>1</v>
      </c>
      <c r="E13" s="121">
        <v>1</v>
      </c>
      <c r="F13" s="121">
        <v>1</v>
      </c>
      <c r="G13" s="121">
        <v>1</v>
      </c>
      <c r="H13" s="121">
        <v>1</v>
      </c>
      <c r="I13" s="121">
        <v>1</v>
      </c>
      <c r="J13" s="121">
        <v>1</v>
      </c>
      <c r="K13" s="121">
        <v>1</v>
      </c>
      <c r="L13" s="121">
        <v>1</v>
      </c>
      <c r="M13" s="121">
        <v>1</v>
      </c>
      <c r="N13" s="173"/>
    </row>
    <row r="14" spans="1:14" s="85" customFormat="1" ht="25.5">
      <c r="A14" s="154" t="s">
        <v>840</v>
      </c>
      <c r="B14" s="121">
        <v>1</v>
      </c>
      <c r="C14" s="121">
        <v>1</v>
      </c>
      <c r="D14" s="121">
        <v>1</v>
      </c>
      <c r="E14" s="121">
        <v>1</v>
      </c>
      <c r="F14" s="121">
        <v>1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1</v>
      </c>
      <c r="M14" s="121">
        <v>1</v>
      </c>
      <c r="N14" s="173"/>
    </row>
    <row r="15" spans="1:14" s="611" customFormat="1" ht="20.25" customHeight="1">
      <c r="A15" s="608" t="s">
        <v>769</v>
      </c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10"/>
    </row>
    <row r="16" spans="1:14" s="85" customFormat="1" ht="12.75">
      <c r="A16" s="154" t="s">
        <v>770</v>
      </c>
      <c r="B16" s="121">
        <v>1</v>
      </c>
      <c r="C16" s="121">
        <v>1</v>
      </c>
      <c r="D16" s="121">
        <v>1</v>
      </c>
      <c r="E16" s="121">
        <v>1</v>
      </c>
      <c r="F16" s="121">
        <v>1</v>
      </c>
      <c r="G16" s="121">
        <v>1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73"/>
    </row>
    <row r="17" spans="1:14" s="85" customFormat="1" ht="12.75">
      <c r="A17" s="154" t="s">
        <v>771</v>
      </c>
      <c r="B17" s="121">
        <v>1</v>
      </c>
      <c r="C17" s="121">
        <v>1</v>
      </c>
      <c r="D17" s="121">
        <v>1</v>
      </c>
      <c r="E17" s="121">
        <v>1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v>1</v>
      </c>
      <c r="L17" s="121">
        <v>1</v>
      </c>
      <c r="M17" s="121">
        <v>1</v>
      </c>
      <c r="N17" s="173"/>
    </row>
    <row r="18" spans="1:14" s="85" customFormat="1" ht="12.75">
      <c r="A18" s="154" t="s">
        <v>772</v>
      </c>
      <c r="B18" s="121">
        <v>1</v>
      </c>
      <c r="C18" s="121">
        <v>1</v>
      </c>
      <c r="D18" s="121">
        <v>1</v>
      </c>
      <c r="E18" s="121">
        <v>1</v>
      </c>
      <c r="F18" s="121">
        <v>1</v>
      </c>
      <c r="G18" s="121">
        <v>1</v>
      </c>
      <c r="H18" s="121">
        <v>1</v>
      </c>
      <c r="I18" s="121">
        <v>1</v>
      </c>
      <c r="J18" s="121">
        <v>1</v>
      </c>
      <c r="K18" s="121">
        <v>1</v>
      </c>
      <c r="L18" s="121">
        <v>1</v>
      </c>
      <c r="M18" s="121">
        <v>1</v>
      </c>
      <c r="N18" s="173"/>
    </row>
    <row r="19" spans="1:14" s="611" customFormat="1" ht="20.25" customHeight="1">
      <c r="A19" s="608" t="s">
        <v>632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10"/>
    </row>
    <row r="20" spans="1:14" s="85" customFormat="1" ht="12.75">
      <c r="A20" s="154" t="s">
        <v>773</v>
      </c>
      <c r="B20" s="121">
        <v>1</v>
      </c>
      <c r="C20" s="121">
        <v>1</v>
      </c>
      <c r="D20" s="121">
        <v>1</v>
      </c>
      <c r="E20" s="121">
        <v>1</v>
      </c>
      <c r="F20" s="121">
        <v>1</v>
      </c>
      <c r="G20" s="121">
        <v>1</v>
      </c>
      <c r="H20" s="121">
        <v>1</v>
      </c>
      <c r="I20" s="121">
        <v>1</v>
      </c>
      <c r="J20" s="121">
        <v>1</v>
      </c>
      <c r="K20" s="121">
        <v>1</v>
      </c>
      <c r="L20" s="121">
        <v>1</v>
      </c>
      <c r="M20" s="121">
        <v>1</v>
      </c>
      <c r="N20" s="173"/>
    </row>
    <row r="21" spans="1:14" s="85" customFormat="1" ht="12.75">
      <c r="A21" s="154" t="s">
        <v>774</v>
      </c>
      <c r="B21" s="121">
        <v>1</v>
      </c>
      <c r="C21" s="121">
        <v>1</v>
      </c>
      <c r="D21" s="121">
        <v>1</v>
      </c>
      <c r="E21" s="121">
        <v>1</v>
      </c>
      <c r="F21" s="121">
        <v>1</v>
      </c>
      <c r="G21" s="121">
        <v>1</v>
      </c>
      <c r="H21" s="121">
        <v>1</v>
      </c>
      <c r="I21" s="121">
        <v>1</v>
      </c>
      <c r="J21" s="121">
        <v>1</v>
      </c>
      <c r="K21" s="121">
        <v>1</v>
      </c>
      <c r="L21" s="121">
        <v>1</v>
      </c>
      <c r="M21" s="121">
        <v>1</v>
      </c>
      <c r="N21" s="173"/>
    </row>
    <row r="22" spans="1:14" s="611" customFormat="1" ht="27" customHeight="1">
      <c r="A22" s="608" t="s">
        <v>591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10"/>
    </row>
    <row r="23" spans="1:14" s="85" customFormat="1" ht="12.75">
      <c r="A23" s="154" t="s">
        <v>630</v>
      </c>
      <c r="B23" s="121">
        <v>1</v>
      </c>
      <c r="C23" s="121">
        <v>1</v>
      </c>
      <c r="D23" s="121">
        <v>1</v>
      </c>
      <c r="E23" s="121">
        <v>1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73"/>
    </row>
    <row r="24" spans="1:14" s="85" customFormat="1" ht="12.75">
      <c r="A24" s="154" t="s">
        <v>775</v>
      </c>
      <c r="B24" s="121">
        <v>3</v>
      </c>
      <c r="C24" s="121">
        <v>3</v>
      </c>
      <c r="D24" s="121">
        <v>3</v>
      </c>
      <c r="E24" s="121">
        <v>3</v>
      </c>
      <c r="F24" s="121">
        <v>3</v>
      </c>
      <c r="G24" s="121">
        <v>3</v>
      </c>
      <c r="H24" s="121">
        <v>3</v>
      </c>
      <c r="I24" s="121">
        <v>3</v>
      </c>
      <c r="J24" s="121">
        <v>3</v>
      </c>
      <c r="K24" s="121">
        <v>3</v>
      </c>
      <c r="L24" s="121">
        <v>3</v>
      </c>
      <c r="M24" s="121">
        <v>3</v>
      </c>
      <c r="N24" s="173"/>
    </row>
    <row r="25" spans="1:14" s="85" customFormat="1" ht="25.5">
      <c r="A25" s="154" t="s">
        <v>776</v>
      </c>
      <c r="B25" s="121">
        <v>0.5</v>
      </c>
      <c r="C25" s="121">
        <v>0.5</v>
      </c>
      <c r="D25" s="121">
        <v>0.5</v>
      </c>
      <c r="E25" s="121">
        <v>0.5</v>
      </c>
      <c r="F25" s="121">
        <v>0.5</v>
      </c>
      <c r="G25" s="121">
        <v>0.5</v>
      </c>
      <c r="H25" s="121">
        <v>0.5</v>
      </c>
      <c r="I25" s="121">
        <v>0.5</v>
      </c>
      <c r="J25" s="121">
        <v>0.5</v>
      </c>
      <c r="K25" s="121">
        <v>0.5</v>
      </c>
      <c r="L25" s="121">
        <v>0.5</v>
      </c>
      <c r="M25" s="121">
        <v>0.5</v>
      </c>
      <c r="N25" s="173"/>
    </row>
    <row r="26" spans="1:14" s="611" customFormat="1" ht="29.25" customHeight="1">
      <c r="A26" s="608" t="s">
        <v>717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10"/>
    </row>
    <row r="27" spans="1:14" s="85" customFormat="1" ht="12.75">
      <c r="A27" s="154" t="s">
        <v>777</v>
      </c>
      <c r="B27" s="121">
        <v>0.5</v>
      </c>
      <c r="C27" s="121">
        <v>0.5</v>
      </c>
      <c r="D27" s="121">
        <v>0.5</v>
      </c>
      <c r="E27" s="121">
        <v>0.5</v>
      </c>
      <c r="F27" s="121">
        <v>0.5</v>
      </c>
      <c r="G27" s="121">
        <v>0.5</v>
      </c>
      <c r="H27" s="121">
        <v>0.5</v>
      </c>
      <c r="I27" s="121">
        <v>0.5</v>
      </c>
      <c r="J27" s="121">
        <v>0.5</v>
      </c>
      <c r="K27" s="121">
        <v>0.5</v>
      </c>
      <c r="L27" s="121">
        <v>0.5</v>
      </c>
      <c r="M27" s="121">
        <v>0.5</v>
      </c>
      <c r="N27" s="173"/>
    </row>
    <row r="28" spans="1:14" s="85" customFormat="1" ht="12.75">
      <c r="A28" s="154" t="s">
        <v>631</v>
      </c>
      <c r="B28" s="121">
        <v>3</v>
      </c>
      <c r="C28" s="121">
        <v>3</v>
      </c>
      <c r="D28" s="121">
        <v>3</v>
      </c>
      <c r="E28" s="121">
        <v>4</v>
      </c>
      <c r="F28" s="121">
        <v>4</v>
      </c>
      <c r="G28" s="121">
        <v>4</v>
      </c>
      <c r="H28" s="121">
        <v>4</v>
      </c>
      <c r="I28" s="121">
        <v>4</v>
      </c>
      <c r="J28" s="121">
        <v>4</v>
      </c>
      <c r="K28" s="121">
        <v>4</v>
      </c>
      <c r="L28" s="121">
        <v>4</v>
      </c>
      <c r="M28" s="121">
        <v>4</v>
      </c>
      <c r="N28" s="173"/>
    </row>
    <row r="29" spans="1:14" s="85" customFormat="1" ht="12.75">
      <c r="A29" s="154" t="s">
        <v>990</v>
      </c>
      <c r="B29" s="121">
        <v>1</v>
      </c>
      <c r="C29" s="121">
        <v>1</v>
      </c>
      <c r="D29" s="121">
        <v>1</v>
      </c>
      <c r="E29" s="121">
        <v>2</v>
      </c>
      <c r="F29" s="121">
        <v>2</v>
      </c>
      <c r="G29" s="121">
        <v>2</v>
      </c>
      <c r="H29" s="121">
        <v>2</v>
      </c>
      <c r="I29" s="121">
        <v>2</v>
      </c>
      <c r="J29" s="121">
        <v>2</v>
      </c>
      <c r="K29" s="121">
        <v>2</v>
      </c>
      <c r="L29" s="121">
        <v>2</v>
      </c>
      <c r="M29" s="121">
        <v>2</v>
      </c>
      <c r="N29" s="173"/>
    </row>
    <row r="30" spans="1:14" s="85" customFormat="1" ht="25.5">
      <c r="A30" s="154" t="s">
        <v>1001</v>
      </c>
      <c r="B30" s="121">
        <v>2</v>
      </c>
      <c r="C30" s="121">
        <v>2</v>
      </c>
      <c r="D30" s="121">
        <v>2</v>
      </c>
      <c r="E30" s="121">
        <v>2</v>
      </c>
      <c r="F30" s="121">
        <v>2</v>
      </c>
      <c r="G30" s="121">
        <v>2</v>
      </c>
      <c r="H30" s="121">
        <v>2</v>
      </c>
      <c r="I30" s="121">
        <v>2</v>
      </c>
      <c r="J30" s="121">
        <v>2</v>
      </c>
      <c r="K30" s="121">
        <v>2</v>
      </c>
      <c r="L30" s="121">
        <v>2</v>
      </c>
      <c r="M30" s="121">
        <v>2</v>
      </c>
      <c r="N30" s="173"/>
    </row>
    <row r="31" spans="1:14" ht="25.5">
      <c r="A31" s="169" t="s">
        <v>991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/>
    </row>
    <row r="32" spans="1:14" ht="12.75">
      <c r="A32" s="153" t="s">
        <v>992</v>
      </c>
      <c r="B32" s="163">
        <v>1</v>
      </c>
      <c r="C32" s="163">
        <v>1</v>
      </c>
      <c r="D32" s="163">
        <v>1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/>
    </row>
    <row r="33" spans="1:14" ht="12.75">
      <c r="A33" s="153" t="s">
        <v>993</v>
      </c>
      <c r="B33" s="163">
        <v>0.5</v>
      </c>
      <c r="C33" s="163">
        <v>0.5</v>
      </c>
      <c r="D33" s="163">
        <v>0.5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/>
    </row>
    <row r="34" spans="1:14" ht="38.25">
      <c r="A34" s="169" t="s">
        <v>981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/>
    </row>
    <row r="35" spans="1:14" ht="12.75">
      <c r="A35" s="153" t="s">
        <v>994</v>
      </c>
      <c r="B35" s="163">
        <v>1</v>
      </c>
      <c r="C35" s="163">
        <v>1</v>
      </c>
      <c r="D35" s="163">
        <v>1</v>
      </c>
      <c r="E35" s="163">
        <v>1</v>
      </c>
      <c r="F35" s="163">
        <v>1</v>
      </c>
      <c r="G35" s="163">
        <v>1</v>
      </c>
      <c r="H35" s="163">
        <v>1</v>
      </c>
      <c r="I35" s="163">
        <v>1</v>
      </c>
      <c r="J35" s="163">
        <v>1</v>
      </c>
      <c r="K35" s="163">
        <v>1</v>
      </c>
      <c r="L35" s="163">
        <v>1</v>
      </c>
      <c r="M35" s="163">
        <v>1</v>
      </c>
      <c r="N35"/>
    </row>
    <row r="36" spans="1:14" ht="12.75">
      <c r="A36" s="153" t="s">
        <v>995</v>
      </c>
      <c r="B36" s="163">
        <v>1</v>
      </c>
      <c r="C36" s="163">
        <v>1</v>
      </c>
      <c r="D36" s="163">
        <v>1</v>
      </c>
      <c r="E36" s="163">
        <v>1</v>
      </c>
      <c r="F36" s="163">
        <v>1</v>
      </c>
      <c r="G36" s="163">
        <v>1</v>
      </c>
      <c r="H36" s="163">
        <v>1</v>
      </c>
      <c r="I36" s="163">
        <v>1</v>
      </c>
      <c r="J36" s="163">
        <v>1</v>
      </c>
      <c r="K36" s="163">
        <v>1</v>
      </c>
      <c r="L36" s="163">
        <v>1</v>
      </c>
      <c r="M36" s="163">
        <v>1</v>
      </c>
      <c r="N36"/>
    </row>
    <row r="37" spans="1:14" ht="25.5" customHeight="1">
      <c r="A37" s="154" t="s">
        <v>996</v>
      </c>
      <c r="B37" s="163">
        <v>0.075</v>
      </c>
      <c r="C37" s="163">
        <v>0.075</v>
      </c>
      <c r="D37" s="163">
        <v>0.075</v>
      </c>
      <c r="E37" s="163">
        <v>0.075</v>
      </c>
      <c r="F37" s="163">
        <v>0.075</v>
      </c>
      <c r="G37" s="163">
        <v>0.075</v>
      </c>
      <c r="H37" s="163">
        <v>0.075</v>
      </c>
      <c r="I37" s="163">
        <v>0.075</v>
      </c>
      <c r="J37" s="163">
        <v>0.075</v>
      </c>
      <c r="K37" s="163">
        <v>0.075</v>
      </c>
      <c r="L37" s="163">
        <v>0.075</v>
      </c>
      <c r="M37" s="163">
        <v>0.075</v>
      </c>
      <c r="N37"/>
    </row>
    <row r="38" spans="1:14" s="85" customFormat="1" ht="12.75">
      <c r="A38" s="154" t="s">
        <v>997</v>
      </c>
      <c r="B38" s="121">
        <v>0.25</v>
      </c>
      <c r="C38" s="121">
        <v>0.25</v>
      </c>
      <c r="D38" s="121">
        <v>0.25</v>
      </c>
      <c r="E38" s="121">
        <v>0.25</v>
      </c>
      <c r="F38" s="121">
        <v>0.25</v>
      </c>
      <c r="G38" s="121">
        <v>0.25</v>
      </c>
      <c r="H38" s="121">
        <v>0.25</v>
      </c>
      <c r="I38" s="121">
        <v>0.25</v>
      </c>
      <c r="J38" s="121">
        <v>0.25</v>
      </c>
      <c r="K38" s="121">
        <v>0.25</v>
      </c>
      <c r="L38" s="121">
        <v>0.25</v>
      </c>
      <c r="M38" s="121">
        <v>0.25</v>
      </c>
      <c r="N38" s="173"/>
    </row>
    <row r="39" spans="1:14" s="85" customFormat="1" ht="12.75">
      <c r="A39" s="154" t="s">
        <v>998</v>
      </c>
      <c r="B39" s="121">
        <v>0.5</v>
      </c>
      <c r="C39" s="121">
        <v>0.5</v>
      </c>
      <c r="D39" s="121">
        <v>0.5</v>
      </c>
      <c r="E39" s="121">
        <v>0.5</v>
      </c>
      <c r="F39" s="121">
        <v>0.5</v>
      </c>
      <c r="G39" s="121">
        <v>0.5</v>
      </c>
      <c r="H39" s="121">
        <v>0.5</v>
      </c>
      <c r="I39" s="121">
        <v>0.5</v>
      </c>
      <c r="J39" s="121">
        <v>0.5</v>
      </c>
      <c r="K39" s="121">
        <v>0.5</v>
      </c>
      <c r="L39" s="121">
        <v>0.5</v>
      </c>
      <c r="M39" s="121">
        <v>0.5</v>
      </c>
      <c r="N39" s="173"/>
    </row>
    <row r="40" spans="1:14" s="85" customFormat="1" ht="12.75">
      <c r="A40" s="154" t="s">
        <v>999</v>
      </c>
      <c r="B40" s="121">
        <v>0.5</v>
      </c>
      <c r="C40" s="121">
        <v>0.5</v>
      </c>
      <c r="D40" s="121">
        <v>0.5</v>
      </c>
      <c r="E40" s="121">
        <v>0.5</v>
      </c>
      <c r="F40" s="121">
        <v>0.5</v>
      </c>
      <c r="G40" s="121">
        <v>0.5</v>
      </c>
      <c r="H40" s="121">
        <v>0.5</v>
      </c>
      <c r="I40" s="121">
        <v>0.5</v>
      </c>
      <c r="J40" s="121">
        <v>0.5</v>
      </c>
      <c r="K40" s="121">
        <v>0.5</v>
      </c>
      <c r="L40" s="121">
        <v>0.5</v>
      </c>
      <c r="M40" s="121">
        <v>0.5</v>
      </c>
      <c r="N40" s="173"/>
    </row>
    <row r="41" spans="1:14" s="147" customFormat="1" ht="25.5">
      <c r="A41" s="152" t="s">
        <v>806</v>
      </c>
      <c r="B41" s="146">
        <f>SUM(B10:B40)</f>
        <v>47.825</v>
      </c>
      <c r="C41" s="146">
        <f aca="true" t="shared" si="0" ref="C41:M41">SUM(C10:C40)</f>
        <v>47.825</v>
      </c>
      <c r="D41" s="146">
        <f t="shared" si="0"/>
        <v>47.825</v>
      </c>
      <c r="E41" s="146">
        <f t="shared" si="0"/>
        <v>48.325</v>
      </c>
      <c r="F41" s="146">
        <f t="shared" si="0"/>
        <v>48.325</v>
      </c>
      <c r="G41" s="146">
        <f t="shared" si="0"/>
        <v>48.325</v>
      </c>
      <c r="H41" s="146">
        <f t="shared" si="0"/>
        <v>48.325</v>
      </c>
      <c r="I41" s="146">
        <f t="shared" si="0"/>
        <v>48.325</v>
      </c>
      <c r="J41" s="146">
        <f t="shared" si="0"/>
        <v>50.325</v>
      </c>
      <c r="K41" s="146">
        <f t="shared" si="0"/>
        <v>50.325</v>
      </c>
      <c r="L41" s="146">
        <f t="shared" si="0"/>
        <v>50.325</v>
      </c>
      <c r="M41" s="146">
        <f t="shared" si="0"/>
        <v>49.325</v>
      </c>
      <c r="N41" s="175"/>
    </row>
    <row r="42" spans="1:14" s="85" customFormat="1" ht="14.25" customHeight="1">
      <c r="A42" s="15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73"/>
    </row>
    <row r="43" spans="1:14" s="86" customFormat="1" ht="22.5" customHeight="1">
      <c r="A43" s="168" t="s">
        <v>377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3"/>
    </row>
    <row r="44" spans="1:14" s="85" customFormat="1" ht="12.75">
      <c r="A44" s="154" t="s">
        <v>431</v>
      </c>
      <c r="B44" s="121">
        <v>21</v>
      </c>
      <c r="C44" s="121">
        <v>21</v>
      </c>
      <c r="D44" s="121">
        <v>23</v>
      </c>
      <c r="E44" s="121">
        <v>23</v>
      </c>
      <c r="F44" s="121">
        <v>23</v>
      </c>
      <c r="G44" s="121">
        <v>23</v>
      </c>
      <c r="H44" s="121">
        <v>23</v>
      </c>
      <c r="I44" s="121">
        <v>23</v>
      </c>
      <c r="J44" s="121">
        <v>23</v>
      </c>
      <c r="K44" s="121">
        <v>23</v>
      </c>
      <c r="L44" s="121">
        <v>23</v>
      </c>
      <c r="M44" s="121">
        <v>23</v>
      </c>
      <c r="N44" s="173"/>
    </row>
    <row r="45" spans="1:14" s="85" customFormat="1" ht="12.75">
      <c r="A45" s="154" t="s">
        <v>778</v>
      </c>
      <c r="B45" s="121">
        <v>2</v>
      </c>
      <c r="C45" s="121">
        <v>2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73"/>
    </row>
    <row r="46" spans="1:14" s="86" customFormat="1" ht="22.5" customHeight="1">
      <c r="A46" s="168" t="s">
        <v>432</v>
      </c>
      <c r="B46" s="146">
        <f>SUM(B44:B45)</f>
        <v>23</v>
      </c>
      <c r="C46" s="146">
        <f aca="true" t="shared" si="1" ref="C46:M46">SUM(C44:C45)</f>
        <v>23</v>
      </c>
      <c r="D46" s="146">
        <f t="shared" si="1"/>
        <v>23</v>
      </c>
      <c r="E46" s="146">
        <f t="shared" si="1"/>
        <v>23</v>
      </c>
      <c r="F46" s="146">
        <f t="shared" si="1"/>
        <v>23</v>
      </c>
      <c r="G46" s="146">
        <f t="shared" si="1"/>
        <v>23</v>
      </c>
      <c r="H46" s="146">
        <f t="shared" si="1"/>
        <v>23</v>
      </c>
      <c r="I46" s="146">
        <f t="shared" si="1"/>
        <v>23</v>
      </c>
      <c r="J46" s="146">
        <f t="shared" si="1"/>
        <v>23</v>
      </c>
      <c r="K46" s="146">
        <f t="shared" si="1"/>
        <v>23</v>
      </c>
      <c r="L46" s="146">
        <f t="shared" si="1"/>
        <v>23</v>
      </c>
      <c r="M46" s="146">
        <f t="shared" si="1"/>
        <v>23</v>
      </c>
      <c r="N46" s="123"/>
    </row>
    <row r="47" spans="1:13" s="123" customFormat="1" ht="14.25" customHeight="1">
      <c r="A47" s="155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4" s="86" customFormat="1" ht="22.5" customHeight="1">
      <c r="A48" s="168" t="s">
        <v>452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3"/>
    </row>
    <row r="49" spans="1:14" s="172" customFormat="1" ht="15.75" customHeight="1">
      <c r="A49" s="169" t="s">
        <v>779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85" customFormat="1" ht="12.75">
      <c r="A50" s="154" t="s">
        <v>633</v>
      </c>
      <c r="B50" s="121">
        <v>1</v>
      </c>
      <c r="C50" s="121">
        <v>1</v>
      </c>
      <c r="D50" s="121">
        <v>1</v>
      </c>
      <c r="E50" s="121">
        <v>1</v>
      </c>
      <c r="F50" s="121">
        <v>1</v>
      </c>
      <c r="G50" s="121">
        <v>1</v>
      </c>
      <c r="H50" s="121">
        <v>1</v>
      </c>
      <c r="I50" s="121">
        <v>1</v>
      </c>
      <c r="J50" s="121">
        <v>1</v>
      </c>
      <c r="K50" s="121">
        <v>1</v>
      </c>
      <c r="L50" s="121">
        <v>1</v>
      </c>
      <c r="M50" s="121">
        <v>1</v>
      </c>
      <c r="N50" s="173"/>
    </row>
    <row r="51" spans="1:14" s="85" customFormat="1" ht="12.75">
      <c r="A51" s="156" t="s">
        <v>634</v>
      </c>
      <c r="B51" s="121">
        <v>1</v>
      </c>
      <c r="C51" s="121">
        <v>1</v>
      </c>
      <c r="D51" s="121">
        <v>1</v>
      </c>
      <c r="E51" s="121">
        <v>1</v>
      </c>
      <c r="F51" s="121">
        <v>1</v>
      </c>
      <c r="G51" s="121">
        <v>1</v>
      </c>
      <c r="H51" s="121">
        <v>1</v>
      </c>
      <c r="I51" s="121">
        <v>1</v>
      </c>
      <c r="J51" s="121">
        <v>1</v>
      </c>
      <c r="K51" s="121">
        <v>1</v>
      </c>
      <c r="L51" s="121">
        <v>1</v>
      </c>
      <c r="M51" s="121">
        <v>1</v>
      </c>
      <c r="N51" s="173"/>
    </row>
    <row r="52" spans="1:14" s="172" customFormat="1" ht="15" customHeight="1">
      <c r="A52" s="169" t="s">
        <v>783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</row>
    <row r="53" spans="1:14" s="85" customFormat="1" ht="25.5">
      <c r="A53" s="154" t="s">
        <v>839</v>
      </c>
      <c r="B53" s="121">
        <v>1</v>
      </c>
      <c r="C53" s="121">
        <v>1</v>
      </c>
      <c r="D53" s="121">
        <v>1</v>
      </c>
      <c r="E53" s="121">
        <v>1</v>
      </c>
      <c r="F53" s="121">
        <v>1</v>
      </c>
      <c r="G53" s="121">
        <v>1</v>
      </c>
      <c r="H53" s="121">
        <v>1</v>
      </c>
      <c r="I53" s="121">
        <v>1</v>
      </c>
      <c r="J53" s="121">
        <v>1</v>
      </c>
      <c r="K53" s="121">
        <v>1</v>
      </c>
      <c r="L53" s="121">
        <v>1</v>
      </c>
      <c r="M53" s="121">
        <v>1</v>
      </c>
      <c r="N53" s="173"/>
    </row>
    <row r="54" spans="1:14" s="172" customFormat="1" ht="15" customHeight="1">
      <c r="A54" s="169" t="s">
        <v>780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</row>
    <row r="55" spans="1:14" s="85" customFormat="1" ht="12.75">
      <c r="A55" s="154" t="s">
        <v>781</v>
      </c>
      <c r="B55" s="121">
        <v>1</v>
      </c>
      <c r="C55" s="121">
        <v>1</v>
      </c>
      <c r="D55" s="121">
        <v>1</v>
      </c>
      <c r="E55" s="121">
        <v>1</v>
      </c>
      <c r="F55" s="121">
        <v>1</v>
      </c>
      <c r="G55" s="121">
        <v>1</v>
      </c>
      <c r="H55" s="121">
        <v>1</v>
      </c>
      <c r="I55" s="121">
        <v>1</v>
      </c>
      <c r="J55" s="121">
        <v>1</v>
      </c>
      <c r="K55" s="121">
        <v>1</v>
      </c>
      <c r="L55" s="121">
        <v>1</v>
      </c>
      <c r="M55" s="121">
        <v>1</v>
      </c>
      <c r="N55" s="173"/>
    </row>
    <row r="56" spans="1:14" s="85" customFormat="1" ht="12.75">
      <c r="A56" s="154" t="s">
        <v>782</v>
      </c>
      <c r="B56" s="121">
        <v>1</v>
      </c>
      <c r="C56" s="121">
        <v>1</v>
      </c>
      <c r="D56" s="121">
        <v>1</v>
      </c>
      <c r="E56" s="121">
        <v>1</v>
      </c>
      <c r="F56" s="121">
        <v>1</v>
      </c>
      <c r="G56" s="121">
        <v>1</v>
      </c>
      <c r="H56" s="121">
        <v>1</v>
      </c>
      <c r="I56" s="121">
        <v>1</v>
      </c>
      <c r="J56" s="121">
        <v>1</v>
      </c>
      <c r="K56" s="121">
        <v>1</v>
      </c>
      <c r="L56" s="121">
        <v>1</v>
      </c>
      <c r="M56" s="121">
        <v>1</v>
      </c>
      <c r="N56" s="173"/>
    </row>
    <row r="57" spans="1:14" s="172" customFormat="1" ht="22.5" customHeight="1">
      <c r="A57" s="169" t="s">
        <v>362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</row>
    <row r="58" spans="1:14" s="85" customFormat="1" ht="12.75">
      <c r="A58" s="153" t="s">
        <v>363</v>
      </c>
      <c r="B58" s="121">
        <v>1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73"/>
    </row>
    <row r="59" spans="1:14" s="172" customFormat="1" ht="22.5" customHeight="1">
      <c r="A59" s="169" t="s">
        <v>364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</row>
    <row r="60" spans="1:14" s="85" customFormat="1" ht="12.75">
      <c r="A60" s="153" t="s">
        <v>365</v>
      </c>
      <c r="B60" s="163">
        <v>5</v>
      </c>
      <c r="C60" s="163">
        <v>5</v>
      </c>
      <c r="D60" s="163">
        <v>5</v>
      </c>
      <c r="E60" s="163">
        <v>5</v>
      </c>
      <c r="F60" s="163">
        <v>5</v>
      </c>
      <c r="G60" s="163">
        <v>5</v>
      </c>
      <c r="H60" s="121">
        <v>5</v>
      </c>
      <c r="I60" s="121">
        <v>5</v>
      </c>
      <c r="J60" s="121">
        <v>5</v>
      </c>
      <c r="K60" s="121">
        <v>5</v>
      </c>
      <c r="L60" s="121">
        <v>5</v>
      </c>
      <c r="M60" s="121">
        <v>5</v>
      </c>
      <c r="N60" s="173"/>
    </row>
    <row r="61" spans="1:14" ht="45.75" customHeight="1">
      <c r="A61" s="169" t="s">
        <v>972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/>
    </row>
    <row r="62" spans="1:14" ht="12.75">
      <c r="A62" s="154" t="s">
        <v>1002</v>
      </c>
      <c r="B62" s="163">
        <v>0.5</v>
      </c>
      <c r="C62" s="163">
        <v>0.5</v>
      </c>
      <c r="D62" s="163">
        <v>0.5</v>
      </c>
      <c r="E62" s="163">
        <v>0.5</v>
      </c>
      <c r="F62" s="163">
        <v>0.5</v>
      </c>
      <c r="G62" s="163">
        <v>0.5</v>
      </c>
      <c r="H62" s="163">
        <v>0.5</v>
      </c>
      <c r="I62" s="163">
        <v>0.5</v>
      </c>
      <c r="J62" s="163">
        <v>0.5</v>
      </c>
      <c r="K62" s="163">
        <v>0.5</v>
      </c>
      <c r="L62" s="163">
        <v>0.5</v>
      </c>
      <c r="M62" s="163">
        <v>0.5</v>
      </c>
      <c r="N62"/>
    </row>
    <row r="63" spans="1:14" ht="12.75">
      <c r="A63" s="154" t="s">
        <v>1003</v>
      </c>
      <c r="B63" s="163">
        <v>0.5</v>
      </c>
      <c r="C63" s="163">
        <v>0.5</v>
      </c>
      <c r="D63" s="163">
        <v>0.5</v>
      </c>
      <c r="E63" s="163">
        <v>0.5</v>
      </c>
      <c r="F63" s="163">
        <v>0.5</v>
      </c>
      <c r="G63" s="163">
        <v>0.5</v>
      </c>
      <c r="H63" s="163">
        <v>0.5</v>
      </c>
      <c r="I63" s="163">
        <v>0.5</v>
      </c>
      <c r="J63" s="163">
        <v>0.5</v>
      </c>
      <c r="K63" s="163">
        <v>0.5</v>
      </c>
      <c r="L63" s="163">
        <v>0.5</v>
      </c>
      <c r="M63" s="163">
        <v>0.5</v>
      </c>
      <c r="N63"/>
    </row>
    <row r="64" spans="1:14" ht="12.75">
      <c r="A64" s="154" t="s">
        <v>630</v>
      </c>
      <c r="B64" s="163">
        <v>1</v>
      </c>
      <c r="C64" s="163">
        <v>1</v>
      </c>
      <c r="D64" s="163">
        <v>1</v>
      </c>
      <c r="E64" s="163">
        <v>1</v>
      </c>
      <c r="F64" s="163">
        <v>1</v>
      </c>
      <c r="G64" s="163">
        <v>1</v>
      </c>
      <c r="H64" s="163">
        <v>1</v>
      </c>
      <c r="I64" s="163">
        <v>1</v>
      </c>
      <c r="J64" s="163">
        <v>1</v>
      </c>
      <c r="K64" s="163">
        <v>1</v>
      </c>
      <c r="L64" s="163">
        <v>1</v>
      </c>
      <c r="M64" s="163">
        <v>1</v>
      </c>
      <c r="N64"/>
    </row>
    <row r="65" spans="1:14" ht="12.75">
      <c r="A65" s="154" t="s">
        <v>744</v>
      </c>
      <c r="B65" s="163">
        <v>2</v>
      </c>
      <c r="C65" s="163">
        <v>2</v>
      </c>
      <c r="D65" s="163">
        <v>2</v>
      </c>
      <c r="E65" s="163">
        <v>2</v>
      </c>
      <c r="F65" s="163">
        <v>2</v>
      </c>
      <c r="G65" s="163">
        <v>2</v>
      </c>
      <c r="H65" s="163">
        <v>2</v>
      </c>
      <c r="I65" s="163">
        <v>2</v>
      </c>
      <c r="J65" s="163">
        <v>2</v>
      </c>
      <c r="K65" s="163">
        <v>2</v>
      </c>
      <c r="L65" s="163">
        <v>2</v>
      </c>
      <c r="M65" s="163">
        <v>2</v>
      </c>
      <c r="N65"/>
    </row>
    <row r="66" spans="1:14" ht="12.75">
      <c r="A66" s="154" t="s">
        <v>1004</v>
      </c>
      <c r="B66" s="163">
        <v>1</v>
      </c>
      <c r="C66" s="163">
        <v>1</v>
      </c>
      <c r="D66" s="163">
        <v>1</v>
      </c>
      <c r="E66" s="163">
        <v>1</v>
      </c>
      <c r="F66" s="163">
        <v>1</v>
      </c>
      <c r="G66" s="163">
        <v>1</v>
      </c>
      <c r="H66" s="163">
        <v>1</v>
      </c>
      <c r="I66" s="163">
        <v>1</v>
      </c>
      <c r="J66" s="163">
        <v>1</v>
      </c>
      <c r="K66" s="163">
        <v>1</v>
      </c>
      <c r="L66" s="163">
        <v>1</v>
      </c>
      <c r="M66" s="163">
        <v>1</v>
      </c>
      <c r="N66"/>
    </row>
    <row r="67" spans="1:14" ht="25.5">
      <c r="A67" s="154" t="s">
        <v>973</v>
      </c>
      <c r="B67" s="163">
        <v>0.5</v>
      </c>
      <c r="C67" s="163">
        <v>0.5</v>
      </c>
      <c r="D67" s="163">
        <v>0.5</v>
      </c>
      <c r="E67" s="163">
        <v>0.5</v>
      </c>
      <c r="F67" s="163">
        <v>0.5</v>
      </c>
      <c r="G67" s="163">
        <v>0.5</v>
      </c>
      <c r="H67" s="163">
        <v>0.5</v>
      </c>
      <c r="I67" s="163">
        <v>0.5</v>
      </c>
      <c r="J67" s="163">
        <v>0.5</v>
      </c>
      <c r="K67" s="163">
        <v>0.5</v>
      </c>
      <c r="L67" s="163">
        <v>0.5</v>
      </c>
      <c r="M67" s="163">
        <v>0.5</v>
      </c>
      <c r="N67"/>
    </row>
    <row r="68" spans="1:14" ht="27" customHeight="1">
      <c r="A68" s="154" t="s">
        <v>1005</v>
      </c>
      <c r="B68" s="163">
        <v>1.5</v>
      </c>
      <c r="C68" s="163">
        <v>1.5</v>
      </c>
      <c r="D68" s="163">
        <v>1.5</v>
      </c>
      <c r="E68" s="163">
        <v>1.5</v>
      </c>
      <c r="F68" s="163">
        <v>1.5</v>
      </c>
      <c r="G68" s="163">
        <v>1.5</v>
      </c>
      <c r="H68" s="163">
        <v>1.5</v>
      </c>
      <c r="I68" s="163">
        <v>1.5</v>
      </c>
      <c r="J68" s="163">
        <v>1.5</v>
      </c>
      <c r="K68" s="163">
        <v>1.5</v>
      </c>
      <c r="L68" s="163">
        <v>1.5</v>
      </c>
      <c r="M68" s="163">
        <v>1.5</v>
      </c>
      <c r="N68"/>
    </row>
    <row r="69" spans="1:14" ht="25.5">
      <c r="A69" s="169" t="s">
        <v>974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/>
    </row>
    <row r="70" spans="1:14" ht="12.75">
      <c r="A70" s="153" t="s">
        <v>975</v>
      </c>
      <c r="B70" s="163">
        <v>1</v>
      </c>
      <c r="C70" s="163">
        <v>1</v>
      </c>
      <c r="D70" s="163">
        <v>1</v>
      </c>
      <c r="E70" s="163">
        <v>1</v>
      </c>
      <c r="F70" s="163">
        <v>1</v>
      </c>
      <c r="G70" s="163">
        <v>1</v>
      </c>
      <c r="H70" s="163">
        <v>1</v>
      </c>
      <c r="I70" s="163">
        <v>1</v>
      </c>
      <c r="J70" s="163">
        <v>1</v>
      </c>
      <c r="K70" s="163">
        <v>1</v>
      </c>
      <c r="L70" s="163">
        <v>1</v>
      </c>
      <c r="M70" s="163">
        <v>1</v>
      </c>
      <c r="N70"/>
    </row>
    <row r="71" spans="1:14" ht="12.75">
      <c r="A71" s="153" t="s">
        <v>976</v>
      </c>
      <c r="B71" s="163">
        <v>1</v>
      </c>
      <c r="C71" s="163">
        <v>1</v>
      </c>
      <c r="D71" s="163">
        <v>1</v>
      </c>
      <c r="E71" s="163">
        <v>1</v>
      </c>
      <c r="F71" s="163">
        <v>1</v>
      </c>
      <c r="G71" s="163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1</v>
      </c>
      <c r="M71" s="163">
        <v>1</v>
      </c>
      <c r="N71"/>
    </row>
    <row r="72" spans="1:14" ht="12.75">
      <c r="A72" s="153" t="s">
        <v>977</v>
      </c>
      <c r="B72" s="163">
        <v>1</v>
      </c>
      <c r="C72" s="163">
        <v>1</v>
      </c>
      <c r="D72" s="163">
        <v>1</v>
      </c>
      <c r="E72" s="163">
        <v>1</v>
      </c>
      <c r="F72" s="163">
        <v>1</v>
      </c>
      <c r="G72" s="163">
        <v>1</v>
      </c>
      <c r="H72" s="163">
        <v>1</v>
      </c>
      <c r="I72" s="163">
        <v>1</v>
      </c>
      <c r="J72" s="163">
        <v>1</v>
      </c>
      <c r="K72" s="163">
        <v>1</v>
      </c>
      <c r="L72" s="163">
        <v>1</v>
      </c>
      <c r="M72" s="163">
        <v>1</v>
      </c>
      <c r="N72"/>
    </row>
    <row r="73" spans="1:14" ht="12.75">
      <c r="A73" s="153" t="s">
        <v>978</v>
      </c>
      <c r="B73" s="163">
        <v>1</v>
      </c>
      <c r="C73" s="163">
        <v>1</v>
      </c>
      <c r="D73" s="163">
        <v>1</v>
      </c>
      <c r="E73" s="163">
        <v>1</v>
      </c>
      <c r="F73" s="163">
        <v>1</v>
      </c>
      <c r="G73" s="163">
        <v>1</v>
      </c>
      <c r="H73" s="163">
        <v>1</v>
      </c>
      <c r="I73" s="163">
        <v>1</v>
      </c>
      <c r="J73" s="163">
        <v>1</v>
      </c>
      <c r="K73" s="163">
        <v>1</v>
      </c>
      <c r="L73" s="163">
        <v>1</v>
      </c>
      <c r="M73" s="163">
        <v>1</v>
      </c>
      <c r="N73"/>
    </row>
    <row r="74" spans="1:14" ht="12.75">
      <c r="A74" s="153" t="s">
        <v>1089</v>
      </c>
      <c r="B74" s="163">
        <v>0.5</v>
      </c>
      <c r="C74" s="163">
        <v>0.5</v>
      </c>
      <c r="D74" s="163">
        <v>0.5</v>
      </c>
      <c r="E74" s="163">
        <v>0.5</v>
      </c>
      <c r="F74" s="163">
        <v>0.5</v>
      </c>
      <c r="G74" s="163">
        <v>0.5</v>
      </c>
      <c r="H74" s="163">
        <v>0.5</v>
      </c>
      <c r="I74" s="163">
        <v>0.5</v>
      </c>
      <c r="J74" s="163">
        <v>0.5</v>
      </c>
      <c r="K74" s="163">
        <v>0.5</v>
      </c>
      <c r="L74" s="163">
        <v>0.5</v>
      </c>
      <c r="M74" s="163">
        <v>0.5</v>
      </c>
      <c r="N74"/>
    </row>
    <row r="75" spans="1:14" ht="12.75">
      <c r="A75" s="153" t="s">
        <v>1090</v>
      </c>
      <c r="B75" s="163">
        <v>2.5</v>
      </c>
      <c r="C75" s="163">
        <v>2.5</v>
      </c>
      <c r="D75" s="163">
        <v>2.5</v>
      </c>
      <c r="E75" s="163">
        <v>2.5</v>
      </c>
      <c r="F75" s="163">
        <v>2.5</v>
      </c>
      <c r="G75" s="163">
        <v>2.5</v>
      </c>
      <c r="H75" s="163">
        <v>2.5</v>
      </c>
      <c r="I75" s="163">
        <v>2.5</v>
      </c>
      <c r="J75" s="163">
        <v>2.5</v>
      </c>
      <c r="K75" s="163">
        <v>2.5</v>
      </c>
      <c r="L75" s="163">
        <v>2.5</v>
      </c>
      <c r="M75" s="163">
        <v>2.5</v>
      </c>
      <c r="N75"/>
    </row>
    <row r="76" spans="1:14" ht="25.5">
      <c r="A76" s="169" t="s">
        <v>979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/>
    </row>
    <row r="77" spans="1:13" s="858" customFormat="1" ht="12.75">
      <c r="A77" s="153" t="s">
        <v>980</v>
      </c>
      <c r="B77" s="163">
        <v>1</v>
      </c>
      <c r="C77" s="163">
        <v>1</v>
      </c>
      <c r="D77" s="163">
        <v>1</v>
      </c>
      <c r="E77" s="163">
        <v>1</v>
      </c>
      <c r="F77" s="163">
        <v>1</v>
      </c>
      <c r="G77" s="163">
        <v>1</v>
      </c>
      <c r="H77" s="163">
        <v>1</v>
      </c>
      <c r="I77" s="163">
        <v>1</v>
      </c>
      <c r="J77" s="163">
        <v>1</v>
      </c>
      <c r="K77" s="163">
        <v>1</v>
      </c>
      <c r="L77" s="163">
        <v>1</v>
      </c>
      <c r="M77" s="163">
        <v>1</v>
      </c>
    </row>
    <row r="78" spans="1:14" ht="38.25">
      <c r="A78" s="169" t="s">
        <v>981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/>
    </row>
    <row r="79" spans="1:13" s="858" customFormat="1" ht="12.75">
      <c r="A79" s="153" t="s">
        <v>1006</v>
      </c>
      <c r="B79" s="163">
        <v>0.25</v>
      </c>
      <c r="C79" s="163">
        <v>0.25</v>
      </c>
      <c r="D79" s="163">
        <v>0.25</v>
      </c>
      <c r="E79" s="163">
        <v>0.25</v>
      </c>
      <c r="F79" s="163">
        <v>0.25</v>
      </c>
      <c r="G79" s="163">
        <v>0.25</v>
      </c>
      <c r="H79" s="163">
        <v>0.25</v>
      </c>
      <c r="I79" s="163">
        <v>0.25</v>
      </c>
      <c r="J79" s="163">
        <v>0.25</v>
      </c>
      <c r="K79" s="163">
        <v>0.25</v>
      </c>
      <c r="L79" s="163">
        <v>0.25</v>
      </c>
      <c r="M79" s="163">
        <v>0.25</v>
      </c>
    </row>
    <row r="80" spans="1:13" s="858" customFormat="1" ht="12.75">
      <c r="A80" s="153" t="s">
        <v>1007</v>
      </c>
      <c r="B80" s="163">
        <v>0.5</v>
      </c>
      <c r="C80" s="163">
        <v>0.5</v>
      </c>
      <c r="D80" s="163">
        <v>0.5</v>
      </c>
      <c r="E80" s="163">
        <v>0.5</v>
      </c>
      <c r="F80" s="163">
        <v>0.5</v>
      </c>
      <c r="G80" s="163">
        <v>0.5</v>
      </c>
      <c r="H80" s="163">
        <v>0.5</v>
      </c>
      <c r="I80" s="163">
        <v>0.5</v>
      </c>
      <c r="J80" s="163">
        <v>0.5</v>
      </c>
      <c r="K80" s="163">
        <v>0.5</v>
      </c>
      <c r="L80" s="163">
        <v>0.5</v>
      </c>
      <c r="M80" s="163">
        <v>0.5</v>
      </c>
    </row>
    <row r="81" spans="1:14" ht="12.75">
      <c r="A81" s="168" t="s">
        <v>396</v>
      </c>
      <c r="B81" s="146">
        <f>SUM(B50:B80)</f>
        <v>26.75</v>
      </c>
      <c r="C81" s="146">
        <f aca="true" t="shared" si="2" ref="C81:M81">SUM(C50:C80)</f>
        <v>25.75</v>
      </c>
      <c r="D81" s="146">
        <f t="shared" si="2"/>
        <v>25.75</v>
      </c>
      <c r="E81" s="146">
        <f t="shared" si="2"/>
        <v>25.75</v>
      </c>
      <c r="F81" s="146">
        <f t="shared" si="2"/>
        <v>25.75</v>
      </c>
      <c r="G81" s="146">
        <f t="shared" si="2"/>
        <v>25.75</v>
      </c>
      <c r="H81" s="146">
        <f t="shared" si="2"/>
        <v>25.75</v>
      </c>
      <c r="I81" s="146">
        <f t="shared" si="2"/>
        <v>25.75</v>
      </c>
      <c r="J81" s="146">
        <f t="shared" si="2"/>
        <v>25.75</v>
      </c>
      <c r="K81" s="146">
        <f t="shared" si="2"/>
        <v>25.75</v>
      </c>
      <c r="L81" s="146">
        <f t="shared" si="2"/>
        <v>25.75</v>
      </c>
      <c r="M81" s="146">
        <f t="shared" si="2"/>
        <v>25.75</v>
      </c>
      <c r="N81"/>
    </row>
    <row r="82" spans="1:14" s="85" customFormat="1" ht="14.25" customHeight="1">
      <c r="A82" s="15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73"/>
    </row>
    <row r="83" spans="1:14" s="86" customFormat="1" ht="22.5" customHeight="1">
      <c r="A83" s="168" t="s">
        <v>833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3"/>
    </row>
    <row r="84" spans="1:14" s="85" customFormat="1" ht="12.75">
      <c r="A84" s="154" t="s">
        <v>784</v>
      </c>
      <c r="B84" s="121">
        <v>1</v>
      </c>
      <c r="C84" s="121">
        <v>1</v>
      </c>
      <c r="D84" s="121">
        <v>1</v>
      </c>
      <c r="E84" s="121">
        <v>1</v>
      </c>
      <c r="F84" s="121">
        <v>1</v>
      </c>
      <c r="G84" s="121">
        <v>1</v>
      </c>
      <c r="H84" s="121">
        <v>1</v>
      </c>
      <c r="I84" s="121">
        <v>1</v>
      </c>
      <c r="J84" s="121">
        <v>1</v>
      </c>
      <c r="K84" s="121">
        <v>1</v>
      </c>
      <c r="L84" s="121">
        <v>1</v>
      </c>
      <c r="M84" s="121">
        <v>1</v>
      </c>
      <c r="N84" s="173"/>
    </row>
    <row r="85" spans="1:14" s="85" customFormat="1" ht="12.75">
      <c r="A85" s="154" t="s">
        <v>785</v>
      </c>
      <c r="B85" s="121">
        <v>1</v>
      </c>
      <c r="C85" s="121">
        <v>1</v>
      </c>
      <c r="D85" s="121">
        <v>1</v>
      </c>
      <c r="E85" s="121">
        <v>1</v>
      </c>
      <c r="F85" s="121">
        <v>1</v>
      </c>
      <c r="G85" s="121">
        <v>1</v>
      </c>
      <c r="H85" s="121">
        <v>1</v>
      </c>
      <c r="I85" s="121">
        <v>1</v>
      </c>
      <c r="J85" s="121">
        <v>1</v>
      </c>
      <c r="K85" s="121">
        <v>1</v>
      </c>
      <c r="L85" s="121">
        <v>1</v>
      </c>
      <c r="M85" s="121">
        <v>1</v>
      </c>
      <c r="N85" s="173"/>
    </row>
    <row r="86" spans="1:14" s="85" customFormat="1" ht="12.75">
      <c r="A86" s="154" t="s">
        <v>786</v>
      </c>
      <c r="B86" s="121">
        <v>1</v>
      </c>
      <c r="C86" s="121">
        <v>1</v>
      </c>
      <c r="D86" s="121">
        <v>1</v>
      </c>
      <c r="E86" s="121">
        <v>1</v>
      </c>
      <c r="F86" s="121">
        <v>1</v>
      </c>
      <c r="G86" s="121">
        <v>1</v>
      </c>
      <c r="H86" s="121">
        <v>1</v>
      </c>
      <c r="I86" s="121">
        <v>1</v>
      </c>
      <c r="J86" s="121">
        <v>1</v>
      </c>
      <c r="K86" s="121">
        <v>1</v>
      </c>
      <c r="L86" s="121">
        <v>1</v>
      </c>
      <c r="M86" s="121">
        <v>1</v>
      </c>
      <c r="N86" s="173"/>
    </row>
    <row r="87" spans="1:14" s="85" customFormat="1" ht="12.75">
      <c r="A87" s="154" t="s">
        <v>787</v>
      </c>
      <c r="B87" s="121">
        <v>1</v>
      </c>
      <c r="C87" s="121">
        <v>1</v>
      </c>
      <c r="D87" s="121">
        <v>1</v>
      </c>
      <c r="E87" s="121">
        <v>1</v>
      </c>
      <c r="F87" s="121">
        <v>1</v>
      </c>
      <c r="G87" s="121">
        <v>1</v>
      </c>
      <c r="H87" s="121">
        <v>1</v>
      </c>
      <c r="I87" s="121">
        <v>1</v>
      </c>
      <c r="J87" s="121">
        <v>1</v>
      </c>
      <c r="K87" s="121">
        <v>1</v>
      </c>
      <c r="L87" s="121">
        <v>1</v>
      </c>
      <c r="M87" s="121">
        <v>1</v>
      </c>
      <c r="N87" s="173"/>
    </row>
    <row r="88" spans="1:14" ht="25.5">
      <c r="A88" s="169" t="s">
        <v>982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/>
    </row>
    <row r="89" spans="1:14" ht="12.75">
      <c r="A89" s="153" t="s">
        <v>975</v>
      </c>
      <c r="B89" s="163">
        <v>0.5</v>
      </c>
      <c r="C89" s="163">
        <v>0.5</v>
      </c>
      <c r="D89" s="163">
        <v>0.5</v>
      </c>
      <c r="E89" s="163">
        <v>0.5</v>
      </c>
      <c r="F89" s="163">
        <v>0.5</v>
      </c>
      <c r="G89" s="163">
        <v>0.5</v>
      </c>
      <c r="H89" s="163">
        <v>0.5</v>
      </c>
      <c r="I89" s="163">
        <v>0.5</v>
      </c>
      <c r="J89" s="163">
        <v>0.5</v>
      </c>
      <c r="K89" s="163">
        <v>0.5</v>
      </c>
      <c r="L89" s="163">
        <v>0.5</v>
      </c>
      <c r="M89" s="163">
        <v>0.5</v>
      </c>
      <c r="N89"/>
    </row>
    <row r="90" spans="1:14" s="86" customFormat="1" ht="30" customHeight="1">
      <c r="A90" s="152" t="s">
        <v>834</v>
      </c>
      <c r="B90" s="146">
        <f>SUM(B84:B89)</f>
        <v>4.5</v>
      </c>
      <c r="C90" s="146">
        <f aca="true" t="shared" si="3" ref="C90:M90">SUM(C84:C89)</f>
        <v>4.5</v>
      </c>
      <c r="D90" s="146">
        <f t="shared" si="3"/>
        <v>4.5</v>
      </c>
      <c r="E90" s="146">
        <f t="shared" si="3"/>
        <v>4.5</v>
      </c>
      <c r="F90" s="146">
        <f t="shared" si="3"/>
        <v>4.5</v>
      </c>
      <c r="G90" s="146">
        <f t="shared" si="3"/>
        <v>4.5</v>
      </c>
      <c r="H90" s="146">
        <f t="shared" si="3"/>
        <v>4.5</v>
      </c>
      <c r="I90" s="146">
        <f t="shared" si="3"/>
        <v>4.5</v>
      </c>
      <c r="J90" s="146">
        <f t="shared" si="3"/>
        <v>4.5</v>
      </c>
      <c r="K90" s="146">
        <f t="shared" si="3"/>
        <v>4.5</v>
      </c>
      <c r="L90" s="146">
        <f t="shared" si="3"/>
        <v>4.5</v>
      </c>
      <c r="M90" s="146">
        <f t="shared" si="3"/>
        <v>4.5</v>
      </c>
      <c r="N90" s="123"/>
    </row>
    <row r="91" spans="1:14" s="86" customFormat="1" ht="30.75" customHeight="1">
      <c r="A91" s="157" t="s">
        <v>433</v>
      </c>
      <c r="B91" s="469">
        <f aca="true" t="shared" si="4" ref="B91:M91">SUM(B90,B81,B46,B41)</f>
        <v>102.075</v>
      </c>
      <c r="C91" s="469">
        <f t="shared" si="4"/>
        <v>101.075</v>
      </c>
      <c r="D91" s="469">
        <f t="shared" si="4"/>
        <v>101.075</v>
      </c>
      <c r="E91" s="469">
        <f t="shared" si="4"/>
        <v>101.575</v>
      </c>
      <c r="F91" s="469">
        <f t="shared" si="4"/>
        <v>101.575</v>
      </c>
      <c r="G91" s="469">
        <f t="shared" si="4"/>
        <v>101.575</v>
      </c>
      <c r="H91" s="469">
        <f t="shared" si="4"/>
        <v>101.575</v>
      </c>
      <c r="I91" s="469">
        <f t="shared" si="4"/>
        <v>101.575</v>
      </c>
      <c r="J91" s="469">
        <f t="shared" si="4"/>
        <v>103.575</v>
      </c>
      <c r="K91" s="469">
        <f t="shared" si="4"/>
        <v>103.575</v>
      </c>
      <c r="L91" s="469">
        <f t="shared" si="4"/>
        <v>103.575</v>
      </c>
      <c r="M91" s="469">
        <f t="shared" si="4"/>
        <v>102.575</v>
      </c>
      <c r="N91" s="123"/>
    </row>
    <row r="92" spans="1:14" s="85" customFormat="1" ht="6" customHeight="1">
      <c r="A92" s="15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73"/>
    </row>
    <row r="93" spans="1:14" s="86" customFormat="1" ht="25.5" customHeight="1">
      <c r="A93" s="168" t="s">
        <v>361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3"/>
    </row>
    <row r="94" spans="1:14" s="611" customFormat="1" ht="42" customHeight="1">
      <c r="A94" s="608" t="s">
        <v>983</v>
      </c>
      <c r="B94" s="609"/>
      <c r="C94" s="609"/>
      <c r="D94" s="609"/>
      <c r="E94" s="609"/>
      <c r="F94" s="609"/>
      <c r="G94" s="609"/>
      <c r="H94" s="609"/>
      <c r="I94" s="609"/>
      <c r="J94" s="609"/>
      <c r="K94" s="609"/>
      <c r="L94" s="609"/>
      <c r="M94" s="609"/>
      <c r="N94" s="610"/>
    </row>
    <row r="95" spans="1:14" s="85" customFormat="1" ht="27" customHeight="1">
      <c r="A95" s="467" t="s">
        <v>788</v>
      </c>
      <c r="B95" s="468">
        <v>11</v>
      </c>
      <c r="C95" s="468">
        <v>11</v>
      </c>
      <c r="D95" s="468">
        <v>0</v>
      </c>
      <c r="E95" s="468">
        <v>0</v>
      </c>
      <c r="F95" s="468">
        <v>0</v>
      </c>
      <c r="G95" s="468">
        <v>0</v>
      </c>
      <c r="H95" s="468">
        <v>0</v>
      </c>
      <c r="I95" s="468">
        <v>0</v>
      </c>
      <c r="J95" s="468">
        <v>0</v>
      </c>
      <c r="K95" s="468">
        <v>0</v>
      </c>
      <c r="L95" s="468">
        <v>0</v>
      </c>
      <c r="M95" s="468">
        <v>0</v>
      </c>
      <c r="N95" s="173"/>
    </row>
    <row r="96" spans="1:14" s="85" customFormat="1" ht="26.25" customHeight="1">
      <c r="A96" s="467" t="s">
        <v>789</v>
      </c>
      <c r="B96" s="468">
        <v>11</v>
      </c>
      <c r="C96" s="468">
        <v>11</v>
      </c>
      <c r="D96" s="468">
        <v>0</v>
      </c>
      <c r="E96" s="468">
        <v>0</v>
      </c>
      <c r="F96" s="468">
        <v>0</v>
      </c>
      <c r="G96" s="468">
        <v>0</v>
      </c>
      <c r="H96" s="468">
        <v>0</v>
      </c>
      <c r="I96" s="468">
        <v>0</v>
      </c>
      <c r="J96" s="468">
        <v>0</v>
      </c>
      <c r="K96" s="468">
        <v>0</v>
      </c>
      <c r="L96" s="468">
        <v>0</v>
      </c>
      <c r="M96" s="468">
        <v>0</v>
      </c>
      <c r="N96" s="173"/>
    </row>
    <row r="97" spans="1:14" s="85" customFormat="1" ht="26.25" customHeight="1">
      <c r="A97" s="467" t="s">
        <v>790</v>
      </c>
      <c r="B97" s="468">
        <v>11</v>
      </c>
      <c r="C97" s="468">
        <v>11</v>
      </c>
      <c r="D97" s="468">
        <v>0</v>
      </c>
      <c r="E97" s="468">
        <v>0</v>
      </c>
      <c r="F97" s="468">
        <v>0</v>
      </c>
      <c r="G97" s="468">
        <v>0</v>
      </c>
      <c r="H97" s="468">
        <v>0</v>
      </c>
      <c r="I97" s="468">
        <v>0</v>
      </c>
      <c r="J97" s="468">
        <v>0</v>
      </c>
      <c r="K97" s="468">
        <v>0</v>
      </c>
      <c r="L97" s="468">
        <v>0</v>
      </c>
      <c r="M97" s="468">
        <v>0</v>
      </c>
      <c r="N97" s="173"/>
    </row>
    <row r="98" spans="1:14" s="85" customFormat="1" ht="30" customHeight="1">
      <c r="A98" s="467" t="s">
        <v>984</v>
      </c>
      <c r="B98" s="468">
        <v>5</v>
      </c>
      <c r="C98" s="468">
        <v>5</v>
      </c>
      <c r="D98" s="468">
        <v>0</v>
      </c>
      <c r="E98" s="468">
        <v>0</v>
      </c>
      <c r="F98" s="468">
        <v>0</v>
      </c>
      <c r="G98" s="468">
        <v>0</v>
      </c>
      <c r="H98" s="468">
        <v>0</v>
      </c>
      <c r="I98" s="468">
        <v>0</v>
      </c>
      <c r="J98" s="468">
        <v>0</v>
      </c>
      <c r="K98" s="468">
        <v>0</v>
      </c>
      <c r="L98" s="468">
        <v>0</v>
      </c>
      <c r="M98" s="468">
        <v>0</v>
      </c>
      <c r="N98" s="173"/>
    </row>
    <row r="99" spans="1:14" s="611" customFormat="1" ht="42" customHeight="1">
      <c r="A99" s="608" t="s">
        <v>985</v>
      </c>
      <c r="B99" s="609"/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10"/>
    </row>
    <row r="100" spans="1:14" s="85" customFormat="1" ht="27.75" customHeight="1">
      <c r="A100" s="467" t="s">
        <v>1008</v>
      </c>
      <c r="B100" s="468">
        <v>20</v>
      </c>
      <c r="C100" s="468">
        <v>20</v>
      </c>
      <c r="D100" s="468">
        <v>0</v>
      </c>
      <c r="E100" s="468">
        <v>0</v>
      </c>
      <c r="F100" s="468">
        <v>0</v>
      </c>
      <c r="G100" s="468">
        <v>0</v>
      </c>
      <c r="H100" s="468">
        <v>0</v>
      </c>
      <c r="I100" s="468">
        <v>0</v>
      </c>
      <c r="J100" s="468">
        <v>0</v>
      </c>
      <c r="K100" s="468">
        <v>0</v>
      </c>
      <c r="L100" s="468">
        <v>0</v>
      </c>
      <c r="M100" s="468">
        <v>0</v>
      </c>
      <c r="N100" s="173"/>
    </row>
    <row r="101" spans="1:14" s="85" customFormat="1" ht="24" customHeight="1">
      <c r="A101" s="467" t="s">
        <v>986</v>
      </c>
      <c r="B101" s="468">
        <v>23</v>
      </c>
      <c r="C101" s="468">
        <v>23</v>
      </c>
      <c r="D101" s="468">
        <v>0</v>
      </c>
      <c r="E101" s="468">
        <v>0</v>
      </c>
      <c r="F101" s="468">
        <v>0</v>
      </c>
      <c r="G101" s="468">
        <v>0</v>
      </c>
      <c r="H101" s="468">
        <v>0</v>
      </c>
      <c r="I101" s="468">
        <v>0</v>
      </c>
      <c r="J101" s="468">
        <v>0</v>
      </c>
      <c r="K101" s="468">
        <v>0</v>
      </c>
      <c r="L101" s="468">
        <v>0</v>
      </c>
      <c r="M101" s="468">
        <v>0</v>
      </c>
      <c r="N101" s="173"/>
    </row>
    <row r="102" spans="1:14" ht="38.25">
      <c r="A102" s="608" t="s">
        <v>1038</v>
      </c>
      <c r="B102" s="609"/>
      <c r="C102" s="609"/>
      <c r="D102" s="609"/>
      <c r="E102" s="609"/>
      <c r="F102" s="609"/>
      <c r="G102" s="609"/>
      <c r="H102" s="609"/>
      <c r="I102" s="609"/>
      <c r="J102" s="609"/>
      <c r="K102" s="609"/>
      <c r="L102" s="609"/>
      <c r="M102" s="609"/>
      <c r="N102"/>
    </row>
    <row r="103" spans="1:14" ht="12.75">
      <c r="A103" s="467" t="s">
        <v>1040</v>
      </c>
      <c r="B103" s="468">
        <v>0</v>
      </c>
      <c r="C103" s="468">
        <v>0</v>
      </c>
      <c r="D103" s="468">
        <v>15</v>
      </c>
      <c r="E103" s="468">
        <v>15</v>
      </c>
      <c r="F103" s="468">
        <v>15</v>
      </c>
      <c r="G103" s="468">
        <v>15</v>
      </c>
      <c r="H103" s="468">
        <v>15</v>
      </c>
      <c r="I103" s="468">
        <v>15</v>
      </c>
      <c r="J103" s="468">
        <v>15</v>
      </c>
      <c r="K103" s="468">
        <v>15</v>
      </c>
      <c r="L103" s="468">
        <v>15</v>
      </c>
      <c r="M103" s="468">
        <v>15</v>
      </c>
      <c r="N103"/>
    </row>
    <row r="104" spans="1:14" ht="25.5">
      <c r="A104" s="608" t="s">
        <v>1037</v>
      </c>
      <c r="B104" s="609"/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/>
    </row>
    <row r="105" spans="1:14" ht="12.75">
      <c r="A105" s="467" t="s">
        <v>1039</v>
      </c>
      <c r="B105" s="468">
        <v>0</v>
      </c>
      <c r="C105" s="468">
        <v>0</v>
      </c>
      <c r="D105" s="468">
        <v>48</v>
      </c>
      <c r="E105" s="468">
        <v>48</v>
      </c>
      <c r="F105" s="468">
        <v>48</v>
      </c>
      <c r="G105" s="468">
        <v>48</v>
      </c>
      <c r="H105" s="468">
        <v>48</v>
      </c>
      <c r="I105" s="468">
        <v>48</v>
      </c>
      <c r="J105" s="468">
        <v>48</v>
      </c>
      <c r="K105" s="468">
        <v>48</v>
      </c>
      <c r="L105" s="468">
        <v>48</v>
      </c>
      <c r="M105" s="468">
        <v>48</v>
      </c>
      <c r="N105"/>
    </row>
    <row r="106" spans="1:14" s="86" customFormat="1" ht="32.25" customHeight="1">
      <c r="A106" s="157" t="s">
        <v>525</v>
      </c>
      <c r="B106" s="469">
        <f>SUM(B94:B105)</f>
        <v>81</v>
      </c>
      <c r="C106" s="469">
        <f aca="true" t="shared" si="5" ref="C106:M106">SUM(C94:C105)</f>
        <v>81</v>
      </c>
      <c r="D106" s="469">
        <f t="shared" si="5"/>
        <v>63</v>
      </c>
      <c r="E106" s="469">
        <f t="shared" si="5"/>
        <v>63</v>
      </c>
      <c r="F106" s="469">
        <f t="shared" si="5"/>
        <v>63</v>
      </c>
      <c r="G106" s="469">
        <f t="shared" si="5"/>
        <v>63</v>
      </c>
      <c r="H106" s="469">
        <f t="shared" si="5"/>
        <v>63</v>
      </c>
      <c r="I106" s="469">
        <f t="shared" si="5"/>
        <v>63</v>
      </c>
      <c r="J106" s="469">
        <f t="shared" si="5"/>
        <v>63</v>
      </c>
      <c r="K106" s="469">
        <f t="shared" si="5"/>
        <v>63</v>
      </c>
      <c r="L106" s="469">
        <f t="shared" si="5"/>
        <v>63</v>
      </c>
      <c r="M106" s="469">
        <f t="shared" si="5"/>
        <v>63</v>
      </c>
      <c r="N106" s="123"/>
    </row>
    <row r="107" spans="1:13" s="918" customFormat="1" ht="10.5" customHeight="1">
      <c r="A107" s="1276"/>
      <c r="B107" s="1277"/>
      <c r="C107" s="1277"/>
      <c r="D107" s="1277"/>
      <c r="E107" s="1277"/>
      <c r="F107" s="1277"/>
      <c r="G107" s="1277"/>
      <c r="H107" s="1277"/>
      <c r="I107" s="1277"/>
      <c r="J107" s="1277"/>
      <c r="K107" s="1277"/>
      <c r="L107" s="1277"/>
      <c r="M107" s="1278"/>
    </row>
    <row r="108" spans="1:14" s="86" customFormat="1" ht="22.5" customHeight="1">
      <c r="A108" s="1279" t="s">
        <v>1062</v>
      </c>
      <c r="B108" s="1280"/>
      <c r="C108" s="1280"/>
      <c r="D108" s="1280"/>
      <c r="E108" s="1280"/>
      <c r="F108" s="1280"/>
      <c r="G108" s="1280"/>
      <c r="H108" s="1280"/>
      <c r="I108" s="1280"/>
      <c r="J108" s="1280"/>
      <c r="K108" s="1280"/>
      <c r="L108" s="1280"/>
      <c r="M108" s="1281"/>
      <c r="N108" s="123"/>
    </row>
    <row r="109" spans="1:14" s="921" customFormat="1" ht="28.5" customHeight="1">
      <c r="A109" s="922" t="s">
        <v>768</v>
      </c>
      <c r="B109" s="923">
        <v>0</v>
      </c>
      <c r="C109" s="923">
        <v>0</v>
      </c>
      <c r="D109" s="923">
        <v>0</v>
      </c>
      <c r="E109" s="923">
        <v>0</v>
      </c>
      <c r="F109" s="923">
        <v>0</v>
      </c>
      <c r="G109" s="923">
        <v>0</v>
      </c>
      <c r="H109" s="923">
        <v>6</v>
      </c>
      <c r="I109" s="923">
        <v>5</v>
      </c>
      <c r="J109" s="923">
        <v>0</v>
      </c>
      <c r="K109" s="923">
        <v>0</v>
      </c>
      <c r="L109" s="923">
        <v>0</v>
      </c>
      <c r="M109" s="923">
        <v>0</v>
      </c>
      <c r="N109" s="924"/>
    </row>
    <row r="110" spans="1:14" s="921" customFormat="1" ht="22.5" customHeight="1">
      <c r="A110" s="922" t="s">
        <v>833</v>
      </c>
      <c r="B110" s="923">
        <v>0</v>
      </c>
      <c r="C110" s="923">
        <v>0</v>
      </c>
      <c r="D110" s="923">
        <v>0</v>
      </c>
      <c r="E110" s="923">
        <v>0</v>
      </c>
      <c r="F110" s="923">
        <v>0</v>
      </c>
      <c r="G110" s="923">
        <v>0</v>
      </c>
      <c r="H110" s="923">
        <v>1</v>
      </c>
      <c r="I110" s="923">
        <v>1</v>
      </c>
      <c r="J110" s="923">
        <v>0</v>
      </c>
      <c r="K110" s="923">
        <v>0</v>
      </c>
      <c r="L110" s="923">
        <v>0</v>
      </c>
      <c r="M110" s="923">
        <v>0</v>
      </c>
      <c r="N110" s="924"/>
    </row>
    <row r="111" spans="1:14" s="147" customFormat="1" ht="32.25" customHeight="1">
      <c r="A111" s="925" t="s">
        <v>1082</v>
      </c>
      <c r="B111" s="469">
        <f>SUM(B109:B110)</f>
        <v>0</v>
      </c>
      <c r="C111" s="469">
        <f aca="true" t="shared" si="6" ref="C111:M111">SUM(C109:C110)</f>
        <v>0</v>
      </c>
      <c r="D111" s="469">
        <f t="shared" si="6"/>
        <v>0</v>
      </c>
      <c r="E111" s="469">
        <f t="shared" si="6"/>
        <v>0</v>
      </c>
      <c r="F111" s="469">
        <f t="shared" si="6"/>
        <v>0</v>
      </c>
      <c r="G111" s="469">
        <f t="shared" si="6"/>
        <v>0</v>
      </c>
      <c r="H111" s="469">
        <f t="shared" si="6"/>
        <v>7</v>
      </c>
      <c r="I111" s="469">
        <f t="shared" si="6"/>
        <v>6</v>
      </c>
      <c r="J111" s="469">
        <f t="shared" si="6"/>
        <v>0</v>
      </c>
      <c r="K111" s="469">
        <f t="shared" si="6"/>
        <v>0</v>
      </c>
      <c r="L111" s="469">
        <f t="shared" si="6"/>
        <v>0</v>
      </c>
      <c r="M111" s="469">
        <f t="shared" si="6"/>
        <v>0</v>
      </c>
      <c r="N111" s="175"/>
    </row>
  </sheetData>
  <sheetProtection/>
  <mergeCells count="5">
    <mergeCell ref="A4:M4"/>
    <mergeCell ref="A5:M5"/>
    <mergeCell ref="A6:M6"/>
    <mergeCell ref="A107:M107"/>
    <mergeCell ref="A108:M108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2" r:id="rId1"/>
  <rowBreaks count="2" manualBreakCount="2">
    <brk id="41" max="12" man="1"/>
    <brk id="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96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25390625" style="88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1019" t="s">
        <v>1184</v>
      </c>
      <c r="D1" s="1290"/>
      <c r="E1" s="87"/>
    </row>
    <row r="2" spans="3:5" ht="15">
      <c r="C2" s="6"/>
      <c r="D2" s="162"/>
      <c r="E2" s="87"/>
    </row>
    <row r="3" spans="2:4" ht="15.75">
      <c r="B3" s="1291" t="s">
        <v>911</v>
      </c>
      <c r="C3" s="1291"/>
      <c r="D3" s="1291"/>
    </row>
    <row r="4" spans="2:4" ht="15">
      <c r="B4" s="180"/>
      <c r="C4" s="180"/>
      <c r="D4" s="180"/>
    </row>
    <row r="5" ht="15.75" thickBot="1">
      <c r="D5" s="6"/>
    </row>
    <row r="6" spans="1:4" s="4" customFormat="1" ht="14.25">
      <c r="A6" s="1286" t="s">
        <v>445</v>
      </c>
      <c r="B6" s="1292" t="s">
        <v>366</v>
      </c>
      <c r="C6" s="1293"/>
      <c r="D6" s="7" t="s">
        <v>379</v>
      </c>
    </row>
    <row r="7" spans="1:4" s="105" customFormat="1" ht="12">
      <c r="A7" s="1287"/>
      <c r="B7" s="1282" t="s">
        <v>439</v>
      </c>
      <c r="C7" s="1282"/>
      <c r="D7" s="104" t="s">
        <v>440</v>
      </c>
    </row>
    <row r="8" spans="1:4" s="4" customFormat="1" ht="14.25">
      <c r="A8" s="111">
        <v>1</v>
      </c>
      <c r="B8" s="106" t="s">
        <v>372</v>
      </c>
      <c r="C8" s="11"/>
      <c r="D8" s="313"/>
    </row>
    <row r="9" spans="1:4" s="13" customFormat="1" ht="15">
      <c r="A9" s="111">
        <v>2</v>
      </c>
      <c r="B9" s="107" t="s">
        <v>452</v>
      </c>
      <c r="C9" s="12"/>
      <c r="D9" s="314"/>
    </row>
    <row r="10" spans="1:4" ht="27.75" customHeight="1">
      <c r="A10" s="111">
        <v>3</v>
      </c>
      <c r="B10" s="90" t="s">
        <v>380</v>
      </c>
      <c r="C10" s="149" t="s">
        <v>916</v>
      </c>
      <c r="D10" s="670">
        <f>252435231-23410448</f>
        <v>229024783</v>
      </c>
    </row>
    <row r="11" spans="1:4" ht="33" customHeight="1">
      <c r="A11" s="111">
        <v>4</v>
      </c>
      <c r="B11" s="90" t="s">
        <v>380</v>
      </c>
      <c r="C11" s="149" t="s">
        <v>917</v>
      </c>
      <c r="D11" s="670">
        <f>196302400-196950</f>
        <v>196105450</v>
      </c>
    </row>
    <row r="12" spans="1:4" ht="27.75" customHeight="1">
      <c r="A12" s="111">
        <v>5</v>
      </c>
      <c r="B12" s="90" t="s">
        <v>380</v>
      </c>
      <c r="C12" s="149" t="s">
        <v>918</v>
      </c>
      <c r="D12" s="670">
        <v>429750000</v>
      </c>
    </row>
    <row r="13" spans="1:4" ht="27.75" customHeight="1">
      <c r="A13" s="111">
        <v>6</v>
      </c>
      <c r="B13" s="90" t="s">
        <v>380</v>
      </c>
      <c r="C13" s="149" t="s">
        <v>743</v>
      </c>
      <c r="D13" s="670">
        <v>12223750</v>
      </c>
    </row>
    <row r="14" spans="1:4" ht="18.75" customHeight="1">
      <c r="A14" s="111">
        <v>7</v>
      </c>
      <c r="B14" s="90" t="s">
        <v>380</v>
      </c>
      <c r="C14" s="149" t="s">
        <v>1120</v>
      </c>
      <c r="D14" s="670">
        <v>4500000</v>
      </c>
    </row>
    <row r="15" spans="1:4" ht="18.75" customHeight="1">
      <c r="A15" s="111">
        <v>8</v>
      </c>
      <c r="B15" s="90" t="s">
        <v>380</v>
      </c>
      <c r="C15" s="149" t="s">
        <v>919</v>
      </c>
      <c r="D15" s="670">
        <v>106361800</v>
      </c>
    </row>
    <row r="16" spans="1:4" ht="18.75" customHeight="1">
      <c r="A16" s="111">
        <v>9</v>
      </c>
      <c r="B16" s="90" t="s">
        <v>380</v>
      </c>
      <c r="C16" s="149" t="s">
        <v>1095</v>
      </c>
      <c r="D16" s="670">
        <v>1077031</v>
      </c>
    </row>
    <row r="17" spans="1:4" ht="18.75" customHeight="1">
      <c r="A17" s="111">
        <v>10</v>
      </c>
      <c r="B17" s="90" t="s">
        <v>380</v>
      </c>
      <c r="C17" s="149" t="s">
        <v>1165</v>
      </c>
      <c r="D17" s="670">
        <v>600000</v>
      </c>
    </row>
    <row r="18" spans="1:4" ht="18.75" customHeight="1">
      <c r="A18" s="111">
        <v>11</v>
      </c>
      <c r="B18" s="90" t="s">
        <v>380</v>
      </c>
      <c r="C18" s="149" t="s">
        <v>913</v>
      </c>
      <c r="D18" s="670">
        <f>289870-106606</f>
        <v>183264</v>
      </c>
    </row>
    <row r="19" spans="1:4" ht="18.75" customHeight="1">
      <c r="A19" s="111">
        <v>12</v>
      </c>
      <c r="B19" s="90" t="s">
        <v>380</v>
      </c>
      <c r="C19" s="149" t="s">
        <v>1041</v>
      </c>
      <c r="D19" s="670">
        <v>138684</v>
      </c>
    </row>
    <row r="20" spans="1:4" ht="36" customHeight="1">
      <c r="A20" s="111">
        <v>13</v>
      </c>
      <c r="B20" s="90" t="s">
        <v>380</v>
      </c>
      <c r="C20" s="149" t="s">
        <v>921</v>
      </c>
      <c r="D20" s="670">
        <v>510500</v>
      </c>
    </row>
    <row r="21" spans="1:4" ht="27.75" customHeight="1">
      <c r="A21" s="111">
        <v>14</v>
      </c>
      <c r="B21" s="90" t="s">
        <v>380</v>
      </c>
      <c r="C21" s="149" t="s">
        <v>1121</v>
      </c>
      <c r="D21" s="670">
        <v>6223000</v>
      </c>
    </row>
    <row r="22" spans="1:4" ht="20.25" customHeight="1">
      <c r="A22" s="111">
        <v>15</v>
      </c>
      <c r="B22" s="90" t="s">
        <v>380</v>
      </c>
      <c r="C22" s="149" t="s">
        <v>1122</v>
      </c>
      <c r="D22" s="670">
        <v>600000</v>
      </c>
    </row>
    <row r="23" spans="1:4" ht="27.75" customHeight="1">
      <c r="A23" s="111">
        <v>16</v>
      </c>
      <c r="B23" s="90" t="s">
        <v>380</v>
      </c>
      <c r="C23" s="149" t="s">
        <v>925</v>
      </c>
      <c r="D23" s="670">
        <v>700000</v>
      </c>
    </row>
    <row r="24" spans="1:4" ht="21" customHeight="1">
      <c r="A24" s="111">
        <v>17</v>
      </c>
      <c r="B24" s="90" t="s">
        <v>380</v>
      </c>
      <c r="C24" s="149" t="s">
        <v>1123</v>
      </c>
      <c r="D24" s="670">
        <v>11411381</v>
      </c>
    </row>
    <row r="25" spans="1:4" ht="21" customHeight="1">
      <c r="A25" s="111">
        <v>18</v>
      </c>
      <c r="B25" s="90" t="s">
        <v>380</v>
      </c>
      <c r="C25" s="149" t="s">
        <v>1124</v>
      </c>
      <c r="D25" s="670">
        <f>4797591+1205767</f>
        <v>6003358</v>
      </c>
    </row>
    <row r="26" spans="1:4" ht="21" customHeight="1">
      <c r="A26" s="111">
        <v>19</v>
      </c>
      <c r="B26" s="90" t="s">
        <v>380</v>
      </c>
      <c r="C26" s="149" t="s">
        <v>1125</v>
      </c>
      <c r="D26" s="670">
        <v>779383</v>
      </c>
    </row>
    <row r="27" spans="1:4" ht="28.5" customHeight="1">
      <c r="A27" s="111">
        <v>20</v>
      </c>
      <c r="B27" s="90" t="s">
        <v>380</v>
      </c>
      <c r="C27" s="149" t="s">
        <v>920</v>
      </c>
      <c r="D27" s="670">
        <v>6400548</v>
      </c>
    </row>
    <row r="28" spans="1:4" ht="28.5" customHeight="1">
      <c r="A28" s="111">
        <v>21</v>
      </c>
      <c r="B28" s="90" t="s">
        <v>380</v>
      </c>
      <c r="C28" s="149" t="s">
        <v>1011</v>
      </c>
      <c r="D28" s="670">
        <v>1000000</v>
      </c>
    </row>
    <row r="29" spans="1:4" ht="20.25" customHeight="1">
      <c r="A29" s="111">
        <v>22</v>
      </c>
      <c r="B29" s="90" t="s">
        <v>380</v>
      </c>
      <c r="C29" s="149" t="s">
        <v>1126</v>
      </c>
      <c r="D29" s="670">
        <v>620000</v>
      </c>
    </row>
    <row r="30" spans="1:4" ht="30">
      <c r="A30" s="111">
        <v>23</v>
      </c>
      <c r="B30" s="90" t="s">
        <v>380</v>
      </c>
      <c r="C30" s="149" t="s">
        <v>1166</v>
      </c>
      <c r="D30" s="670">
        <v>1578000</v>
      </c>
    </row>
    <row r="31" spans="1:4" ht="21" customHeight="1">
      <c r="A31" s="111">
        <v>24</v>
      </c>
      <c r="B31" s="90" t="s">
        <v>380</v>
      </c>
      <c r="C31" s="149" t="s">
        <v>1167</v>
      </c>
      <c r="D31" s="670">
        <v>109120</v>
      </c>
    </row>
    <row r="32" spans="1:4" ht="21" customHeight="1">
      <c r="A32" s="111">
        <v>25</v>
      </c>
      <c r="B32" s="90" t="s">
        <v>380</v>
      </c>
      <c r="C32" s="149" t="s">
        <v>1168</v>
      </c>
      <c r="D32" s="670">
        <v>87249</v>
      </c>
    </row>
    <row r="33" spans="1:4" ht="21" customHeight="1">
      <c r="A33" s="111">
        <v>26</v>
      </c>
      <c r="B33" s="90" t="s">
        <v>380</v>
      </c>
      <c r="C33" s="149" t="s">
        <v>1097</v>
      </c>
      <c r="D33" s="670">
        <v>764084</v>
      </c>
    </row>
    <row r="34" spans="1:4" ht="21" customHeight="1">
      <c r="A34" s="111">
        <v>27</v>
      </c>
      <c r="B34" s="90" t="s">
        <v>380</v>
      </c>
      <c r="C34" s="149" t="s">
        <v>1098</v>
      </c>
      <c r="D34" s="670">
        <v>12976</v>
      </c>
    </row>
    <row r="35" spans="1:4" ht="21" customHeight="1">
      <c r="A35" s="111">
        <v>28</v>
      </c>
      <c r="B35" s="90" t="s">
        <v>380</v>
      </c>
      <c r="C35" s="149" t="s">
        <v>1099</v>
      </c>
      <c r="D35" s="670">
        <v>162937</v>
      </c>
    </row>
    <row r="36" spans="1:4" ht="43.5" customHeight="1">
      <c r="A36" s="111">
        <v>29</v>
      </c>
      <c r="B36" s="964" t="s">
        <v>380</v>
      </c>
      <c r="C36" s="961" t="s">
        <v>1169</v>
      </c>
      <c r="D36" s="670">
        <f>367914+12700</f>
        <v>380614</v>
      </c>
    </row>
    <row r="37" spans="1:4" ht="21" customHeight="1">
      <c r="A37" s="111">
        <v>30</v>
      </c>
      <c r="B37" s="90" t="s">
        <v>380</v>
      </c>
      <c r="C37" s="149" t="s">
        <v>1145</v>
      </c>
      <c r="D37" s="670">
        <v>66600</v>
      </c>
    </row>
    <row r="38" spans="1:4" ht="30">
      <c r="A38" s="111">
        <v>31</v>
      </c>
      <c r="B38" s="90" t="s">
        <v>380</v>
      </c>
      <c r="C38" s="149" t="s">
        <v>1100</v>
      </c>
      <c r="D38" s="670">
        <v>228000</v>
      </c>
    </row>
    <row r="39" spans="1:4" s="37" customFormat="1" ht="15">
      <c r="A39" s="111">
        <v>32</v>
      </c>
      <c r="B39" s="90"/>
      <c r="C39" s="15" t="s">
        <v>396</v>
      </c>
      <c r="D39" s="315">
        <f>SUM(D10:D38)</f>
        <v>1017602512</v>
      </c>
    </row>
    <row r="40" spans="1:4" s="37" customFormat="1" ht="15">
      <c r="A40" s="111">
        <v>33</v>
      </c>
      <c r="B40" s="1283" t="s">
        <v>377</v>
      </c>
      <c r="C40" s="1284"/>
      <c r="D40" s="1285"/>
    </row>
    <row r="41" spans="1:4" ht="18.75" customHeight="1">
      <c r="A41" s="111">
        <v>34</v>
      </c>
      <c r="B41" s="90" t="s">
        <v>380</v>
      </c>
      <c r="C41" s="149" t="s">
        <v>1127</v>
      </c>
      <c r="D41" s="670">
        <v>1016000</v>
      </c>
    </row>
    <row r="42" spans="1:4" ht="18.75" customHeight="1">
      <c r="A42" s="111">
        <v>35</v>
      </c>
      <c r="B42" s="90" t="s">
        <v>380</v>
      </c>
      <c r="C42" s="149" t="s">
        <v>1147</v>
      </c>
      <c r="D42" s="670">
        <v>226270</v>
      </c>
    </row>
    <row r="43" spans="1:4" ht="18.75" customHeight="1">
      <c r="A43" s="111">
        <v>36</v>
      </c>
      <c r="B43" s="90" t="s">
        <v>380</v>
      </c>
      <c r="C43" s="149" t="s">
        <v>1150</v>
      </c>
      <c r="D43" s="670">
        <v>40565</v>
      </c>
    </row>
    <row r="44" spans="1:4" s="37" customFormat="1" ht="15">
      <c r="A44" s="111">
        <v>37</v>
      </c>
      <c r="B44" s="148"/>
      <c r="C44" s="15" t="s">
        <v>505</v>
      </c>
      <c r="D44" s="315">
        <f>SUM(D41:D43)</f>
        <v>1282835</v>
      </c>
    </row>
    <row r="45" spans="1:4" s="37" customFormat="1" ht="15">
      <c r="A45" s="111">
        <v>38</v>
      </c>
      <c r="B45" s="1283" t="s">
        <v>833</v>
      </c>
      <c r="C45" s="1284"/>
      <c r="D45" s="1285"/>
    </row>
    <row r="46" spans="1:4" ht="18.75" customHeight="1">
      <c r="A46" s="111">
        <v>39</v>
      </c>
      <c r="B46" s="90" t="s">
        <v>380</v>
      </c>
      <c r="C46" s="149" t="s">
        <v>1128</v>
      </c>
      <c r="D46" s="670">
        <f>635000-575190</f>
        <v>59810</v>
      </c>
    </row>
    <row r="47" spans="1:4" ht="18.75" customHeight="1">
      <c r="A47" s="111">
        <v>40</v>
      </c>
      <c r="B47" s="90" t="s">
        <v>380</v>
      </c>
      <c r="C47" s="149" t="s">
        <v>1129</v>
      </c>
      <c r="D47" s="670">
        <v>2497100</v>
      </c>
    </row>
    <row r="48" spans="1:4" ht="18.75" customHeight="1">
      <c r="A48" s="111">
        <v>41</v>
      </c>
      <c r="B48" s="90" t="s">
        <v>380</v>
      </c>
      <c r="C48" s="149" t="s">
        <v>1130</v>
      </c>
      <c r="D48" s="670">
        <f>783939-17605</f>
        <v>766334</v>
      </c>
    </row>
    <row r="49" spans="1:4" s="37" customFormat="1" ht="15">
      <c r="A49" s="111">
        <v>42</v>
      </c>
      <c r="B49" s="148"/>
      <c r="C49" s="15" t="s">
        <v>834</v>
      </c>
      <c r="D49" s="315">
        <f>SUM(D46:D48)</f>
        <v>3323244</v>
      </c>
    </row>
    <row r="50" spans="1:4" s="37" customFormat="1" ht="15">
      <c r="A50" s="111">
        <v>43</v>
      </c>
      <c r="B50" s="1283" t="s">
        <v>768</v>
      </c>
      <c r="C50" s="1284"/>
      <c r="D50" s="1285"/>
    </row>
    <row r="51" spans="1:4" ht="60">
      <c r="A51" s="111">
        <v>44</v>
      </c>
      <c r="B51" s="90" t="s">
        <v>380</v>
      </c>
      <c r="C51" s="790" t="s">
        <v>1170</v>
      </c>
      <c r="D51" s="670">
        <f>552450+592498-108966+374909+119050</f>
        <v>1529941</v>
      </c>
    </row>
    <row r="52" spans="1:4" ht="30">
      <c r="A52" s="111">
        <v>45</v>
      </c>
      <c r="B52" s="90" t="s">
        <v>380</v>
      </c>
      <c r="C52" s="790" t="s">
        <v>1171</v>
      </c>
      <c r="D52" s="670">
        <f>152400+46143-39624+49820+139700</f>
        <v>348439</v>
      </c>
    </row>
    <row r="53" spans="1:4" ht="30">
      <c r="A53" s="111">
        <v>46</v>
      </c>
      <c r="B53" s="90" t="s">
        <v>380</v>
      </c>
      <c r="C53" s="790" t="s">
        <v>1151</v>
      </c>
      <c r="D53" s="670">
        <f>241300-69342</f>
        <v>171958</v>
      </c>
    </row>
    <row r="54" spans="1:4" ht="18.75" customHeight="1">
      <c r="A54" s="111">
        <v>47</v>
      </c>
      <c r="B54" s="90" t="s">
        <v>380</v>
      </c>
      <c r="C54" s="149" t="s">
        <v>1152</v>
      </c>
      <c r="D54" s="670">
        <f>92889+34940</f>
        <v>127829</v>
      </c>
    </row>
    <row r="55" spans="1:4" ht="18.75" customHeight="1">
      <c r="A55" s="111">
        <v>48</v>
      </c>
      <c r="B55" s="90" t="s">
        <v>380</v>
      </c>
      <c r="C55" s="149" t="s">
        <v>1081</v>
      </c>
      <c r="D55" s="670">
        <v>36576</v>
      </c>
    </row>
    <row r="56" spans="1:4" s="37" customFormat="1" ht="15">
      <c r="A56" s="111">
        <v>49</v>
      </c>
      <c r="B56" s="148"/>
      <c r="C56" s="15" t="s">
        <v>1009</v>
      </c>
      <c r="D56" s="315">
        <f>SUM(D51:D55)</f>
        <v>2214743</v>
      </c>
    </row>
    <row r="57" spans="1:4" s="4" customFormat="1" ht="15" thickBot="1">
      <c r="A57" s="112">
        <v>50</v>
      </c>
      <c r="B57" s="16" t="s">
        <v>369</v>
      </c>
      <c r="C57" s="16"/>
      <c r="D57" s="316">
        <f>SUM(D56+D49+D44+D39)</f>
        <v>1024423334</v>
      </c>
    </row>
    <row r="58" spans="1:4" ht="15">
      <c r="A58" s="566">
        <v>51</v>
      </c>
      <c r="B58" s="1288" t="s">
        <v>378</v>
      </c>
      <c r="C58" s="1288"/>
      <c r="D58" s="1289"/>
    </row>
    <row r="59" spans="1:4" s="13" customFormat="1" ht="15">
      <c r="A59" s="111">
        <v>52</v>
      </c>
      <c r="B59" s="124" t="s">
        <v>452</v>
      </c>
      <c r="C59" s="14"/>
      <c r="D59" s="8"/>
    </row>
    <row r="60" spans="1:4" ht="18.75" customHeight="1">
      <c r="A60" s="111">
        <v>53</v>
      </c>
      <c r="B60" s="90" t="s">
        <v>380</v>
      </c>
      <c r="C60" s="149" t="s">
        <v>613</v>
      </c>
      <c r="D60" s="670">
        <v>500000</v>
      </c>
    </row>
    <row r="61" spans="1:4" ht="18.75" customHeight="1">
      <c r="A61" s="111">
        <v>54</v>
      </c>
      <c r="B61" s="90" t="s">
        <v>380</v>
      </c>
      <c r="C61" s="149" t="s">
        <v>1131</v>
      </c>
      <c r="D61" s="670">
        <v>7850000</v>
      </c>
    </row>
    <row r="62" spans="1:4" ht="18.75" customHeight="1">
      <c r="A62" s="111">
        <v>55</v>
      </c>
      <c r="B62" s="90" t="s">
        <v>380</v>
      </c>
      <c r="C62" s="149" t="s">
        <v>1094</v>
      </c>
      <c r="D62" s="670">
        <v>16000000</v>
      </c>
    </row>
    <row r="63" spans="1:4" ht="19.5" customHeight="1">
      <c r="A63" s="111">
        <v>56</v>
      </c>
      <c r="B63" s="90" t="s">
        <v>380</v>
      </c>
      <c r="C63" s="149" t="s">
        <v>1146</v>
      </c>
      <c r="D63" s="670">
        <v>12662400</v>
      </c>
    </row>
    <row r="64" spans="1:4" s="37" customFormat="1" ht="29.25" customHeight="1">
      <c r="A64" s="111">
        <v>57</v>
      </c>
      <c r="B64" s="90" t="s">
        <v>380</v>
      </c>
      <c r="C64" s="149" t="s">
        <v>915</v>
      </c>
      <c r="D64" s="670">
        <v>47550000</v>
      </c>
    </row>
    <row r="65" spans="1:4" s="37" customFormat="1" ht="45">
      <c r="A65" s="111">
        <v>58</v>
      </c>
      <c r="B65" s="90" t="s">
        <v>380</v>
      </c>
      <c r="C65" s="149" t="s">
        <v>1066</v>
      </c>
      <c r="D65" s="670">
        <v>829010</v>
      </c>
    </row>
    <row r="66" spans="1:4" s="37" customFormat="1" ht="29.25" customHeight="1">
      <c r="A66" s="111">
        <v>59</v>
      </c>
      <c r="B66" s="90" t="s">
        <v>380</v>
      </c>
      <c r="C66" s="149" t="s">
        <v>923</v>
      </c>
      <c r="D66" s="670">
        <v>6575332</v>
      </c>
    </row>
    <row r="67" spans="1:4" ht="19.5" customHeight="1">
      <c r="A67" s="111">
        <v>60</v>
      </c>
      <c r="B67" s="90" t="s">
        <v>380</v>
      </c>
      <c r="C67" s="149" t="s">
        <v>922</v>
      </c>
      <c r="D67" s="670">
        <v>97606050</v>
      </c>
    </row>
    <row r="68" spans="1:4" s="37" customFormat="1" ht="29.25" customHeight="1">
      <c r="A68" s="111">
        <v>61</v>
      </c>
      <c r="B68" s="90" t="s">
        <v>380</v>
      </c>
      <c r="C68" s="149" t="s">
        <v>927</v>
      </c>
      <c r="D68" s="670">
        <v>522139</v>
      </c>
    </row>
    <row r="69" spans="1:4" ht="25.5" customHeight="1">
      <c r="A69" s="111">
        <v>62</v>
      </c>
      <c r="B69" s="90" t="s">
        <v>380</v>
      </c>
      <c r="C69" s="149" t="s">
        <v>924</v>
      </c>
      <c r="D69" s="670">
        <f>6462419-4816519-1300460</f>
        <v>345440</v>
      </c>
    </row>
    <row r="70" spans="1:4" ht="18.75" customHeight="1">
      <c r="A70" s="111">
        <v>63</v>
      </c>
      <c r="B70" s="90" t="s">
        <v>380</v>
      </c>
      <c r="C70" s="149" t="s">
        <v>926</v>
      </c>
      <c r="D70" s="670">
        <f>19957013-228000</f>
        <v>19729013</v>
      </c>
    </row>
    <row r="71" spans="1:4" ht="30">
      <c r="A71" s="111">
        <v>64</v>
      </c>
      <c r="B71" s="90" t="s">
        <v>380</v>
      </c>
      <c r="C71" s="149" t="s">
        <v>1132</v>
      </c>
      <c r="D71" s="670">
        <f>1600000+29999998</f>
        <v>31599998</v>
      </c>
    </row>
    <row r="72" spans="1:4" ht="18" customHeight="1">
      <c r="A72" s="111">
        <v>65</v>
      </c>
      <c r="B72" s="90" t="s">
        <v>380</v>
      </c>
      <c r="C72" s="149" t="s">
        <v>1096</v>
      </c>
      <c r="D72" s="670">
        <v>152749</v>
      </c>
    </row>
    <row r="73" spans="1:4" s="13" customFormat="1" ht="15">
      <c r="A73" s="111">
        <v>66</v>
      </c>
      <c r="B73" s="109"/>
      <c r="C73" s="5" t="s">
        <v>396</v>
      </c>
      <c r="D73" s="317">
        <f>SUM(D58:D72)</f>
        <v>241922131</v>
      </c>
    </row>
    <row r="74" spans="1:4" s="37" customFormat="1" ht="12.75" customHeight="1">
      <c r="A74" s="111">
        <v>67</v>
      </c>
      <c r="B74" s="1283" t="s">
        <v>768</v>
      </c>
      <c r="C74" s="1284"/>
      <c r="D74" s="1285"/>
    </row>
    <row r="75" spans="1:4" ht="18.75" customHeight="1">
      <c r="A75" s="111">
        <v>68</v>
      </c>
      <c r="B75" s="90" t="s">
        <v>380</v>
      </c>
      <c r="C75" s="149" t="s">
        <v>1172</v>
      </c>
      <c r="D75" s="670">
        <v>273095</v>
      </c>
    </row>
    <row r="76" spans="1:4" s="37" customFormat="1" ht="15">
      <c r="A76" s="111">
        <v>69</v>
      </c>
      <c r="B76" s="917"/>
      <c r="C76" s="15" t="s">
        <v>1009</v>
      </c>
      <c r="D76" s="315">
        <f>SUM(D75)</f>
        <v>273095</v>
      </c>
    </row>
    <row r="77" spans="1:4" s="37" customFormat="1" ht="12.75" customHeight="1">
      <c r="A77" s="111">
        <v>70</v>
      </c>
      <c r="B77" s="1283" t="s">
        <v>377</v>
      </c>
      <c r="C77" s="1284"/>
      <c r="D77" s="1285"/>
    </row>
    <row r="78" spans="1:4" ht="18.75" customHeight="1">
      <c r="A78" s="111">
        <v>71</v>
      </c>
      <c r="B78" s="90" t="s">
        <v>380</v>
      </c>
      <c r="C78" s="149" t="s">
        <v>1148</v>
      </c>
      <c r="D78" s="670">
        <v>41339</v>
      </c>
    </row>
    <row r="79" spans="1:4" s="37" customFormat="1" ht="15">
      <c r="A79" s="111">
        <v>72</v>
      </c>
      <c r="B79" s="917"/>
      <c r="C79" s="15" t="s">
        <v>1149</v>
      </c>
      <c r="D79" s="315">
        <f>SUM(D78:D78)</f>
        <v>41339</v>
      </c>
    </row>
    <row r="80" spans="1:4" ht="15.75" thickBot="1">
      <c r="A80" s="112">
        <v>73</v>
      </c>
      <c r="B80" s="108" t="s">
        <v>369</v>
      </c>
      <c r="C80" s="16"/>
      <c r="D80" s="318">
        <f>SUM(D73+D76+D79)</f>
        <v>242236565</v>
      </c>
    </row>
    <row r="81" spans="1:4" ht="15">
      <c r="A81" s="111">
        <v>74</v>
      </c>
      <c r="B81" s="1288" t="s">
        <v>110</v>
      </c>
      <c r="C81" s="1288"/>
      <c r="D81" s="1289"/>
    </row>
    <row r="82" spans="1:4" s="13" customFormat="1" ht="15">
      <c r="A82" s="111">
        <v>75</v>
      </c>
      <c r="B82" s="17" t="s">
        <v>452</v>
      </c>
      <c r="C82" s="14"/>
      <c r="D82" s="9"/>
    </row>
    <row r="83" spans="1:4" s="37" customFormat="1" ht="20.25" customHeight="1">
      <c r="A83" s="111">
        <v>76</v>
      </c>
      <c r="B83" s="90" t="s">
        <v>380</v>
      </c>
      <c r="C83" s="149" t="s">
        <v>435</v>
      </c>
      <c r="D83" s="671">
        <f>449520+72900</f>
        <v>522420</v>
      </c>
    </row>
    <row r="84" spans="1:4" ht="18.75" customHeight="1">
      <c r="A84" s="111">
        <v>77</v>
      </c>
      <c r="B84" s="90" t="s">
        <v>380</v>
      </c>
      <c r="C84" s="149" t="s">
        <v>914</v>
      </c>
      <c r="D84" s="670">
        <f>5000000+5000000</f>
        <v>10000000</v>
      </c>
    </row>
    <row r="85" spans="1:4" s="4" customFormat="1" ht="15" thickBot="1">
      <c r="A85" s="112">
        <v>78</v>
      </c>
      <c r="B85" s="18" t="s">
        <v>369</v>
      </c>
      <c r="C85" s="16"/>
      <c r="D85" s="319">
        <f>SUM(D83:D84)</f>
        <v>10522420</v>
      </c>
    </row>
    <row r="86" spans="1:4" ht="15" hidden="1">
      <c r="A86" s="566">
        <v>45</v>
      </c>
      <c r="B86" s="1288" t="s">
        <v>436</v>
      </c>
      <c r="C86" s="1288"/>
      <c r="D86" s="1289"/>
    </row>
    <row r="87" spans="1:4" s="13" customFormat="1" ht="15" hidden="1">
      <c r="A87" s="111">
        <v>46</v>
      </c>
      <c r="B87" s="90"/>
      <c r="C87" s="20"/>
      <c r="D87" s="19"/>
    </row>
    <row r="88" spans="1:4" s="4" customFormat="1" ht="15" hidden="1" thickBot="1">
      <c r="A88" s="111">
        <v>47</v>
      </c>
      <c r="B88" s="18" t="s">
        <v>369</v>
      </c>
      <c r="C88" s="16"/>
      <c r="D88" s="10">
        <f>SUM(D87:D87)</f>
        <v>0</v>
      </c>
    </row>
    <row r="89" spans="1:4" ht="15">
      <c r="A89" s="111">
        <v>79</v>
      </c>
      <c r="B89" s="1288" t="s">
        <v>437</v>
      </c>
      <c r="C89" s="1288"/>
      <c r="D89" s="1289"/>
    </row>
    <row r="90" spans="1:4" ht="15">
      <c r="A90" s="111">
        <v>80</v>
      </c>
      <c r="B90" s="17" t="s">
        <v>452</v>
      </c>
      <c r="C90" s="103"/>
      <c r="D90" s="102"/>
    </row>
    <row r="91" spans="1:4" s="37" customFormat="1" ht="30" customHeight="1">
      <c r="A91" s="111">
        <v>81</v>
      </c>
      <c r="B91" s="90" t="s">
        <v>380</v>
      </c>
      <c r="C91" s="149" t="s">
        <v>1173</v>
      </c>
      <c r="D91" s="671">
        <v>15055017</v>
      </c>
    </row>
    <row r="92" spans="1:4" s="37" customFormat="1" ht="20.25" customHeight="1">
      <c r="A92" s="966">
        <v>82</v>
      </c>
      <c r="B92" s="90" t="s">
        <v>380</v>
      </c>
      <c r="C92" s="967" t="s">
        <v>1153</v>
      </c>
      <c r="D92" s="968">
        <v>4841519</v>
      </c>
    </row>
    <row r="93" spans="1:4" s="4" customFormat="1" ht="15" thickBot="1">
      <c r="A93" s="112">
        <v>83</v>
      </c>
      <c r="B93" s="18" t="s">
        <v>369</v>
      </c>
      <c r="C93" s="16"/>
      <c r="D93" s="319">
        <f>SUM(D91:D92)</f>
        <v>19896536</v>
      </c>
    </row>
    <row r="94" spans="1:4" ht="21" customHeight="1" thickBot="1">
      <c r="A94" s="112">
        <v>84</v>
      </c>
      <c r="B94" s="110" t="s">
        <v>370</v>
      </c>
      <c r="C94" s="18"/>
      <c r="D94" s="319">
        <f>SUM(D93+D85+D80+D57)</f>
        <v>1297078855</v>
      </c>
    </row>
    <row r="96" ht="15">
      <c r="H96" s="89"/>
    </row>
  </sheetData>
  <sheetProtection/>
  <mergeCells count="14">
    <mergeCell ref="B89:D89"/>
    <mergeCell ref="B74:D74"/>
    <mergeCell ref="B50:D50"/>
    <mergeCell ref="C1:D1"/>
    <mergeCell ref="B81:D81"/>
    <mergeCell ref="B3:D3"/>
    <mergeCell ref="B6:C6"/>
    <mergeCell ref="B58:D58"/>
    <mergeCell ref="B7:C7"/>
    <mergeCell ref="B40:D40"/>
    <mergeCell ref="B45:D45"/>
    <mergeCell ref="B77:D77"/>
    <mergeCell ref="A6:A7"/>
    <mergeCell ref="B86:D8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2020-02-13T16:02:18Z</cp:lastPrinted>
  <dcterms:created xsi:type="dcterms:W3CDTF">2001-11-30T10:27:10Z</dcterms:created>
  <dcterms:modified xsi:type="dcterms:W3CDTF">2020-02-13T16:02:25Z</dcterms:modified>
  <cp:category/>
  <cp:version/>
  <cp:contentType/>
  <cp:contentStatus/>
</cp:coreProperties>
</file>