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752" firstSheet="18" activeTab="20"/>
  </bookViews>
  <sheets>
    <sheet name="Tart.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9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1" r:id="rId26"/>
    <sheet name="12.b Tételes mód PH " sheetId="58" r:id="rId27"/>
    <sheet name="12.c Tételes mód. Óvoda " sheetId="53" r:id="rId28"/>
    <sheet name="12.d Tételes mód. BBK" sheetId="54" r:id="rId29"/>
    <sheet name="12.e Konszolidált módosítás" sheetId="56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5" hidden="1">'12.a Tételes mód ÖNK'!$A$4:$AG$49</definedName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ÖNK'!$2:$4</definedName>
    <definedName name="_xlnm.Print_Titles" localSheetId="26">'12.b Tételes mód PH '!$2:$4</definedName>
    <definedName name="_xlnm.Print_Titles" localSheetId="28">'12.d Tételes mód. BBK'!$2:$4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7">'12.c Tételes mód. Óvoda '!$A$1:$AD$13</definedName>
    <definedName name="_xlnm.Print_Area" localSheetId="28">'12.d Tételes mód. BBK'!$A$1:$AC$14</definedName>
    <definedName name="_xlnm.Print_Area" localSheetId="2">'2.mell. Mérleg'!$A$1:$H$28</definedName>
    <definedName name="onev" localSheetId="7">[2]kod!$BT$34:$BT$3184</definedName>
    <definedName name="onev">[3]kod!$BT$34:$BT$3184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D73" i="19"/>
  <c r="O23" i="30"/>
  <c r="P19"/>
  <c r="P20"/>
  <c r="F34"/>
  <c r="F31"/>
  <c r="O32"/>
  <c r="M31"/>
  <c r="M28"/>
  <c r="M27"/>
  <c r="M8"/>
  <c r="H7"/>
  <c r="D18" i="20"/>
  <c r="E17"/>
  <c r="E18" s="1"/>
  <c r="E55" i="19"/>
  <c r="E56"/>
  <c r="E57"/>
  <c r="E58"/>
  <c r="E59"/>
  <c r="E60"/>
  <c r="E61"/>
  <c r="E62"/>
  <c r="E63"/>
  <c r="E64"/>
  <c r="E65"/>
  <c r="E66"/>
  <c r="E67"/>
  <c r="E68"/>
  <c r="E69"/>
  <c r="E70"/>
  <c r="F43" i="59"/>
  <c r="J44" l="1"/>
  <c r="J45"/>
  <c r="I44"/>
  <c r="I45"/>
  <c r="H44"/>
  <c r="H45"/>
  <c r="E46"/>
  <c r="F46"/>
  <c r="C46"/>
  <c r="D44"/>
  <c r="D45"/>
  <c r="I40"/>
  <c r="C45"/>
  <c r="H41"/>
  <c r="H42"/>
  <c r="H43"/>
  <c r="I41"/>
  <c r="I42"/>
  <c r="I43"/>
  <c r="F37"/>
  <c r="D42"/>
  <c r="J42" s="1"/>
  <c r="D43"/>
  <c r="C27"/>
  <c r="E27"/>
  <c r="E28" s="1"/>
  <c r="F27"/>
  <c r="C21"/>
  <c r="D21"/>
  <c r="E21"/>
  <c r="F21"/>
  <c r="C24"/>
  <c r="E24"/>
  <c r="F24"/>
  <c r="C16"/>
  <c r="E16"/>
  <c r="F16"/>
  <c r="G43"/>
  <c r="J43" s="1"/>
  <c r="J66"/>
  <c r="H66"/>
  <c r="E45"/>
  <c r="G45" s="1"/>
  <c r="B45"/>
  <c r="D41"/>
  <c r="J41" s="1"/>
  <c r="H40"/>
  <c r="D40"/>
  <c r="J40" s="1"/>
  <c r="I39"/>
  <c r="H39"/>
  <c r="D39"/>
  <c r="J39" s="1"/>
  <c r="I38"/>
  <c r="H38"/>
  <c r="D38"/>
  <c r="J38" s="1"/>
  <c r="I37"/>
  <c r="E37"/>
  <c r="H37" s="1"/>
  <c r="D37"/>
  <c r="J36"/>
  <c r="I36"/>
  <c r="H36"/>
  <c r="G36"/>
  <c r="J35"/>
  <c r="I35"/>
  <c r="H35"/>
  <c r="G35"/>
  <c r="J34"/>
  <c r="I34"/>
  <c r="H34"/>
  <c r="G34"/>
  <c r="I33"/>
  <c r="H33"/>
  <c r="G33"/>
  <c r="J33" s="1"/>
  <c r="I32"/>
  <c r="H32"/>
  <c r="G32"/>
  <c r="J32" s="1"/>
  <c r="I31"/>
  <c r="H31"/>
  <c r="G31"/>
  <c r="J31" s="1"/>
  <c r="J30"/>
  <c r="I30"/>
  <c r="H30"/>
  <c r="G30"/>
  <c r="J29"/>
  <c r="I29"/>
  <c r="H29"/>
  <c r="G29"/>
  <c r="B27"/>
  <c r="I26"/>
  <c r="H26"/>
  <c r="D26"/>
  <c r="J26" s="1"/>
  <c r="I25"/>
  <c r="H25"/>
  <c r="G25"/>
  <c r="G27" s="1"/>
  <c r="D25"/>
  <c r="B24"/>
  <c r="I23"/>
  <c r="H23"/>
  <c r="G23"/>
  <c r="D23"/>
  <c r="J23" s="1"/>
  <c r="I22"/>
  <c r="I24" s="1"/>
  <c r="H22"/>
  <c r="H24" s="1"/>
  <c r="G22"/>
  <c r="G24" s="1"/>
  <c r="D22"/>
  <c r="J22" s="1"/>
  <c r="J24" s="1"/>
  <c r="B21"/>
  <c r="I20"/>
  <c r="H20"/>
  <c r="G20"/>
  <c r="D20"/>
  <c r="I19"/>
  <c r="H19"/>
  <c r="H21" s="1"/>
  <c r="G19"/>
  <c r="G21" s="1"/>
  <c r="D19"/>
  <c r="I18"/>
  <c r="H18"/>
  <c r="G18"/>
  <c r="D18"/>
  <c r="I17"/>
  <c r="H17"/>
  <c r="G17"/>
  <c r="D17"/>
  <c r="B16"/>
  <c r="I15"/>
  <c r="H15"/>
  <c r="G15"/>
  <c r="D15"/>
  <c r="I14"/>
  <c r="H14"/>
  <c r="H16" s="1"/>
  <c r="G14"/>
  <c r="G16" s="1"/>
  <c r="D14"/>
  <c r="J14" s="1"/>
  <c r="E13"/>
  <c r="B13"/>
  <c r="B46" s="1"/>
  <c r="I12"/>
  <c r="H12"/>
  <c r="G12"/>
  <c r="D12"/>
  <c r="J12" s="1"/>
  <c r="I11"/>
  <c r="H11"/>
  <c r="G11"/>
  <c r="D11"/>
  <c r="J11" s="1"/>
  <c r="I10"/>
  <c r="H10"/>
  <c r="G10"/>
  <c r="D10"/>
  <c r="J10" s="1"/>
  <c r="I9"/>
  <c r="H9"/>
  <c r="G9"/>
  <c r="D9"/>
  <c r="J9" s="1"/>
  <c r="I8"/>
  <c r="H8"/>
  <c r="G8"/>
  <c r="D8"/>
  <c r="J8" s="1"/>
  <c r="I7"/>
  <c r="H7"/>
  <c r="G7"/>
  <c r="D7"/>
  <c r="J7" s="1"/>
  <c r="I6"/>
  <c r="H6"/>
  <c r="G6"/>
  <c r="D6"/>
  <c r="J6" s="1"/>
  <c r="I5"/>
  <c r="H5"/>
  <c r="G5"/>
  <c r="D5"/>
  <c r="J5" s="1"/>
  <c r="I4"/>
  <c r="H4"/>
  <c r="G4"/>
  <c r="D4"/>
  <c r="J4" s="1"/>
  <c r="I3"/>
  <c r="H3"/>
  <c r="G3"/>
  <c r="G13" s="1"/>
  <c r="D3"/>
  <c r="G46" l="1"/>
  <c r="H13"/>
  <c r="H46"/>
  <c r="I13"/>
  <c r="I46" s="1"/>
  <c r="D13"/>
  <c r="D46" s="1"/>
  <c r="G28"/>
  <c r="G37"/>
  <c r="J18"/>
  <c r="J20"/>
  <c r="B28"/>
  <c r="H27"/>
  <c r="F28"/>
  <c r="I21"/>
  <c r="I16"/>
  <c r="J25"/>
  <c r="J27" s="1"/>
  <c r="J37"/>
  <c r="I27"/>
  <c r="D27"/>
  <c r="H28"/>
  <c r="C28"/>
  <c r="D24"/>
  <c r="D16"/>
  <c r="J17"/>
  <c r="J15"/>
  <c r="J16" s="1"/>
  <c r="J19"/>
  <c r="J21" s="1"/>
  <c r="J3"/>
  <c r="J13" s="1"/>
  <c r="J46" s="1"/>
  <c r="I28" l="1"/>
  <c r="D28"/>
  <c r="J28"/>
  <c r="D4" i="45" l="1"/>
  <c r="D5"/>
  <c r="D6"/>
  <c r="D7"/>
  <c r="D3"/>
  <c r="C42" i="43"/>
  <c r="B42"/>
  <c r="G25" i="18"/>
  <c r="F25"/>
  <c r="H26"/>
  <c r="H25" s="1"/>
  <c r="B27"/>
  <c r="E10" i="58"/>
  <c r="F5" i="51"/>
  <c r="D80" i="9"/>
  <c r="Z47" i="41"/>
  <c r="Z52"/>
  <c r="K47" i="15"/>
  <c r="N29"/>
  <c r="E39" i="12"/>
  <c r="T5" i="54"/>
  <c r="U5" i="53"/>
  <c r="E13"/>
  <c r="F13"/>
  <c r="G13"/>
  <c r="H13"/>
  <c r="I13"/>
  <c r="J13"/>
  <c r="K13"/>
  <c r="L13"/>
  <c r="M13"/>
  <c r="N13"/>
  <c r="O13"/>
  <c r="P13"/>
  <c r="Q13"/>
  <c r="R13"/>
  <c r="S13"/>
  <c r="T13"/>
  <c r="X10"/>
  <c r="D10"/>
  <c r="D13" s="1"/>
  <c r="K49" i="51"/>
  <c r="D49" l="1"/>
  <c r="D34" i="41" l="1"/>
  <c r="E34"/>
  <c r="F34"/>
  <c r="D31"/>
  <c r="E31"/>
  <c r="F31"/>
  <c r="D32"/>
  <c r="E32"/>
  <c r="F32"/>
  <c r="D33"/>
  <c r="E33"/>
  <c r="F33"/>
  <c r="D30"/>
  <c r="E30"/>
  <c r="F30"/>
  <c r="E29"/>
  <c r="J8" i="56"/>
  <c r="H8"/>
  <c r="G8"/>
  <c r="D8"/>
  <c r="E8"/>
  <c r="I8"/>
  <c r="V13" i="53"/>
  <c r="U8" i="56" s="1"/>
  <c r="W13" i="53"/>
  <c r="V8" i="56" s="1"/>
  <c r="X13" i="53"/>
  <c r="W8" i="56" s="1"/>
  <c r="Y13" i="53"/>
  <c r="Y8" i="56" s="1"/>
  <c r="Z13" i="53"/>
  <c r="Z8" i="56" s="1"/>
  <c r="AA13" i="53"/>
  <c r="AC8" i="56" s="1"/>
  <c r="AB13" i="53"/>
  <c r="AD8" i="56" s="1"/>
  <c r="AC13" i="53"/>
  <c r="AF8" i="56" s="1"/>
  <c r="C8"/>
  <c r="E13" i="54"/>
  <c r="F13"/>
  <c r="G13"/>
  <c r="H13"/>
  <c r="I13"/>
  <c r="J13"/>
  <c r="K13"/>
  <c r="L13"/>
  <c r="M13"/>
  <c r="N13"/>
  <c r="O13"/>
  <c r="P13"/>
  <c r="Q13"/>
  <c r="R13"/>
  <c r="S13"/>
  <c r="U13"/>
  <c r="V13"/>
  <c r="W13"/>
  <c r="X13"/>
  <c r="Y13"/>
  <c r="Z13"/>
  <c r="AA13"/>
  <c r="AB13"/>
  <c r="D13"/>
  <c r="C13"/>
  <c r="O10" i="58" l="1"/>
  <c r="D10"/>
  <c r="AF7" i="56"/>
  <c r="AD7"/>
  <c r="AC7"/>
  <c r="AA7"/>
  <c r="Z7"/>
  <c r="Y7"/>
  <c r="U7"/>
  <c r="K7"/>
  <c r="J7"/>
  <c r="H7"/>
  <c r="G7"/>
  <c r="E7"/>
  <c r="H27" i="16" l="1"/>
  <c r="N21"/>
  <c r="AF104" i="7"/>
  <c r="AE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G104"/>
  <c r="F103"/>
  <c r="E103"/>
  <c r="D103"/>
  <c r="E35" i="41"/>
  <c r="K14" i="8" s="1"/>
  <c r="F35" i="41"/>
  <c r="L14" i="8" s="1"/>
  <c r="D35" i="41"/>
  <c r="J14" i="8" s="1"/>
  <c r="D21" i="17"/>
  <c r="E21"/>
  <c r="E22"/>
  <c r="D22"/>
  <c r="C27" i="18" s="1"/>
  <c r="H5" i="16"/>
  <c r="S30" i="41"/>
  <c r="AF49"/>
  <c r="Q46"/>
  <c r="K25" i="8"/>
  <c r="L25"/>
  <c r="J25"/>
  <c r="E7" i="1"/>
  <c r="D51" i="9"/>
  <c r="D53"/>
  <c r="D41" i="43"/>
  <c r="C31"/>
  <c r="D30"/>
  <c r="D28"/>
  <c r="D29"/>
  <c r="C19" i="30" l="1"/>
  <c r="D27" i="18"/>
  <c r="N48" i="40"/>
  <c r="N49"/>
  <c r="N50"/>
  <c r="M47"/>
  <c r="M48"/>
  <c r="M49"/>
  <c r="M50"/>
  <c r="L47"/>
  <c r="L48"/>
  <c r="L49"/>
  <c r="L50"/>
  <c r="G51"/>
  <c r="H47"/>
  <c r="H48"/>
  <c r="H49"/>
  <c r="H50"/>
  <c r="E46"/>
  <c r="E47"/>
  <c r="E48"/>
  <c r="E49"/>
  <c r="E50"/>
  <c r="F30" i="1"/>
  <c r="F31"/>
  <c r="F32"/>
  <c r="O19" i="6"/>
  <c r="O20"/>
  <c r="O21"/>
  <c r="O22"/>
  <c r="O23"/>
  <c r="O24"/>
  <c r="O18"/>
  <c r="D38"/>
  <c r="E38"/>
  <c r="F38"/>
  <c r="D39"/>
  <c r="E39"/>
  <c r="F39"/>
  <c r="D40"/>
  <c r="E40"/>
  <c r="D41"/>
  <c r="E41"/>
  <c r="F41"/>
  <c r="D42"/>
  <c r="E42"/>
  <c r="F42"/>
  <c r="D43"/>
  <c r="E43"/>
  <c r="F43"/>
  <c r="D44"/>
  <c r="E44"/>
  <c r="F44"/>
  <c r="E37"/>
  <c r="F37"/>
  <c r="D37"/>
  <c r="D12"/>
  <c r="E12"/>
  <c r="D13"/>
  <c r="E13"/>
  <c r="F13"/>
  <c r="D14"/>
  <c r="D15"/>
  <c r="E15"/>
  <c r="D16"/>
  <c r="E16"/>
  <c r="D17"/>
  <c r="D18"/>
  <c r="E18"/>
  <c r="F18"/>
  <c r="D19"/>
  <c r="E19"/>
  <c r="F19"/>
  <c r="D20"/>
  <c r="E20"/>
  <c r="F20"/>
  <c r="D21"/>
  <c r="E21"/>
  <c r="F21"/>
  <c r="D22"/>
  <c r="E22"/>
  <c r="F22"/>
  <c r="D23"/>
  <c r="E23"/>
  <c r="D24"/>
  <c r="E24"/>
  <c r="D25"/>
  <c r="D26"/>
  <c r="E26"/>
  <c r="D27"/>
  <c r="E27"/>
  <c r="F27"/>
  <c r="D28"/>
  <c r="D29"/>
  <c r="E29"/>
  <c r="D30"/>
  <c r="E30"/>
  <c r="F30"/>
  <c r="D31"/>
  <c r="E31"/>
  <c r="F31"/>
  <c r="D32"/>
  <c r="E32"/>
  <c r="F32"/>
  <c r="D33"/>
  <c r="E33"/>
  <c r="F33"/>
  <c r="D34"/>
  <c r="D35"/>
  <c r="E11"/>
  <c r="D11"/>
  <c r="E9"/>
  <c r="D9"/>
  <c r="D6"/>
  <c r="E6"/>
  <c r="D7"/>
  <c r="E5"/>
  <c r="D5"/>
  <c r="D66" i="41"/>
  <c r="AJ64"/>
  <c r="F64"/>
  <c r="E64"/>
  <c r="D64"/>
  <c r="D47"/>
  <c r="E47"/>
  <c r="D48"/>
  <c r="E48"/>
  <c r="F48"/>
  <c r="D49"/>
  <c r="E49"/>
  <c r="D50"/>
  <c r="E50"/>
  <c r="F50"/>
  <c r="D51"/>
  <c r="E51"/>
  <c r="F51"/>
  <c r="D52"/>
  <c r="E52"/>
  <c r="E46"/>
  <c r="D46"/>
  <c r="AH53"/>
  <c r="AI59"/>
  <c r="AJ58"/>
  <c r="AJ57"/>
  <c r="AJ56"/>
  <c r="AJ55"/>
  <c r="AJ59" s="1"/>
  <c r="AI53"/>
  <c r="AJ52"/>
  <c r="AJ51"/>
  <c r="AJ50"/>
  <c r="AJ49"/>
  <c r="AJ48"/>
  <c r="AJ47"/>
  <c r="AJ46"/>
  <c r="AJ34"/>
  <c r="AJ35" s="1"/>
  <c r="AI34"/>
  <c r="AI35" s="1"/>
  <c r="AJ28"/>
  <c r="AI28"/>
  <c r="AJ25"/>
  <c r="AI25"/>
  <c r="AJ17"/>
  <c r="AI17"/>
  <c r="AJ14"/>
  <c r="AI14"/>
  <c r="D29"/>
  <c r="AD30"/>
  <c r="AD31"/>
  <c r="AD32"/>
  <c r="AD33"/>
  <c r="AD29"/>
  <c r="AD19"/>
  <c r="AD20"/>
  <c r="AD21"/>
  <c r="AD22"/>
  <c r="F22" s="1"/>
  <c r="AD23"/>
  <c r="AD24"/>
  <c r="F24" s="1"/>
  <c r="AD18"/>
  <c r="R29"/>
  <c r="F29" s="1"/>
  <c r="D19"/>
  <c r="E19"/>
  <c r="F19"/>
  <c r="D20"/>
  <c r="E20"/>
  <c r="F20"/>
  <c r="D21"/>
  <c r="E21"/>
  <c r="D22"/>
  <c r="E22"/>
  <c r="D23"/>
  <c r="E23"/>
  <c r="F23"/>
  <c r="D24"/>
  <c r="E24"/>
  <c r="E18"/>
  <c r="F18"/>
  <c r="D18"/>
  <c r="R19"/>
  <c r="R20"/>
  <c r="R21"/>
  <c r="R22"/>
  <c r="R23"/>
  <c r="R24"/>
  <c r="R18"/>
  <c r="I19"/>
  <c r="I20"/>
  <c r="I21"/>
  <c r="I22"/>
  <c r="I23"/>
  <c r="I24"/>
  <c r="I18"/>
  <c r="AG97" i="7"/>
  <c r="AG98"/>
  <c r="U13"/>
  <c r="U14"/>
  <c r="U12"/>
  <c r="I17"/>
  <c r="I16"/>
  <c r="H26"/>
  <c r="I24"/>
  <c r="L21"/>
  <c r="L22"/>
  <c r="L23"/>
  <c r="L24"/>
  <c r="L25"/>
  <c r="R26"/>
  <c r="R23"/>
  <c r="R24"/>
  <c r="R25"/>
  <c r="G36"/>
  <c r="G35"/>
  <c r="I31"/>
  <c r="T34" i="41"/>
  <c r="S34"/>
  <c r="S35" s="1"/>
  <c r="U30"/>
  <c r="U34" s="1"/>
  <c r="I10" i="7"/>
  <c r="H8"/>
  <c r="G8"/>
  <c r="I7"/>
  <c r="I6"/>
  <c r="N47" i="40" l="1"/>
  <c r="AI66" i="41"/>
  <c r="AJ53"/>
  <c r="AJ66" s="1"/>
  <c r="I8" i="7"/>
  <c r="AF63"/>
  <c r="AE63"/>
  <c r="D26" i="9" l="1"/>
  <c r="C26"/>
  <c r="E80"/>
  <c r="E79"/>
  <c r="D15" i="45"/>
  <c r="AC6" i="54"/>
  <c r="AC7"/>
  <c r="AC8"/>
  <c r="AC9"/>
  <c r="AC10"/>
  <c r="AC11"/>
  <c r="AC12"/>
  <c r="AC5"/>
  <c r="T6"/>
  <c r="T7"/>
  <c r="T8"/>
  <c r="T9"/>
  <c r="T10"/>
  <c r="T11"/>
  <c r="T12"/>
  <c r="AD13"/>
  <c r="U5" i="51"/>
  <c r="F22"/>
  <c r="N22"/>
  <c r="F16"/>
  <c r="U16" s="1"/>
  <c r="F15"/>
  <c r="U15" s="1"/>
  <c r="AG6"/>
  <c r="AG7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U7"/>
  <c r="U9"/>
  <c r="U10"/>
  <c r="U11"/>
  <c r="U12"/>
  <c r="U13"/>
  <c r="U14"/>
  <c r="U17"/>
  <c r="U18"/>
  <c r="U19"/>
  <c r="U20"/>
  <c r="U21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AG8"/>
  <c r="N8"/>
  <c r="U8" s="1"/>
  <c r="U6"/>
  <c r="AD12" i="53"/>
  <c r="U12"/>
  <c r="AD11"/>
  <c r="U11"/>
  <c r="AD10"/>
  <c r="U10"/>
  <c r="AD9"/>
  <c r="U9"/>
  <c r="AD8"/>
  <c r="U8"/>
  <c r="AD7"/>
  <c r="U7"/>
  <c r="AD6"/>
  <c r="U6"/>
  <c r="R52" i="12"/>
  <c r="L52"/>
  <c r="I45"/>
  <c r="R48"/>
  <c r="R47"/>
  <c r="R46"/>
  <c r="R45"/>
  <c r="R44"/>
  <c r="R43"/>
  <c r="R42"/>
  <c r="R41"/>
  <c r="L42"/>
  <c r="L43"/>
  <c r="L44"/>
  <c r="L45"/>
  <c r="L46"/>
  <c r="L47"/>
  <c r="L48"/>
  <c r="L41"/>
  <c r="O35"/>
  <c r="O36"/>
  <c r="O37"/>
  <c r="O38"/>
  <c r="O39"/>
  <c r="O40"/>
  <c r="O41"/>
  <c r="O42"/>
  <c r="O43"/>
  <c r="O44"/>
  <c r="O45"/>
  <c r="O46"/>
  <c r="O47"/>
  <c r="O48"/>
  <c r="O34"/>
  <c r="O21"/>
  <c r="O22"/>
  <c r="O20"/>
  <c r="R28"/>
  <c r="R29"/>
  <c r="R30"/>
  <c r="R31"/>
  <c r="O28"/>
  <c r="O29"/>
  <c r="O30"/>
  <c r="O31"/>
  <c r="I28"/>
  <c r="I29"/>
  <c r="I30"/>
  <c r="I31"/>
  <c r="L8"/>
  <c r="R6"/>
  <c r="R7"/>
  <c r="R8"/>
  <c r="R9"/>
  <c r="R10"/>
  <c r="R11"/>
  <c r="R12"/>
  <c r="R13"/>
  <c r="R14"/>
  <c r="R15"/>
  <c r="R16"/>
  <c r="R17"/>
  <c r="R18"/>
  <c r="O6"/>
  <c r="O7"/>
  <c r="O8"/>
  <c r="O9"/>
  <c r="O10"/>
  <c r="O11"/>
  <c r="O12"/>
  <c r="O13"/>
  <c r="O14"/>
  <c r="O15"/>
  <c r="O16"/>
  <c r="O17"/>
  <c r="O18"/>
  <c r="I6"/>
  <c r="I7"/>
  <c r="I8"/>
  <c r="I9"/>
  <c r="I10"/>
  <c r="I11"/>
  <c r="I12"/>
  <c r="I13"/>
  <c r="I14"/>
  <c r="I15"/>
  <c r="I16"/>
  <c r="I17"/>
  <c r="I18"/>
  <c r="L6"/>
  <c r="L7"/>
  <c r="L9"/>
  <c r="L10"/>
  <c r="L11"/>
  <c r="L12"/>
  <c r="L13"/>
  <c r="L14"/>
  <c r="L15"/>
  <c r="L16"/>
  <c r="L17"/>
  <c r="L18"/>
  <c r="F6"/>
  <c r="F8"/>
  <c r="F10"/>
  <c r="N32" i="15"/>
  <c r="G15"/>
  <c r="H4"/>
  <c r="H15" s="1"/>
  <c r="G4"/>
  <c r="I5"/>
  <c r="I4" s="1"/>
  <c r="I15" s="1"/>
  <c r="E34" i="14"/>
  <c r="E22"/>
  <c r="E50"/>
  <c r="E21"/>
  <c r="AA13" i="58"/>
  <c r="Z13"/>
  <c r="Y13"/>
  <c r="X13"/>
  <c r="W13"/>
  <c r="V13"/>
  <c r="U13"/>
  <c r="W7" i="56" s="1"/>
  <c r="T13" i="58"/>
  <c r="V7" i="56" s="1"/>
  <c r="S13" i="58"/>
  <c r="Q13"/>
  <c r="P13"/>
  <c r="O13"/>
  <c r="I7" i="56" s="1"/>
  <c r="N13" i="58"/>
  <c r="M13"/>
  <c r="K13"/>
  <c r="J13"/>
  <c r="I13"/>
  <c r="H13"/>
  <c r="G13"/>
  <c r="F13"/>
  <c r="E13"/>
  <c r="D7" i="56" s="1"/>
  <c r="AC12" i="58"/>
  <c r="R12"/>
  <c r="AC11"/>
  <c r="R11"/>
  <c r="AC10"/>
  <c r="L10"/>
  <c r="L13" s="1"/>
  <c r="R10"/>
  <c r="AC9"/>
  <c r="R9"/>
  <c r="AC8"/>
  <c r="R8"/>
  <c r="AC7"/>
  <c r="R7"/>
  <c r="AC6"/>
  <c r="R6"/>
  <c r="AC5"/>
  <c r="R5"/>
  <c r="AA56" i="41"/>
  <c r="AA57"/>
  <c r="AA58"/>
  <c r="AA59"/>
  <c r="AA55"/>
  <c r="AA47"/>
  <c r="AA48"/>
  <c r="AA49"/>
  <c r="AA50"/>
  <c r="AA51"/>
  <c r="AA52"/>
  <c r="AA46"/>
  <c r="AA44"/>
  <c r="AA15"/>
  <c r="AA16"/>
  <c r="AA17"/>
  <c r="AA18"/>
  <c r="AA19"/>
  <c r="AA20"/>
  <c r="AA21"/>
  <c r="F21" s="1"/>
  <c r="AA22"/>
  <c r="AA23"/>
  <c r="AA24"/>
  <c r="AA26"/>
  <c r="AA27"/>
  <c r="AA28"/>
  <c r="AA29"/>
  <c r="AA30"/>
  <c r="AA31"/>
  <c r="AA32"/>
  <c r="AA33"/>
  <c r="AA14"/>
  <c r="AA6"/>
  <c r="AA7"/>
  <c r="AA8"/>
  <c r="AA9"/>
  <c r="AA5"/>
  <c r="U13" i="53" l="1"/>
  <c r="AC13" i="54"/>
  <c r="T13"/>
  <c r="AD13" i="53"/>
  <c r="U22" i="51"/>
  <c r="AC13" i="58"/>
  <c r="D13"/>
  <c r="AB13"/>
  <c r="F9" i="12"/>
  <c r="F7"/>
  <c r="H33" i="16"/>
  <c r="H6"/>
  <c r="D16" i="43"/>
  <c r="C10" i="17"/>
  <c r="C14"/>
  <c r="C21"/>
  <c r="C17"/>
  <c r="C9"/>
  <c r="J34" i="30"/>
  <c r="I32"/>
  <c r="L32"/>
  <c r="K32"/>
  <c r="J32"/>
  <c r="L31"/>
  <c r="K31"/>
  <c r="J31"/>
  <c r="L29"/>
  <c r="K29"/>
  <c r="J29"/>
  <c r="L28"/>
  <c r="K28"/>
  <c r="J28"/>
  <c r="L27"/>
  <c r="K27"/>
  <c r="J27"/>
  <c r="E48" i="19"/>
  <c r="E47"/>
  <c r="E46"/>
  <c r="E45"/>
  <c r="E44"/>
  <c r="E43"/>
  <c r="E42"/>
  <c r="E41"/>
  <c r="E52"/>
  <c r="E51"/>
  <c r="E50"/>
  <c r="E49"/>
  <c r="E54"/>
  <c r="E53"/>
  <c r="E16" i="20"/>
  <c r="E15"/>
  <c r="D14" i="44"/>
  <c r="C22" i="18"/>
  <c r="D12" i="9"/>
  <c r="R12" i="7"/>
  <c r="E45" i="40"/>
  <c r="N45" s="1"/>
  <c r="L45"/>
  <c r="M45"/>
  <c r="AG10" i="7"/>
  <c r="AG8"/>
  <c r="AF8"/>
  <c r="AG7"/>
  <c r="D39" i="43"/>
  <c r="AG21" i="7"/>
  <c r="AG22"/>
  <c r="R13"/>
  <c r="E58" i="41"/>
  <c r="D58"/>
  <c r="E57"/>
  <c r="D57"/>
  <c r="E56"/>
  <c r="D56"/>
  <c r="E55"/>
  <c r="D55"/>
  <c r="D53"/>
  <c r="AD64"/>
  <c r="AC64"/>
  <c r="AC59"/>
  <c r="AD58"/>
  <c r="AD57"/>
  <c r="AD56"/>
  <c r="AD55"/>
  <c r="AC53"/>
  <c r="AD52"/>
  <c r="AD51"/>
  <c r="AD50"/>
  <c r="AD49"/>
  <c r="AD48"/>
  <c r="AD47"/>
  <c r="AD46"/>
  <c r="AD34"/>
  <c r="AC34"/>
  <c r="AD28"/>
  <c r="AC28"/>
  <c r="AD25"/>
  <c r="AC25"/>
  <c r="AD17"/>
  <c r="AC17"/>
  <c r="AD14"/>
  <c r="AC14"/>
  <c r="X30" i="7"/>
  <c r="X13"/>
  <c r="D37" i="44"/>
  <c r="D36"/>
  <c r="D35"/>
  <c r="D9"/>
  <c r="D10"/>
  <c r="D8"/>
  <c r="D27" i="43"/>
  <c r="D38"/>
  <c r="AG30" i="7"/>
  <c r="AG25"/>
  <c r="AG13"/>
  <c r="D17" i="43"/>
  <c r="R13" i="58" l="1"/>
  <c r="C7" i="56"/>
  <c r="AC35" i="41"/>
  <c r="AD35"/>
  <c r="C18" i="17"/>
  <c r="C12"/>
  <c r="C11"/>
  <c r="C5"/>
  <c r="AC66" i="41"/>
  <c r="AD59"/>
  <c r="AD53"/>
  <c r="D14" i="43"/>
  <c r="D15"/>
  <c r="D18"/>
  <c r="D19"/>
  <c r="B21"/>
  <c r="C8" i="17" l="1"/>
  <c r="AD66" i="41"/>
  <c r="D9" i="43"/>
  <c r="D8"/>
  <c r="D7"/>
  <c r="D6"/>
  <c r="D11"/>
  <c r="D10"/>
  <c r="D13"/>
  <c r="R30" i="41" l="1"/>
  <c r="AD22" i="7"/>
  <c r="AD23"/>
  <c r="AD24"/>
  <c r="E102"/>
  <c r="E101"/>
  <c r="D99"/>
  <c r="F98"/>
  <c r="E98"/>
  <c r="D98"/>
  <c r="F97"/>
  <c r="E97"/>
  <c r="D97"/>
  <c r="E96"/>
  <c r="D96"/>
  <c r="E58"/>
  <c r="E59"/>
  <c r="E60"/>
  <c r="E61"/>
  <c r="E62"/>
  <c r="E64"/>
  <c r="E65"/>
  <c r="E66"/>
  <c r="E67"/>
  <c r="E68"/>
  <c r="E69"/>
  <c r="E70"/>
  <c r="D62"/>
  <c r="D61"/>
  <c r="E12"/>
  <c r="F12"/>
  <c r="E13"/>
  <c r="E14"/>
  <c r="F14"/>
  <c r="E16"/>
  <c r="F16"/>
  <c r="E17"/>
  <c r="F17"/>
  <c r="E19"/>
  <c r="F19"/>
  <c r="E20"/>
  <c r="E21"/>
  <c r="E22"/>
  <c r="E23"/>
  <c r="E24"/>
  <c r="E25"/>
  <c r="E27"/>
  <c r="F27"/>
  <c r="E28"/>
  <c r="F28"/>
  <c r="E30"/>
  <c r="E31"/>
  <c r="E32"/>
  <c r="E33"/>
  <c r="E34"/>
  <c r="D14"/>
  <c r="D16"/>
  <c r="D17"/>
  <c r="D18"/>
  <c r="D19"/>
  <c r="D12"/>
  <c r="E10"/>
  <c r="D10"/>
  <c r="E6"/>
  <c r="E7"/>
  <c r="F7"/>
  <c r="D7"/>
  <c r="AD71"/>
  <c r="AC71"/>
  <c r="AC35"/>
  <c r="AD31"/>
  <c r="AD30"/>
  <c r="AD29"/>
  <c r="AC29"/>
  <c r="AC26"/>
  <c r="AD25"/>
  <c r="F70" i="14"/>
  <c r="I35" i="15"/>
  <c r="I31"/>
  <c r="I32"/>
  <c r="I33"/>
  <c r="I34"/>
  <c r="O51" i="12"/>
  <c r="I56"/>
  <c r="I57"/>
  <c r="I58"/>
  <c r="D35" i="15"/>
  <c r="N73"/>
  <c r="O73"/>
  <c r="M73"/>
  <c r="N71"/>
  <c r="O71"/>
  <c r="K73"/>
  <c r="L73"/>
  <c r="J73"/>
  <c r="K71"/>
  <c r="L71"/>
  <c r="K65"/>
  <c r="K61"/>
  <c r="H73"/>
  <c r="I73"/>
  <c r="G73"/>
  <c r="H71"/>
  <c r="I71"/>
  <c r="G71"/>
  <c r="H66"/>
  <c r="H65"/>
  <c r="I57" i="16"/>
  <c r="I21"/>
  <c r="O5" i="15"/>
  <c r="O4" s="1"/>
  <c r="O15" s="1"/>
  <c r="N4"/>
  <c r="N15" s="1"/>
  <c r="AD26" i="7" l="1"/>
  <c r="AD35"/>
  <c r="AD36" s="1"/>
  <c r="AC36"/>
  <c r="AC94" s="1"/>
  <c r="AD94" l="1"/>
  <c r="L76" i="12"/>
  <c r="L73"/>
  <c r="L54"/>
  <c r="L51"/>
  <c r="L49"/>
  <c r="L35"/>
  <c r="L34"/>
  <c r="L22"/>
  <c r="H66"/>
  <c r="D63"/>
  <c r="I62"/>
  <c r="I47"/>
  <c r="M47" i="16"/>
  <c r="O47" s="1"/>
  <c r="J64"/>
  <c r="J63"/>
  <c r="J62"/>
  <c r="J61"/>
  <c r="J53"/>
  <c r="J38"/>
  <c r="J37"/>
  <c r="J34"/>
  <c r="L34" s="1"/>
  <c r="M21"/>
  <c r="H65"/>
  <c r="I75"/>
  <c r="I72"/>
  <c r="E65" i="14"/>
  <c r="F62"/>
  <c r="G65" i="15"/>
  <c r="M44"/>
  <c r="O44" s="1"/>
  <c r="M33"/>
  <c r="D33" s="1"/>
  <c r="M34"/>
  <c r="D34" s="1"/>
  <c r="D31"/>
  <c r="D32"/>
  <c r="M30"/>
  <c r="J47"/>
  <c r="J44"/>
  <c r="L29"/>
  <c r="I44"/>
  <c r="D102" i="7"/>
  <c r="D101"/>
  <c r="D70"/>
  <c r="D69"/>
  <c r="D68"/>
  <c r="D67"/>
  <c r="D66"/>
  <c r="D65"/>
  <c r="D64"/>
  <c r="Y25"/>
  <c r="V34"/>
  <c r="D34" s="1"/>
  <c r="V6"/>
  <c r="D6" s="1"/>
  <c r="S30"/>
  <c r="S25"/>
  <c r="D25" s="1"/>
  <c r="M30"/>
  <c r="M20"/>
  <c r="J30"/>
  <c r="J20"/>
  <c r="D60"/>
  <c r="D59"/>
  <c r="D33"/>
  <c r="D32"/>
  <c r="D31"/>
  <c r="D28"/>
  <c r="D27"/>
  <c r="D23"/>
  <c r="D24"/>
  <c r="D22"/>
  <c r="D21"/>
  <c r="D13"/>
  <c r="I40" i="40"/>
  <c r="I46"/>
  <c r="L46" s="1"/>
  <c r="I44"/>
  <c r="F4"/>
  <c r="F51" s="1"/>
  <c r="C25"/>
  <c r="C24"/>
  <c r="C23"/>
  <c r="C22"/>
  <c r="C21"/>
  <c r="C20"/>
  <c r="C19"/>
  <c r="C18"/>
  <c r="C17"/>
  <c r="C16"/>
  <c r="C13"/>
  <c r="C14"/>
  <c r="C9"/>
  <c r="C10"/>
  <c r="C11"/>
  <c r="C12"/>
  <c r="C8"/>
  <c r="C6" i="37"/>
  <c r="D30" i="7" l="1"/>
  <c r="J65" i="16"/>
  <c r="D58" i="7"/>
  <c r="D30" i="15"/>
  <c r="C15" i="40"/>
  <c r="D62" i="12"/>
  <c r="M65" i="15" s="1"/>
  <c r="F61" i="14"/>
  <c r="I63" i="12"/>
  <c r="D20" i="7"/>
  <c r="I65" i="15" l="1"/>
  <c r="H50" i="12"/>
  <c r="K43" i="15"/>
  <c r="D11" i="37"/>
  <c r="D12"/>
  <c r="D13"/>
  <c r="D14"/>
  <c r="D15"/>
  <c r="D16"/>
  <c r="D32" i="30"/>
  <c r="D34"/>
  <c r="E32"/>
  <c r="E38"/>
  <c r="H32"/>
  <c r="D12"/>
  <c r="E27" i="20" l="1"/>
  <c r="D27"/>
  <c r="E24"/>
  <c r="D24"/>
  <c r="C34"/>
  <c r="E14"/>
  <c r="E13"/>
  <c r="D12"/>
  <c r="C86" i="19"/>
  <c r="E85"/>
  <c r="D86"/>
  <c r="E82"/>
  <c r="E80"/>
  <c r="E40"/>
  <c r="E39"/>
  <c r="E38"/>
  <c r="E37"/>
  <c r="E36"/>
  <c r="E35"/>
  <c r="E34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C73"/>
  <c r="E34" i="20" l="1"/>
  <c r="D34"/>
  <c r="E33" i="19"/>
  <c r="E11" s="1"/>
  <c r="E73" s="1"/>
  <c r="E84"/>
  <c r="E86" s="1"/>
  <c r="D87"/>
  <c r="C87"/>
  <c r="E87" l="1"/>
  <c r="D23" i="44"/>
  <c r="D24"/>
  <c r="D18"/>
  <c r="D17"/>
  <c r="D16"/>
  <c r="B31"/>
  <c r="G32" i="30"/>
  <c r="F32"/>
  <c r="I34"/>
  <c r="H34"/>
  <c r="E34"/>
  <c r="D31"/>
  <c r="D30"/>
  <c r="E30"/>
  <c r="I29"/>
  <c r="H29"/>
  <c r="G29"/>
  <c r="F29"/>
  <c r="E29"/>
  <c r="D29"/>
  <c r="I28"/>
  <c r="H28"/>
  <c r="G28"/>
  <c r="F28"/>
  <c r="E28"/>
  <c r="D28"/>
  <c r="I27"/>
  <c r="H27"/>
  <c r="G27"/>
  <c r="F27"/>
  <c r="E27"/>
  <c r="D27"/>
  <c r="E15" i="21"/>
  <c r="E14"/>
  <c r="E13"/>
  <c r="E12"/>
  <c r="E11"/>
  <c r="E9"/>
  <c r="E8"/>
  <c r="E6"/>
  <c r="F12" i="18" l="1"/>
  <c r="D104" i="7" l="1"/>
  <c r="F13" i="18" l="1"/>
  <c r="F11" s="1"/>
  <c r="G13"/>
  <c r="G11" s="1"/>
  <c r="D25" i="17"/>
  <c r="M42" i="40"/>
  <c r="L42"/>
  <c r="H42"/>
  <c r="N42" s="1"/>
  <c r="M44" l="1"/>
  <c r="L44"/>
  <c r="K44"/>
  <c r="H44"/>
  <c r="X64" i="41"/>
  <c r="W64"/>
  <c r="W59"/>
  <c r="X58"/>
  <c r="X57"/>
  <c r="X56"/>
  <c r="X55"/>
  <c r="W53"/>
  <c r="X52"/>
  <c r="X51"/>
  <c r="X50"/>
  <c r="X49"/>
  <c r="X48"/>
  <c r="X47"/>
  <c r="X46"/>
  <c r="X34"/>
  <c r="W34"/>
  <c r="X28"/>
  <c r="W28"/>
  <c r="W35" s="1"/>
  <c r="X25"/>
  <c r="W25"/>
  <c r="X17"/>
  <c r="W17"/>
  <c r="X14"/>
  <c r="W14"/>
  <c r="U64"/>
  <c r="T64"/>
  <c r="T59"/>
  <c r="U58"/>
  <c r="U57"/>
  <c r="U56"/>
  <c r="U55"/>
  <c r="U59" s="1"/>
  <c r="U52"/>
  <c r="U51"/>
  <c r="U50"/>
  <c r="U49"/>
  <c r="U48"/>
  <c r="U47"/>
  <c r="F47" s="1"/>
  <c r="U28"/>
  <c r="T28"/>
  <c r="U25"/>
  <c r="T25"/>
  <c r="T35" s="1"/>
  <c r="U17"/>
  <c r="T17"/>
  <c r="U14"/>
  <c r="T14"/>
  <c r="F18" i="1"/>
  <c r="F19"/>
  <c r="F20"/>
  <c r="F21"/>
  <c r="F22"/>
  <c r="U23" i="7"/>
  <c r="U24"/>
  <c r="F24" s="1"/>
  <c r="U25"/>
  <c r="D12" i="43"/>
  <c r="X34" i="7"/>
  <c r="X35" i="41" l="1"/>
  <c r="U35"/>
  <c r="X59"/>
  <c r="N44" i="40"/>
  <c r="X53" i="41"/>
  <c r="X66" s="1"/>
  <c r="W66"/>
  <c r="U46"/>
  <c r="U53" s="1"/>
  <c r="T53"/>
  <c r="T66" s="1"/>
  <c r="K46" i="40"/>
  <c r="M43"/>
  <c r="L43"/>
  <c r="H43"/>
  <c r="N43" s="1"/>
  <c r="H41"/>
  <c r="L64" i="41"/>
  <c r="K64"/>
  <c r="K59"/>
  <c r="L58"/>
  <c r="L57"/>
  <c r="L56"/>
  <c r="L55"/>
  <c r="K53"/>
  <c r="L52"/>
  <c r="L51"/>
  <c r="L50"/>
  <c r="L49"/>
  <c r="L48"/>
  <c r="L47"/>
  <c r="L46"/>
  <c r="L34"/>
  <c r="K34"/>
  <c r="L28"/>
  <c r="K28"/>
  <c r="L25"/>
  <c r="K25"/>
  <c r="L17"/>
  <c r="L35" s="1"/>
  <c r="K17"/>
  <c r="L14"/>
  <c r="K14"/>
  <c r="R64"/>
  <c r="Q64"/>
  <c r="Q59"/>
  <c r="R58"/>
  <c r="R57"/>
  <c r="R56"/>
  <c r="R55"/>
  <c r="R52"/>
  <c r="R51"/>
  <c r="R50"/>
  <c r="R49"/>
  <c r="R48"/>
  <c r="R47"/>
  <c r="R46"/>
  <c r="F46" s="1"/>
  <c r="R34"/>
  <c r="Q34"/>
  <c r="R28"/>
  <c r="Q28"/>
  <c r="R25"/>
  <c r="Q25"/>
  <c r="R17"/>
  <c r="Q17"/>
  <c r="R14"/>
  <c r="Q14"/>
  <c r="AG62" i="7"/>
  <c r="F62" s="1"/>
  <c r="AG61"/>
  <c r="F61" s="1"/>
  <c r="AG60"/>
  <c r="F60" s="1"/>
  <c r="AG59"/>
  <c r="F59" s="1"/>
  <c r="AG58"/>
  <c r="F58" s="1"/>
  <c r="F77" i="15"/>
  <c r="E77"/>
  <c r="D77"/>
  <c r="E73"/>
  <c r="E71"/>
  <c r="O47"/>
  <c r="L47"/>
  <c r="L48" s="1"/>
  <c r="I47"/>
  <c r="E47"/>
  <c r="D47"/>
  <c r="K46"/>
  <c r="K48" s="1"/>
  <c r="F45"/>
  <c r="E45"/>
  <c r="D45"/>
  <c r="C25" i="17" s="1"/>
  <c r="E44" i="15"/>
  <c r="D44"/>
  <c r="C24" i="17" s="1"/>
  <c r="O43" i="15"/>
  <c r="O46" s="1"/>
  <c r="N43"/>
  <c r="N46" s="1"/>
  <c r="N48" s="1"/>
  <c r="M43"/>
  <c r="M46" s="1"/>
  <c r="M48" s="1"/>
  <c r="L43"/>
  <c r="L46" s="1"/>
  <c r="J43"/>
  <c r="J46" s="1"/>
  <c r="J48" s="1"/>
  <c r="I43"/>
  <c r="I46" s="1"/>
  <c r="H43"/>
  <c r="H46" s="1"/>
  <c r="H48" s="1"/>
  <c r="M41"/>
  <c r="J41"/>
  <c r="F40"/>
  <c r="F41" s="1"/>
  <c r="E40"/>
  <c r="E41" s="1"/>
  <c r="D40"/>
  <c r="D41" s="1"/>
  <c r="M39"/>
  <c r="J39"/>
  <c r="C39"/>
  <c r="F38"/>
  <c r="F39" s="1"/>
  <c r="E38"/>
  <c r="E39" s="1"/>
  <c r="D38"/>
  <c r="D39" s="1"/>
  <c r="F37"/>
  <c r="E37"/>
  <c r="D37"/>
  <c r="B22" i="18" s="1"/>
  <c r="N36" i="15"/>
  <c r="N42" s="1"/>
  <c r="K36"/>
  <c r="K42" s="1"/>
  <c r="J36"/>
  <c r="H36"/>
  <c r="H42" s="1"/>
  <c r="F35"/>
  <c r="E35"/>
  <c r="F34"/>
  <c r="E34"/>
  <c r="O33"/>
  <c r="F33" s="1"/>
  <c r="E33"/>
  <c r="O32"/>
  <c r="F32" s="1"/>
  <c r="E32"/>
  <c r="O31"/>
  <c r="F31" s="1"/>
  <c r="E31"/>
  <c r="O30"/>
  <c r="I30"/>
  <c r="E30"/>
  <c r="M36"/>
  <c r="L36"/>
  <c r="L42" s="1"/>
  <c r="I29"/>
  <c r="I36" s="1"/>
  <c r="I42" s="1"/>
  <c r="E29"/>
  <c r="D29"/>
  <c r="D36" s="1"/>
  <c r="C13" i="17" s="1"/>
  <c r="F28" i="15"/>
  <c r="E28"/>
  <c r="D28"/>
  <c r="F27"/>
  <c r="E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M16"/>
  <c r="M27" s="1"/>
  <c r="J16"/>
  <c r="J27" s="1"/>
  <c r="F16"/>
  <c r="E16"/>
  <c r="D16"/>
  <c r="F15"/>
  <c r="E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M4"/>
  <c r="M15" s="1"/>
  <c r="J4"/>
  <c r="J15" s="1"/>
  <c r="F4"/>
  <c r="E4"/>
  <c r="D4"/>
  <c r="C6" i="17" s="1"/>
  <c r="C7" s="1"/>
  <c r="F81" i="14"/>
  <c r="E81"/>
  <c r="E75"/>
  <c r="H69" i="15" s="1"/>
  <c r="G69"/>
  <c r="F74" i="14"/>
  <c r="F71"/>
  <c r="F64"/>
  <c r="F63" s="1"/>
  <c r="E61"/>
  <c r="E58"/>
  <c r="H62" i="15" s="1"/>
  <c r="G62"/>
  <c r="F57" i="14"/>
  <c r="F53"/>
  <c r="E52"/>
  <c r="H61" i="15" s="1"/>
  <c r="G61"/>
  <c r="F50" i="14"/>
  <c r="F52" s="1"/>
  <c r="I61" i="15" s="1"/>
  <c r="E49" i="14"/>
  <c r="H60" i="15" s="1"/>
  <c r="F48" i="14"/>
  <c r="F47"/>
  <c r="F46"/>
  <c r="F45"/>
  <c r="G60" i="15"/>
  <c r="F43" i="14"/>
  <c r="F42"/>
  <c r="E39"/>
  <c r="H59" i="15" s="1"/>
  <c r="G59"/>
  <c r="F38" i="14"/>
  <c r="F37"/>
  <c r="E36"/>
  <c r="H58" i="15" s="1"/>
  <c r="G58"/>
  <c r="F35" i="14"/>
  <c r="F34"/>
  <c r="F33"/>
  <c r="F31"/>
  <c r="F30"/>
  <c r="F29"/>
  <c r="F28"/>
  <c r="F27"/>
  <c r="E26"/>
  <c r="H56" i="15" s="1"/>
  <c r="G56"/>
  <c r="E23" i="14"/>
  <c r="H54" i="15" s="1"/>
  <c r="G54"/>
  <c r="F22" i="14"/>
  <c r="F21"/>
  <c r="E19"/>
  <c r="G53" i="15"/>
  <c r="G55" s="1"/>
  <c r="F18" i="14"/>
  <c r="F17"/>
  <c r="F16"/>
  <c r="F15"/>
  <c r="F14"/>
  <c r="F13"/>
  <c r="F12"/>
  <c r="F11"/>
  <c r="F10"/>
  <c r="F9"/>
  <c r="F8"/>
  <c r="F7"/>
  <c r="F6"/>
  <c r="F5"/>
  <c r="R82" i="16"/>
  <c r="Q82"/>
  <c r="P82"/>
  <c r="O82"/>
  <c r="N82"/>
  <c r="M82"/>
  <c r="L82"/>
  <c r="K82"/>
  <c r="J82"/>
  <c r="I82"/>
  <c r="H82"/>
  <c r="F81"/>
  <c r="E81"/>
  <c r="D81"/>
  <c r="F80"/>
  <c r="E80"/>
  <c r="D80"/>
  <c r="F79"/>
  <c r="E79"/>
  <c r="D79"/>
  <c r="F78"/>
  <c r="F82" s="1"/>
  <c r="E78"/>
  <c r="E82" s="1"/>
  <c r="D78"/>
  <c r="D82" s="1"/>
  <c r="J71" i="15" s="1"/>
  <c r="R76" i="16"/>
  <c r="Q76"/>
  <c r="P76"/>
  <c r="O76"/>
  <c r="N76"/>
  <c r="M76"/>
  <c r="L76"/>
  <c r="K76"/>
  <c r="J76"/>
  <c r="H76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R65"/>
  <c r="Q65"/>
  <c r="P65"/>
  <c r="O65"/>
  <c r="N65"/>
  <c r="M65"/>
  <c r="L64"/>
  <c r="F64" s="1"/>
  <c r="E64"/>
  <c r="D64"/>
  <c r="E63"/>
  <c r="K66" i="15" s="1"/>
  <c r="K67" s="1"/>
  <c r="D63" i="16"/>
  <c r="L62"/>
  <c r="L61" s="1"/>
  <c r="I62"/>
  <c r="E62"/>
  <c r="D62"/>
  <c r="K61"/>
  <c r="E61" s="1"/>
  <c r="D61"/>
  <c r="J65" i="15" s="1"/>
  <c r="D65" s="1"/>
  <c r="Q58" i="16"/>
  <c r="Q59" s="1"/>
  <c r="P58"/>
  <c r="O58"/>
  <c r="N58"/>
  <c r="M58"/>
  <c r="K58"/>
  <c r="J58"/>
  <c r="H58"/>
  <c r="F57"/>
  <c r="E57"/>
  <c r="D57"/>
  <c r="F56"/>
  <c r="E56"/>
  <c r="D56"/>
  <c r="F55"/>
  <c r="E55"/>
  <c r="D55"/>
  <c r="F54"/>
  <c r="E54"/>
  <c r="D54"/>
  <c r="R53"/>
  <c r="R58" s="1"/>
  <c r="L53"/>
  <c r="L58" s="1"/>
  <c r="I53"/>
  <c r="I58" s="1"/>
  <c r="E53"/>
  <c r="D53"/>
  <c r="R52"/>
  <c r="Q52"/>
  <c r="P52"/>
  <c r="P59" s="1"/>
  <c r="O52"/>
  <c r="N52"/>
  <c r="M52"/>
  <c r="L52"/>
  <c r="K52"/>
  <c r="J52"/>
  <c r="H52"/>
  <c r="I50"/>
  <c r="I52" s="1"/>
  <c r="E50"/>
  <c r="E52" s="1"/>
  <c r="D50"/>
  <c r="D52" s="1"/>
  <c r="J61" i="15" s="1"/>
  <c r="Q49" i="16"/>
  <c r="P49"/>
  <c r="N49"/>
  <c r="M49"/>
  <c r="K49"/>
  <c r="J49"/>
  <c r="H49"/>
  <c r="L48"/>
  <c r="I48"/>
  <c r="E48"/>
  <c r="D48"/>
  <c r="O49"/>
  <c r="I47"/>
  <c r="I49" s="1"/>
  <c r="E47"/>
  <c r="D47"/>
  <c r="F44"/>
  <c r="E44"/>
  <c r="D44"/>
  <c r="L43"/>
  <c r="F43" s="1"/>
  <c r="E43"/>
  <c r="D43"/>
  <c r="F42"/>
  <c r="E42"/>
  <c r="D42"/>
  <c r="R41"/>
  <c r="R49" s="1"/>
  <c r="E41"/>
  <c r="D41"/>
  <c r="F40"/>
  <c r="E40"/>
  <c r="D40"/>
  <c r="R39"/>
  <c r="Q39"/>
  <c r="P39"/>
  <c r="O39"/>
  <c r="N39"/>
  <c r="M39"/>
  <c r="K39"/>
  <c r="J39"/>
  <c r="I39"/>
  <c r="H39"/>
  <c r="L38"/>
  <c r="E38"/>
  <c r="D38"/>
  <c r="L37"/>
  <c r="F37" s="1"/>
  <c r="E37"/>
  <c r="E39" s="1"/>
  <c r="K59" i="15" s="1"/>
  <c r="D37" i="16"/>
  <c r="R36"/>
  <c r="Q36"/>
  <c r="P36"/>
  <c r="O36"/>
  <c r="N36"/>
  <c r="M36"/>
  <c r="K36"/>
  <c r="J36"/>
  <c r="H36"/>
  <c r="F35"/>
  <c r="E35"/>
  <c r="D35"/>
  <c r="L36"/>
  <c r="I34"/>
  <c r="F34" s="1"/>
  <c r="E34"/>
  <c r="D34"/>
  <c r="I33"/>
  <c r="E33"/>
  <c r="E36" s="1"/>
  <c r="K58" i="15" s="1"/>
  <c r="D33" i="16"/>
  <c r="I31"/>
  <c r="F31" s="1"/>
  <c r="E31"/>
  <c r="D31"/>
  <c r="I30"/>
  <c r="F30" s="1"/>
  <c r="E30"/>
  <c r="D30"/>
  <c r="I29"/>
  <c r="F29" s="1"/>
  <c r="E29"/>
  <c r="D29"/>
  <c r="I28"/>
  <c r="F28" s="1"/>
  <c r="E28"/>
  <c r="D28"/>
  <c r="O27"/>
  <c r="O26" s="1"/>
  <c r="I27"/>
  <c r="E27"/>
  <c r="D27"/>
  <c r="R26"/>
  <c r="Q26"/>
  <c r="P26"/>
  <c r="N26"/>
  <c r="M26"/>
  <c r="L26"/>
  <c r="K26"/>
  <c r="J26"/>
  <c r="H26"/>
  <c r="Q24"/>
  <c r="R23"/>
  <c r="R24" s="1"/>
  <c r="Q23"/>
  <c r="P23"/>
  <c r="P24" s="1"/>
  <c r="N23"/>
  <c r="N24" s="1"/>
  <c r="M23"/>
  <c r="M24" s="1"/>
  <c r="L23"/>
  <c r="L24" s="1"/>
  <c r="K23"/>
  <c r="K24" s="1"/>
  <c r="J23"/>
  <c r="J24" s="1"/>
  <c r="H23"/>
  <c r="I22"/>
  <c r="I23" s="1"/>
  <c r="E22"/>
  <c r="D22"/>
  <c r="O21"/>
  <c r="O23" s="1"/>
  <c r="O24" s="1"/>
  <c r="E21"/>
  <c r="D21"/>
  <c r="F20"/>
  <c r="E20"/>
  <c r="D20"/>
  <c r="R19"/>
  <c r="Q19"/>
  <c r="P19"/>
  <c r="O19"/>
  <c r="N19"/>
  <c r="M19"/>
  <c r="L19"/>
  <c r="K19"/>
  <c r="J19"/>
  <c r="H19"/>
  <c r="F18"/>
  <c r="E18"/>
  <c r="D18"/>
  <c r="I17"/>
  <c r="F17" s="1"/>
  <c r="E17"/>
  <c r="D17"/>
  <c r="F16"/>
  <c r="E16"/>
  <c r="D16"/>
  <c r="F15"/>
  <c r="E15"/>
  <c r="D15"/>
  <c r="F14"/>
  <c r="E14"/>
  <c r="D14"/>
  <c r="I13"/>
  <c r="F13" s="1"/>
  <c r="E13"/>
  <c r="D13"/>
  <c r="I12"/>
  <c r="F12" s="1"/>
  <c r="E12"/>
  <c r="D12"/>
  <c r="I11"/>
  <c r="F11" s="1"/>
  <c r="E11"/>
  <c r="D11"/>
  <c r="I10"/>
  <c r="F10" s="1"/>
  <c r="E10"/>
  <c r="D10"/>
  <c r="I9"/>
  <c r="F9" s="1"/>
  <c r="E9"/>
  <c r="D9"/>
  <c r="I8"/>
  <c r="F8" s="1"/>
  <c r="E8"/>
  <c r="D8"/>
  <c r="I7"/>
  <c r="F7"/>
  <c r="E7"/>
  <c r="D7"/>
  <c r="I6"/>
  <c r="F6"/>
  <c r="E6"/>
  <c r="D6"/>
  <c r="I5"/>
  <c r="E5"/>
  <c r="D5"/>
  <c r="R83" i="12"/>
  <c r="Q83"/>
  <c r="O83"/>
  <c r="N83"/>
  <c r="L83"/>
  <c r="K83"/>
  <c r="I83"/>
  <c r="H83"/>
  <c r="F82"/>
  <c r="E82"/>
  <c r="D82"/>
  <c r="F81"/>
  <c r="E81"/>
  <c r="D81"/>
  <c r="F80"/>
  <c r="E80"/>
  <c r="D80"/>
  <c r="F79"/>
  <c r="F83" s="1"/>
  <c r="E79"/>
  <c r="E83" s="1"/>
  <c r="D79"/>
  <c r="D83" s="1"/>
  <c r="M71" i="15" s="1"/>
  <c r="R77" i="12"/>
  <c r="Q77"/>
  <c r="O77"/>
  <c r="N77"/>
  <c r="K77"/>
  <c r="H77"/>
  <c r="I76"/>
  <c r="E76"/>
  <c r="D76"/>
  <c r="L75"/>
  <c r="F75"/>
  <c r="E75"/>
  <c r="D75"/>
  <c r="L74"/>
  <c r="F74"/>
  <c r="E74"/>
  <c r="D74"/>
  <c r="E73"/>
  <c r="E72"/>
  <c r="F71"/>
  <c r="E71"/>
  <c r="D71"/>
  <c r="F70"/>
  <c r="E70"/>
  <c r="D70"/>
  <c r="F69"/>
  <c r="E69"/>
  <c r="D69"/>
  <c r="Q66"/>
  <c r="O66"/>
  <c r="N66"/>
  <c r="L66"/>
  <c r="K66"/>
  <c r="R65"/>
  <c r="I65"/>
  <c r="E65"/>
  <c r="D65"/>
  <c r="R64"/>
  <c r="R66" s="1"/>
  <c r="D64"/>
  <c r="E63"/>
  <c r="Q59"/>
  <c r="N59"/>
  <c r="K59"/>
  <c r="H59"/>
  <c r="R58"/>
  <c r="F58" s="1"/>
  <c r="E58"/>
  <c r="D58"/>
  <c r="F57"/>
  <c r="E57"/>
  <c r="D57"/>
  <c r="F56"/>
  <c r="E56"/>
  <c r="D56"/>
  <c r="R55"/>
  <c r="L55"/>
  <c r="L59" s="1"/>
  <c r="I55"/>
  <c r="E55"/>
  <c r="D55"/>
  <c r="R54"/>
  <c r="O54"/>
  <c r="O59" s="1"/>
  <c r="I54"/>
  <c r="E54"/>
  <c r="D54"/>
  <c r="Q53"/>
  <c r="O53"/>
  <c r="N53"/>
  <c r="K53"/>
  <c r="H53"/>
  <c r="I52"/>
  <c r="F52" s="1"/>
  <c r="E52"/>
  <c r="D52"/>
  <c r="R51"/>
  <c r="R53" s="1"/>
  <c r="L53"/>
  <c r="I51"/>
  <c r="E51"/>
  <c r="D51"/>
  <c r="Q50"/>
  <c r="N50"/>
  <c r="K50"/>
  <c r="R49"/>
  <c r="R50" s="1"/>
  <c r="L50"/>
  <c r="I49"/>
  <c r="E49"/>
  <c r="D49"/>
  <c r="I48"/>
  <c r="F48" s="1"/>
  <c r="E48"/>
  <c r="D48"/>
  <c r="F47"/>
  <c r="E47"/>
  <c r="D47"/>
  <c r="F46"/>
  <c r="E46"/>
  <c r="D46"/>
  <c r="E45"/>
  <c r="D45"/>
  <c r="I44"/>
  <c r="E44"/>
  <c r="D44"/>
  <c r="I43"/>
  <c r="F43" s="1"/>
  <c r="E43"/>
  <c r="D43"/>
  <c r="I42"/>
  <c r="E42"/>
  <c r="D42"/>
  <c r="I41"/>
  <c r="F41" s="1"/>
  <c r="E41"/>
  <c r="D41"/>
  <c r="Q40"/>
  <c r="N40"/>
  <c r="K40"/>
  <c r="H40"/>
  <c r="R39"/>
  <c r="L39"/>
  <c r="L40" s="1"/>
  <c r="I39"/>
  <c r="D39"/>
  <c r="R38"/>
  <c r="R40" s="1"/>
  <c r="I38"/>
  <c r="E38"/>
  <c r="E40" s="1"/>
  <c r="N59" i="15" s="1"/>
  <c r="D38" i="12"/>
  <c r="D40" s="1"/>
  <c r="M59" i="15" s="1"/>
  <c r="Q37" i="12"/>
  <c r="N37"/>
  <c r="K37"/>
  <c r="H37"/>
  <c r="L36"/>
  <c r="F36"/>
  <c r="E36"/>
  <c r="D36"/>
  <c r="R35"/>
  <c r="I35"/>
  <c r="E35"/>
  <c r="D35"/>
  <c r="R34"/>
  <c r="R37" s="1"/>
  <c r="L37"/>
  <c r="I34"/>
  <c r="E34"/>
  <c r="D34"/>
  <c r="L31"/>
  <c r="I26"/>
  <c r="E31"/>
  <c r="D31"/>
  <c r="F30"/>
  <c r="E30"/>
  <c r="D30"/>
  <c r="L29"/>
  <c r="E29"/>
  <c r="D29"/>
  <c r="F28"/>
  <c r="E28"/>
  <c r="D28"/>
  <c r="R27"/>
  <c r="R26" s="1"/>
  <c r="O27"/>
  <c r="O26" s="1"/>
  <c r="L27"/>
  <c r="I27"/>
  <c r="E27"/>
  <c r="D27"/>
  <c r="Q26"/>
  <c r="N26"/>
  <c r="K26"/>
  <c r="H26"/>
  <c r="R23"/>
  <c r="Q23"/>
  <c r="O23"/>
  <c r="N23"/>
  <c r="K23"/>
  <c r="H23"/>
  <c r="L23"/>
  <c r="I22"/>
  <c r="E22"/>
  <c r="D22"/>
  <c r="I21"/>
  <c r="E21"/>
  <c r="D21"/>
  <c r="F20"/>
  <c r="E20"/>
  <c r="D20"/>
  <c r="Q19"/>
  <c r="N19"/>
  <c r="K19"/>
  <c r="H19"/>
  <c r="F18"/>
  <c r="E18"/>
  <c r="D18"/>
  <c r="E17"/>
  <c r="D17"/>
  <c r="F16"/>
  <c r="E16"/>
  <c r="D16"/>
  <c r="E15"/>
  <c r="D15"/>
  <c r="E14"/>
  <c r="D14"/>
  <c r="E13"/>
  <c r="D13"/>
  <c r="F12"/>
  <c r="E12"/>
  <c r="D12"/>
  <c r="E11"/>
  <c r="D11"/>
  <c r="E10"/>
  <c r="D10"/>
  <c r="E9"/>
  <c r="D9"/>
  <c r="E8"/>
  <c r="D8"/>
  <c r="E7"/>
  <c r="D7"/>
  <c r="E6"/>
  <c r="D6"/>
  <c r="R5"/>
  <c r="O5"/>
  <c r="L5"/>
  <c r="L19" s="1"/>
  <c r="I5"/>
  <c r="E5"/>
  <c r="D5"/>
  <c r="F27" i="16" l="1"/>
  <c r="K35" i="41"/>
  <c r="U66"/>
  <c r="C23" i="17"/>
  <c r="C20" s="1"/>
  <c r="E53" i="12"/>
  <c r="N61" i="15" s="1"/>
  <c r="E61" s="1"/>
  <c r="H60" i="12"/>
  <c r="I19"/>
  <c r="L26"/>
  <c r="F51"/>
  <c r="E59" i="15"/>
  <c r="F11" i="12"/>
  <c r="D15" i="15"/>
  <c r="C16" i="17"/>
  <c r="C4"/>
  <c r="F14" i="12"/>
  <c r="R59"/>
  <c r="F15"/>
  <c r="F65"/>
  <c r="F29"/>
  <c r="F31"/>
  <c r="F38"/>
  <c r="F39"/>
  <c r="F55"/>
  <c r="F63"/>
  <c r="F62" s="1"/>
  <c r="O65" i="15" s="1"/>
  <c r="E23" i="12"/>
  <c r="N54" i="15" s="1"/>
  <c r="D53" i="12"/>
  <c r="M61" i="15" s="1"/>
  <c r="D61" s="1"/>
  <c r="D71"/>
  <c r="F13" i="12"/>
  <c r="E19" i="16"/>
  <c r="K53" i="15" s="1"/>
  <c r="D26" i="16"/>
  <c r="J56" i="15" s="1"/>
  <c r="F50" i="16"/>
  <c r="F52" s="1"/>
  <c r="L61" i="15" s="1"/>
  <c r="D58" i="16"/>
  <c r="J62" i="15" s="1"/>
  <c r="D49" i="16"/>
  <c r="J60" i="15" s="1"/>
  <c r="L39" i="16"/>
  <c r="R19" i="12"/>
  <c r="O19"/>
  <c r="O24" s="1"/>
  <c r="D50"/>
  <c r="M60" i="15" s="1"/>
  <c r="D59" i="12"/>
  <c r="M62" i="15" s="1"/>
  <c r="D19" i="16"/>
  <c r="J53" i="15" s="1"/>
  <c r="G63"/>
  <c r="I19" i="16"/>
  <c r="I24" s="1"/>
  <c r="Q35" i="41"/>
  <c r="R59"/>
  <c r="F23" i="14"/>
  <c r="I54" i="15" s="1"/>
  <c r="F39" i="14"/>
  <c r="I59" i="15" s="1"/>
  <c r="I59" i="12"/>
  <c r="D23" i="16"/>
  <c r="J54" i="15" s="1"/>
  <c r="F21" i="16"/>
  <c r="D76"/>
  <c r="J69" i="15" s="1"/>
  <c r="M66"/>
  <c r="M67" s="1"/>
  <c r="D66" i="12"/>
  <c r="I66" i="15"/>
  <c r="F65" i="14"/>
  <c r="I36" i="16"/>
  <c r="I59" s="1"/>
  <c r="G66" i="15"/>
  <c r="G67" s="1"/>
  <c r="G75" s="1"/>
  <c r="D65" i="16"/>
  <c r="J66" i="15"/>
  <c r="J67" s="1"/>
  <c r="D39" i="16"/>
  <c r="J59" i="15" s="1"/>
  <c r="D59" s="1"/>
  <c r="F36" i="14"/>
  <c r="I58" i="15" s="1"/>
  <c r="F58" i="14"/>
  <c r="I62" i="15" s="1"/>
  <c r="R35" i="41"/>
  <c r="E24" i="14"/>
  <c r="H53" i="15"/>
  <c r="H55" s="1"/>
  <c r="H63"/>
  <c r="N60" i="12"/>
  <c r="E26"/>
  <c r="N56" i="15" s="1"/>
  <c r="E50" i="12"/>
  <c r="N60" i="15" s="1"/>
  <c r="F26" i="12"/>
  <c r="O56" i="15" s="1"/>
  <c r="E19" i="12"/>
  <c r="N53" i="15" s="1"/>
  <c r="H24" i="12"/>
  <c r="L49" i="16"/>
  <c r="E58"/>
  <c r="K62" i="15" s="1"/>
  <c r="E26" i="16"/>
  <c r="K56" i="15" s="1"/>
  <c r="E36"/>
  <c r="E42" s="1"/>
  <c r="F35" i="12"/>
  <c r="D26"/>
  <c r="M56" i="15" s="1"/>
  <c r="D56" s="1"/>
  <c r="F27" i="12"/>
  <c r="D19"/>
  <c r="M53" i="15" s="1"/>
  <c r="D37" i="12"/>
  <c r="M58" i="15" s="1"/>
  <c r="D23" i="12"/>
  <c r="M54" i="15" s="1"/>
  <c r="M59" i="16"/>
  <c r="M86" s="1"/>
  <c r="F62"/>
  <c r="J59"/>
  <c r="F48"/>
  <c r="D36"/>
  <c r="F5"/>
  <c r="F19" s="1"/>
  <c r="L53" i="15" s="1"/>
  <c r="F44" i="14"/>
  <c r="F26"/>
  <c r="I56" i="15" s="1"/>
  <c r="F19" i="14"/>
  <c r="I53" i="15" s="1"/>
  <c r="D43"/>
  <c r="D46" s="1"/>
  <c r="D48" s="1"/>
  <c r="B12" i="18"/>
  <c r="I67" i="15"/>
  <c r="F71"/>
  <c r="H67"/>
  <c r="F44" i="12"/>
  <c r="Q60"/>
  <c r="F17"/>
  <c r="F5"/>
  <c r="Q24"/>
  <c r="N24"/>
  <c r="L77"/>
  <c r="F76"/>
  <c r="K60"/>
  <c r="F34"/>
  <c r="F22"/>
  <c r="K24"/>
  <c r="E77"/>
  <c r="N69" i="15" s="1"/>
  <c r="E62" i="12"/>
  <c r="N65" i="15" s="1"/>
  <c r="E65" s="1"/>
  <c r="E59" i="12"/>
  <c r="N62" i="15" s="1"/>
  <c r="F45" i="12"/>
  <c r="F42"/>
  <c r="I37"/>
  <c r="E37"/>
  <c r="N58" i="15" s="1"/>
  <c r="I23" i="12"/>
  <c r="I24" s="1"/>
  <c r="E49" i="16"/>
  <c r="K60" i="15" s="1"/>
  <c r="N59" i="16"/>
  <c r="N86" s="1"/>
  <c r="O59"/>
  <c r="O86" s="1"/>
  <c r="K65"/>
  <c r="L65" s="1"/>
  <c r="K59"/>
  <c r="F44" i="15"/>
  <c r="F30"/>
  <c r="F47"/>
  <c r="K49"/>
  <c r="C12" i="18"/>
  <c r="D24" i="17"/>
  <c r="E43" i="15"/>
  <c r="E46" s="1"/>
  <c r="E48" s="1"/>
  <c r="I48"/>
  <c r="I49" s="1"/>
  <c r="H49"/>
  <c r="E76" i="16"/>
  <c r="K69" i="15" s="1"/>
  <c r="I76" i="16"/>
  <c r="I61"/>
  <c r="I65" s="1"/>
  <c r="E65"/>
  <c r="F33"/>
  <c r="F36" s="1"/>
  <c r="L58" i="15" s="1"/>
  <c r="H59" i="16"/>
  <c r="F26"/>
  <c r="L56" i="15" s="1"/>
  <c r="E23" i="16"/>
  <c r="K54" i="15" s="1"/>
  <c r="E54" s="1"/>
  <c r="F22" i="16"/>
  <c r="H24"/>
  <c r="F75" i="14"/>
  <c r="I69" i="15" s="1"/>
  <c r="F49" i="14"/>
  <c r="I60" i="15" s="1"/>
  <c r="E59" i="14"/>
  <c r="L53" i="41"/>
  <c r="L59"/>
  <c r="K66"/>
  <c r="R53"/>
  <c r="Q53"/>
  <c r="J42" i="15"/>
  <c r="J49" s="1"/>
  <c r="L49"/>
  <c r="D67"/>
  <c r="D27"/>
  <c r="N49"/>
  <c r="M42"/>
  <c r="M49" s="1"/>
  <c r="O48"/>
  <c r="O29"/>
  <c r="O36" s="1"/>
  <c r="O42" s="1"/>
  <c r="F43"/>
  <c r="F46" s="1"/>
  <c r="F73"/>
  <c r="D66"/>
  <c r="D73"/>
  <c r="J86" i="16"/>
  <c r="R86"/>
  <c r="Q86"/>
  <c r="R59"/>
  <c r="P86"/>
  <c r="L59"/>
  <c r="I26"/>
  <c r="F38"/>
  <c r="F39" s="1"/>
  <c r="L59" i="15" s="1"/>
  <c r="F47" i="16"/>
  <c r="F53"/>
  <c r="F58" s="1"/>
  <c r="L62" i="15" s="1"/>
  <c r="F61" i="16"/>
  <c r="L65" i="15" s="1"/>
  <c r="F41" i="16"/>
  <c r="L63"/>
  <c r="F63" s="1"/>
  <c r="L66" i="15" s="1"/>
  <c r="F75" i="16"/>
  <c r="F76" s="1"/>
  <c r="L69" i="15" s="1"/>
  <c r="F53" i="12"/>
  <c r="O61" i="15" s="1"/>
  <c r="F61" s="1"/>
  <c r="R60" i="12"/>
  <c r="R24"/>
  <c r="L60"/>
  <c r="L24"/>
  <c r="O49"/>
  <c r="O50" s="1"/>
  <c r="O60" s="1"/>
  <c r="I53"/>
  <c r="F54"/>
  <c r="D73"/>
  <c r="D77" s="1"/>
  <c r="M69" i="15" s="1"/>
  <c r="D69" s="1"/>
  <c r="I73" i="12"/>
  <c r="F21"/>
  <c r="I40"/>
  <c r="E64"/>
  <c r="I64"/>
  <c r="I66" s="1"/>
  <c r="C15" i="17" l="1"/>
  <c r="C19" s="1"/>
  <c r="B21" i="18"/>
  <c r="M63" i="15"/>
  <c r="Q66" i="41"/>
  <c r="D24" i="16"/>
  <c r="R66" i="41"/>
  <c r="D62" i="15"/>
  <c r="F59" i="12"/>
  <c r="O62" i="15" s="1"/>
  <c r="F37" i="12"/>
  <c r="O58" i="15" s="1"/>
  <c r="F58" s="1"/>
  <c r="H87" i="12"/>
  <c r="F23"/>
  <c r="O54" i="15" s="1"/>
  <c r="K87" i="12"/>
  <c r="N55" i="15"/>
  <c r="Q87" i="12"/>
  <c r="E69" i="15"/>
  <c r="D42"/>
  <c r="D49" s="1"/>
  <c r="I55"/>
  <c r="E85" i="14"/>
  <c r="F24"/>
  <c r="E24" i="16"/>
  <c r="C26" i="17"/>
  <c r="N87" i="12"/>
  <c r="E24"/>
  <c r="F40"/>
  <c r="O59" i="15" s="1"/>
  <c r="F59" s="1"/>
  <c r="D60" i="12"/>
  <c r="N66" i="15"/>
  <c r="E66" i="12"/>
  <c r="F65" i="15"/>
  <c r="N63"/>
  <c r="D60"/>
  <c r="F62"/>
  <c r="K63"/>
  <c r="E62"/>
  <c r="E60"/>
  <c r="E59" i="16"/>
  <c r="H86"/>
  <c r="E56" i="15"/>
  <c r="K55"/>
  <c r="F23" i="16"/>
  <c r="L54" i="15" s="1"/>
  <c r="L55" s="1"/>
  <c r="L67"/>
  <c r="D53"/>
  <c r="J55"/>
  <c r="F59" i="14"/>
  <c r="I63" i="15"/>
  <c r="D54"/>
  <c r="M55"/>
  <c r="D59" i="16"/>
  <c r="J58" i="15"/>
  <c r="F56"/>
  <c r="E53"/>
  <c r="F19" i="12"/>
  <c r="O53" i="15" s="1"/>
  <c r="F53" s="1"/>
  <c r="E60" i="12"/>
  <c r="E58" i="15"/>
  <c r="I86" i="16"/>
  <c r="D24" i="12"/>
  <c r="F48" i="15"/>
  <c r="H75"/>
  <c r="R87" i="12"/>
  <c r="O87"/>
  <c r="L87"/>
  <c r="I50"/>
  <c r="I60" s="1"/>
  <c r="F49" i="16"/>
  <c r="L60" i="15" s="1"/>
  <c r="L63" s="1"/>
  <c r="L86" i="16"/>
  <c r="K86"/>
  <c r="E49" i="15"/>
  <c r="F65" i="16"/>
  <c r="L66" i="41"/>
  <c r="F29" i="15"/>
  <c r="F36" s="1"/>
  <c r="O49"/>
  <c r="G79"/>
  <c r="F49" i="12"/>
  <c r="F50" s="1"/>
  <c r="F64"/>
  <c r="I77"/>
  <c r="F73"/>
  <c r="F77" s="1"/>
  <c r="O69" i="15" s="1"/>
  <c r="F69" s="1"/>
  <c r="D86" i="16" l="1"/>
  <c r="D55" i="15"/>
  <c r="E86" i="16"/>
  <c r="F54" i="15"/>
  <c r="E55"/>
  <c r="E63"/>
  <c r="I75"/>
  <c r="I79" s="1"/>
  <c r="F85" i="14"/>
  <c r="L75" i="15"/>
  <c r="L79" s="1"/>
  <c r="D87" i="12"/>
  <c r="E66" i="15"/>
  <c r="N67"/>
  <c r="E87" i="12"/>
  <c r="M75" i="15"/>
  <c r="M79" s="1"/>
  <c r="K75"/>
  <c r="K79" s="1"/>
  <c r="F24" i="16"/>
  <c r="F59"/>
  <c r="F24" i="12"/>
  <c r="F66"/>
  <c r="O66" i="15"/>
  <c r="J63"/>
  <c r="D58"/>
  <c r="O55"/>
  <c r="F55" s="1"/>
  <c r="F60" i="12"/>
  <c r="O60" i="15"/>
  <c r="H79"/>
  <c r="I87" i="12"/>
  <c r="F42" i="15"/>
  <c r="F49" s="1"/>
  <c r="F86" i="16" l="1"/>
  <c r="E67" i="15"/>
  <c r="N75"/>
  <c r="N79" s="1"/>
  <c r="E79" s="1"/>
  <c r="F87" i="12"/>
  <c r="O67" i="15"/>
  <c r="F67" s="1"/>
  <c r="F66"/>
  <c r="J75"/>
  <c r="D63"/>
  <c r="F60"/>
  <c r="O63"/>
  <c r="AG11" i="56"/>
  <c r="T11"/>
  <c r="X10"/>
  <c r="S10"/>
  <c r="O10"/>
  <c r="N10"/>
  <c r="M10"/>
  <c r="K10"/>
  <c r="F10"/>
  <c r="Q10"/>
  <c r="AF9"/>
  <c r="Y9"/>
  <c r="W9"/>
  <c r="V9"/>
  <c r="J9"/>
  <c r="I9"/>
  <c r="H9"/>
  <c r="G9"/>
  <c r="E9"/>
  <c r="D9"/>
  <c r="C9"/>
  <c r="AF10"/>
  <c r="AA10"/>
  <c r="Z10"/>
  <c r="AF49" i="51"/>
  <c r="AF5" i="56" s="1"/>
  <c r="AE49" i="51"/>
  <c r="AE5" i="56" s="1"/>
  <c r="AE12" s="1"/>
  <c r="AD49" i="51"/>
  <c r="AD5" i="56" s="1"/>
  <c r="AC49" i="51"/>
  <c r="AC5" i="56" s="1"/>
  <c r="AB49" i="51"/>
  <c r="AB5" i="56" s="1"/>
  <c r="AB12" s="1"/>
  <c r="AA49" i="51"/>
  <c r="AA5" i="56" s="1"/>
  <c r="Z49" i="51"/>
  <c r="Z5" i="56" s="1"/>
  <c r="Y49" i="51"/>
  <c r="Y5" i="56" s="1"/>
  <c r="X49" i="51"/>
  <c r="X5" i="56" s="1"/>
  <c r="X12" s="1"/>
  <c r="W49" i="51"/>
  <c r="V5" i="56" s="1"/>
  <c r="V49" i="51"/>
  <c r="U5" i="56" s="1"/>
  <c r="T49" i="51"/>
  <c r="S5" i="56" s="1"/>
  <c r="S12" s="1"/>
  <c r="S49" i="51"/>
  <c r="R5" i="56" s="1"/>
  <c r="R12" s="1"/>
  <c r="R49" i="51"/>
  <c r="Q5" i="56" s="1"/>
  <c r="Q49" i="51"/>
  <c r="P5" i="56" s="1"/>
  <c r="P12" s="1"/>
  <c r="P49" i="51"/>
  <c r="O5" i="56" s="1"/>
  <c r="O49" i="51"/>
  <c r="N5" i="56" s="1"/>
  <c r="N12" s="1"/>
  <c r="N49" i="51"/>
  <c r="M5" i="56" s="1"/>
  <c r="M49" i="51"/>
  <c r="L5" i="56" s="1"/>
  <c r="L12" s="1"/>
  <c r="L49" i="51"/>
  <c r="K5" i="56" s="1"/>
  <c r="J5"/>
  <c r="J49" i="51"/>
  <c r="I5" i="56" s="1"/>
  <c r="I49" i="51"/>
  <c r="H5" i="56" s="1"/>
  <c r="H49" i="51"/>
  <c r="G5" i="56" s="1"/>
  <c r="G49" i="51"/>
  <c r="F5" i="56" s="1"/>
  <c r="F49" i="51"/>
  <c r="E5" i="56" s="1"/>
  <c r="E49" i="51"/>
  <c r="D5" i="56" s="1"/>
  <c r="C5"/>
  <c r="AG5" l="1"/>
  <c r="AF12"/>
  <c r="K12"/>
  <c r="E75" i="15"/>
  <c r="T9" i="56"/>
  <c r="AG9"/>
  <c r="J79" i="15"/>
  <c r="D79" s="1"/>
  <c r="D75"/>
  <c r="H10" i="56"/>
  <c r="H12" s="1"/>
  <c r="J10"/>
  <c r="J12" s="1"/>
  <c r="E10"/>
  <c r="E12" s="1"/>
  <c r="F63" i="15"/>
  <c r="O75"/>
  <c r="D10" i="56"/>
  <c r="D12" s="1"/>
  <c r="G10"/>
  <c r="G12" s="1"/>
  <c r="AD10"/>
  <c r="AD12" s="1"/>
  <c r="U10"/>
  <c r="U12" s="1"/>
  <c r="W10"/>
  <c r="I10"/>
  <c r="I12" s="1"/>
  <c r="T8"/>
  <c r="AC10"/>
  <c r="AC12" s="1"/>
  <c r="V10"/>
  <c r="V12" s="1"/>
  <c r="Y10"/>
  <c r="Y12" s="1"/>
  <c r="AG8"/>
  <c r="C10"/>
  <c r="C12" s="1"/>
  <c r="Z12"/>
  <c r="F12"/>
  <c r="O12"/>
  <c r="Q12"/>
  <c r="U49" i="51"/>
  <c r="AG49"/>
  <c r="AA12" i="56"/>
  <c r="AG7"/>
  <c r="T5"/>
  <c r="T7"/>
  <c r="AG12" l="1"/>
  <c r="T12"/>
  <c r="O79" i="15"/>
  <c r="F79" s="1"/>
  <c r="F75"/>
  <c r="T10" i="56"/>
  <c r="AG10"/>
  <c r="F13" i="1" l="1"/>
  <c r="F12"/>
  <c r="F11"/>
  <c r="E14"/>
  <c r="AG101" i="7"/>
  <c r="F101" s="1"/>
  <c r="H13" i="18" l="1"/>
  <c r="F14" i="1"/>
  <c r="AG20" i="7"/>
  <c r="I32" l="1"/>
  <c r="F32" s="1"/>
  <c r="I33"/>
  <c r="F33" s="1"/>
  <c r="I34"/>
  <c r="F34" s="1"/>
  <c r="I20"/>
  <c r="I21"/>
  <c r="F21" s="1"/>
  <c r="F15" i="1" l="1"/>
  <c r="AG58" i="41"/>
  <c r="AG57"/>
  <c r="AG56"/>
  <c r="AG55"/>
  <c r="AG52"/>
  <c r="F52" s="1"/>
  <c r="AG51"/>
  <c r="AG50"/>
  <c r="AG49"/>
  <c r="F49" s="1"/>
  <c r="AG48"/>
  <c r="AG47"/>
  <c r="AG46"/>
  <c r="O58" l="1"/>
  <c r="O57"/>
  <c r="O56"/>
  <c r="O55"/>
  <c r="O52"/>
  <c r="O51"/>
  <c r="O50"/>
  <c r="O49"/>
  <c r="O48"/>
  <c r="O47"/>
  <c r="O46"/>
  <c r="I58" l="1"/>
  <c r="F58" s="1"/>
  <c r="I57"/>
  <c r="F57" s="1"/>
  <c r="I56"/>
  <c r="F56" s="1"/>
  <c r="I55"/>
  <c r="F55" s="1"/>
  <c r="I47"/>
  <c r="I48"/>
  <c r="I49"/>
  <c r="I50"/>
  <c r="I51"/>
  <c r="I52"/>
  <c r="I46"/>
  <c r="H53"/>
  <c r="H59"/>
  <c r="N59"/>
  <c r="O59"/>
  <c r="Z59"/>
  <c r="AF59"/>
  <c r="AG59"/>
  <c r="I53" l="1"/>
  <c r="F53"/>
  <c r="D59"/>
  <c r="J23" i="8" s="1"/>
  <c r="I59" i="41"/>
  <c r="F59"/>
  <c r="L23" i="8" s="1"/>
  <c r="E59" i="41"/>
  <c r="K23" i="8" s="1"/>
  <c r="E53" i="41"/>
  <c r="I22" i="7" l="1"/>
  <c r="AG102" l="1"/>
  <c r="AG96"/>
  <c r="F96" s="1"/>
  <c r="H11" i="18" s="1"/>
  <c r="AG65" i="7"/>
  <c r="F65" s="1"/>
  <c r="AG66"/>
  <c r="F66" s="1"/>
  <c r="AG67"/>
  <c r="F67" s="1"/>
  <c r="AG68"/>
  <c r="F68" s="1"/>
  <c r="E63"/>
  <c r="AG31"/>
  <c r="AA31"/>
  <c r="AA30"/>
  <c r="AA25"/>
  <c r="X10"/>
  <c r="F10" s="1"/>
  <c r="W8"/>
  <c r="E8" s="1"/>
  <c r="X6"/>
  <c r="F6" s="1"/>
  <c r="U30"/>
  <c r="R30"/>
  <c r="U22"/>
  <c r="R22"/>
  <c r="O30"/>
  <c r="O20"/>
  <c r="L30"/>
  <c r="L20"/>
  <c r="I30"/>
  <c r="I23"/>
  <c r="F23" s="1"/>
  <c r="I13"/>
  <c r="F13" s="1"/>
  <c r="K40" i="40"/>
  <c r="J51"/>
  <c r="W25" i="8" s="1"/>
  <c r="E25" s="1"/>
  <c r="K26" i="40"/>
  <c r="F102" i="7" l="1"/>
  <c r="AG104"/>
  <c r="F20"/>
  <c r="K51" i="40"/>
  <c r="X25" i="8" s="1"/>
  <c r="F25" s="1"/>
  <c r="H23" i="18" s="1"/>
  <c r="F30" i="7"/>
  <c r="F22"/>
  <c r="X8"/>
  <c r="F8" s="1"/>
  <c r="H29" i="40"/>
  <c r="H30"/>
  <c r="H31"/>
  <c r="H32"/>
  <c r="H33"/>
  <c r="H34"/>
  <c r="H35"/>
  <c r="H36"/>
  <c r="H37"/>
  <c r="H38"/>
  <c r="H39"/>
  <c r="G27"/>
  <c r="H46"/>
  <c r="H5"/>
  <c r="H6"/>
  <c r="H4"/>
  <c r="H51" s="1"/>
  <c r="E17"/>
  <c r="E18"/>
  <c r="E19"/>
  <c r="E20"/>
  <c r="E21"/>
  <c r="E22"/>
  <c r="E23"/>
  <c r="E24"/>
  <c r="E25"/>
  <c r="E16"/>
  <c r="E9"/>
  <c r="E10"/>
  <c r="E11"/>
  <c r="E12"/>
  <c r="E13"/>
  <c r="E14"/>
  <c r="E8"/>
  <c r="D15"/>
  <c r="D51" s="1"/>
  <c r="D7"/>
  <c r="E4"/>
  <c r="E21" i="37"/>
  <c r="C16"/>
  <c r="C15"/>
  <c r="C14"/>
  <c r="C13"/>
  <c r="C12"/>
  <c r="C11"/>
  <c r="E6"/>
  <c r="E5"/>
  <c r="E4"/>
  <c r="R24" i="6"/>
  <c r="O29"/>
  <c r="O16"/>
  <c r="O15"/>
  <c r="F15" s="1"/>
  <c r="O12"/>
  <c r="O9"/>
  <c r="O6"/>
  <c r="O7" s="1"/>
  <c r="L9"/>
  <c r="L6"/>
  <c r="F6" s="1"/>
  <c r="L5"/>
  <c r="K7"/>
  <c r="M7"/>
  <c r="N7"/>
  <c r="P7"/>
  <c r="Q7"/>
  <c r="R7"/>
  <c r="I43"/>
  <c r="I42"/>
  <c r="I41"/>
  <c r="I40"/>
  <c r="F40" s="1"/>
  <c r="I39"/>
  <c r="I38"/>
  <c r="I37"/>
  <c r="I33"/>
  <c r="I32"/>
  <c r="I31"/>
  <c r="I30"/>
  <c r="I29"/>
  <c r="F29" s="1"/>
  <c r="I27"/>
  <c r="I26"/>
  <c r="F26" s="1"/>
  <c r="I24"/>
  <c r="I23"/>
  <c r="F23" s="1"/>
  <c r="I22"/>
  <c r="I21"/>
  <c r="I20"/>
  <c r="I19"/>
  <c r="I18"/>
  <c r="I16"/>
  <c r="F16" s="1"/>
  <c r="I15"/>
  <c r="I12"/>
  <c r="I13"/>
  <c r="I11"/>
  <c r="F11" s="1"/>
  <c r="I9"/>
  <c r="F9" s="1"/>
  <c r="I6"/>
  <c r="I5"/>
  <c r="F5" s="1"/>
  <c r="F33" i="1"/>
  <c r="F34" s="1"/>
  <c r="F29"/>
  <c r="F26"/>
  <c r="F28" s="1"/>
  <c r="F24"/>
  <c r="F23"/>
  <c r="F16"/>
  <c r="F17" s="1"/>
  <c r="F9"/>
  <c r="F6"/>
  <c r="F7" s="1"/>
  <c r="D14" i="45"/>
  <c r="D13"/>
  <c r="D10"/>
  <c r="D34" i="44"/>
  <c r="D4"/>
  <c r="D5"/>
  <c r="D6"/>
  <c r="D7"/>
  <c r="D11"/>
  <c r="D12"/>
  <c r="D13"/>
  <c r="D15"/>
  <c r="D19"/>
  <c r="D20"/>
  <c r="D21"/>
  <c r="D22"/>
  <c r="D25"/>
  <c r="D26"/>
  <c r="D3"/>
  <c r="D37" i="43"/>
  <c r="D42" s="1"/>
  <c r="D40"/>
  <c r="E68" i="9"/>
  <c r="E67"/>
  <c r="E66"/>
  <c r="D22" i="18" s="1"/>
  <c r="E56" i="9"/>
  <c r="E57"/>
  <c r="E59"/>
  <c r="E60"/>
  <c r="E62"/>
  <c r="E63"/>
  <c r="E64"/>
  <c r="E55"/>
  <c r="E53"/>
  <c r="E12" i="17" s="1"/>
  <c r="C9" i="30" s="1"/>
  <c r="E45" i="9"/>
  <c r="E46"/>
  <c r="E47"/>
  <c r="E48"/>
  <c r="E49"/>
  <c r="E50"/>
  <c r="E51"/>
  <c r="E44"/>
  <c r="E25"/>
  <c r="E26"/>
  <c r="E27"/>
  <c r="E28"/>
  <c r="E29"/>
  <c r="E30"/>
  <c r="E31"/>
  <c r="E32"/>
  <c r="E33"/>
  <c r="E34"/>
  <c r="E35"/>
  <c r="E36"/>
  <c r="E24"/>
  <c r="E14"/>
  <c r="E15"/>
  <c r="E17"/>
  <c r="E18"/>
  <c r="E19"/>
  <c r="E20"/>
  <c r="E21"/>
  <c r="E22"/>
  <c r="E13"/>
  <c r="E9"/>
  <c r="E10"/>
  <c r="E5"/>
  <c r="E34" i="1"/>
  <c r="E28"/>
  <c r="E25"/>
  <c r="E17"/>
  <c r="L21" i="8"/>
  <c r="K21"/>
  <c r="L12"/>
  <c r="K12"/>
  <c r="D16" i="45"/>
  <c r="C16"/>
  <c r="D11"/>
  <c r="C11"/>
  <c r="D8"/>
  <c r="C8"/>
  <c r="C39" i="44"/>
  <c r="C31"/>
  <c r="D75" i="9"/>
  <c r="D78" s="1"/>
  <c r="D71"/>
  <c r="E71"/>
  <c r="D69"/>
  <c r="C7" i="18" s="1"/>
  <c r="D65" i="9"/>
  <c r="D52"/>
  <c r="D43"/>
  <c r="D10" i="17" s="1"/>
  <c r="D40" i="9"/>
  <c r="E40"/>
  <c r="D37"/>
  <c r="D16" i="17" s="1"/>
  <c r="C21" i="18" s="1"/>
  <c r="D11" i="9"/>
  <c r="D5" i="17" s="1"/>
  <c r="D74" i="9"/>
  <c r="E74"/>
  <c r="C20" i="18"/>
  <c r="C26"/>
  <c r="C25" s="1"/>
  <c r="C11"/>
  <c r="D9" i="17"/>
  <c r="E9"/>
  <c r="D11"/>
  <c r="D12"/>
  <c r="D17"/>
  <c r="E17"/>
  <c r="C15" i="30" s="1"/>
  <c r="D18" i="17"/>
  <c r="E18"/>
  <c r="C16" i="30" s="1"/>
  <c r="C18"/>
  <c r="B39" i="44"/>
  <c r="E43" i="9" l="1"/>
  <c r="E10" i="17" s="1"/>
  <c r="C7" i="30" s="1"/>
  <c r="D54" i="9"/>
  <c r="C5" i="18" s="1"/>
  <c r="F12" i="6"/>
  <c r="E45"/>
  <c r="E69" i="9"/>
  <c r="D18" i="45"/>
  <c r="C18"/>
  <c r="E37" i="9"/>
  <c r="E16" i="17" s="1"/>
  <c r="D14"/>
  <c r="E15" i="40"/>
  <c r="C6" i="18"/>
  <c r="D13" i="17"/>
  <c r="D31" i="44"/>
  <c r="E52" i="9"/>
  <c r="E11" i="17" s="1"/>
  <c r="C8" i="30" s="1"/>
  <c r="W18" i="8"/>
  <c r="W27" s="1"/>
  <c r="D41" i="17"/>
  <c r="G23" i="18"/>
  <c r="D7"/>
  <c r="E14" i="17"/>
  <c r="C12" i="30" s="1"/>
  <c r="F25" i="1"/>
  <c r="E41" i="17"/>
  <c r="C36" i="30" s="1"/>
  <c r="L7" i="6"/>
  <c r="D23" i="9"/>
  <c r="M51" i="40"/>
  <c r="N16"/>
  <c r="E7"/>
  <c r="E35" i="1"/>
  <c r="C17" i="37"/>
  <c r="D15" i="17"/>
  <c r="D6"/>
  <c r="D7" s="1"/>
  <c r="D8"/>
  <c r="D23"/>
  <c r="C30" i="18"/>
  <c r="D20" i="17" l="1"/>
  <c r="D53" s="1"/>
  <c r="C14" i="30"/>
  <c r="D21" i="18"/>
  <c r="D20" s="1"/>
  <c r="E15" i="17"/>
  <c r="E54" i="9"/>
  <c r="D5" i="18" s="1"/>
  <c r="E51" i="40"/>
  <c r="N51" s="1"/>
  <c r="E8" i="17"/>
  <c r="F35" i="1"/>
  <c r="D72" i="9"/>
  <c r="C4" i="18"/>
  <c r="C3" s="1"/>
  <c r="C16" s="1"/>
  <c r="C31" s="1"/>
  <c r="D4" i="17"/>
  <c r="D19" s="1"/>
  <c r="D26" l="1"/>
  <c r="L16" i="40"/>
  <c r="J16" i="29"/>
  <c r="J15"/>
  <c r="J14" s="1"/>
  <c r="E14"/>
  <c r="F14"/>
  <c r="G14"/>
  <c r="H14"/>
  <c r="I14"/>
  <c r="D14"/>
  <c r="AG69" i="7"/>
  <c r="D7" i="37"/>
  <c r="E7"/>
  <c r="C7"/>
  <c r="F69" i="7" l="1"/>
  <c r="I51" i="40"/>
  <c r="V25" i="8" s="1"/>
  <c r="D25" s="1"/>
  <c r="L5" i="40"/>
  <c r="M5"/>
  <c r="N5"/>
  <c r="L6"/>
  <c r="M6"/>
  <c r="N6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M15"/>
  <c r="N15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41"/>
  <c r="M41"/>
  <c r="N41"/>
  <c r="M46"/>
  <c r="N46"/>
  <c r="M27"/>
  <c r="M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M4"/>
  <c r="N4"/>
  <c r="L4"/>
  <c r="E6" i="9" l="1"/>
  <c r="E11" i="37"/>
  <c r="E12"/>
  <c r="E13"/>
  <c r="E14"/>
  <c r="E15"/>
  <c r="E16"/>
  <c r="C22"/>
  <c r="E22"/>
  <c r="D22"/>
  <c r="D17" l="1"/>
  <c r="E17"/>
  <c r="AG64" i="7"/>
  <c r="F64" s="1"/>
  <c r="E77" i="9" l="1"/>
  <c r="E25" i="17" s="1"/>
  <c r="C21" i="30" s="1"/>
  <c r="AG70" i="7" l="1"/>
  <c r="F70" s="1"/>
  <c r="D26" i="18"/>
  <c r="E16" i="9"/>
  <c r="E12" s="1"/>
  <c r="E6" i="17" s="1"/>
  <c r="C5" i="30" s="1"/>
  <c r="D63" i="7"/>
  <c r="E76" i="9"/>
  <c r="D25" i="18" l="1"/>
  <c r="D30" s="1"/>
  <c r="D12"/>
  <c r="D11" s="1"/>
  <c r="E24" i="17"/>
  <c r="C20" i="30" s="1"/>
  <c r="E75" i="9"/>
  <c r="E78" s="1"/>
  <c r="AG63" i="7"/>
  <c r="F63" s="1"/>
  <c r="C7" i="40"/>
  <c r="C51" s="1"/>
  <c r="L15"/>
  <c r="E23" i="17" l="1"/>
  <c r="I44" i="6"/>
  <c r="F45" s="1"/>
  <c r="L7" i="40"/>
  <c r="E8" i="9"/>
  <c r="E7"/>
  <c r="E20" i="17" l="1"/>
  <c r="E53" s="1"/>
  <c r="E11" i="9"/>
  <c r="E58"/>
  <c r="E5" i="17" l="1"/>
  <c r="E23" i="9"/>
  <c r="D4" i="18" s="1"/>
  <c r="I25" i="7"/>
  <c r="F25" s="1"/>
  <c r="F31"/>
  <c r="E7" i="17" l="1"/>
  <c r="C4" i="30"/>
  <c r="L28" i="40"/>
  <c r="H28"/>
  <c r="Y71" i="7"/>
  <c r="Z71"/>
  <c r="AA71"/>
  <c r="H27" i="40" l="1"/>
  <c r="N28"/>
  <c r="E61" i="9"/>
  <c r="E65" s="1"/>
  <c r="D6" i="18" l="1"/>
  <c r="E13" i="17"/>
  <c r="C11" i="30" s="1"/>
  <c r="E72" i="9"/>
  <c r="N27" i="40"/>
  <c r="X18" i="8" l="1"/>
  <c r="D10" i="21" l="1"/>
  <c r="D16" s="1"/>
  <c r="C10"/>
  <c r="C16" s="1"/>
  <c r="D3" i="18" l="1"/>
  <c r="D16" s="1"/>
  <c r="D31" s="1"/>
  <c r="E4" i="17"/>
  <c r="E19" l="1"/>
  <c r="E26"/>
  <c r="Y35" i="7" l="1"/>
  <c r="Z35"/>
  <c r="AA35"/>
  <c r="Y29"/>
  <c r="Z29"/>
  <c r="AA29"/>
  <c r="Y26"/>
  <c r="Z26"/>
  <c r="AA26"/>
  <c r="Z36" l="1"/>
  <c r="Z94" s="1"/>
  <c r="Y36"/>
  <c r="Y94" s="1"/>
  <c r="AA36"/>
  <c r="AA94" s="1"/>
  <c r="V8"/>
  <c r="D8" s="1"/>
  <c r="I26" l="1"/>
  <c r="J26"/>
  <c r="K26"/>
  <c r="L26"/>
  <c r="H35"/>
  <c r="I35"/>
  <c r="J35"/>
  <c r="K35"/>
  <c r="L35"/>
  <c r="M35"/>
  <c r="E10" i="21"/>
  <c r="K36" i="7" l="1"/>
  <c r="K94" s="1"/>
  <c r="L36"/>
  <c r="L94" s="1"/>
  <c r="J36"/>
  <c r="J94" s="1"/>
  <c r="P18" i="30"/>
  <c r="C41" i="17"/>
  <c r="B26" i="18"/>
  <c r="B25" s="1"/>
  <c r="F23" l="1"/>
  <c r="L27" i="40" l="1"/>
  <c r="L51" l="1"/>
  <c r="V18" i="8"/>
  <c r="H7" i="6" l="1"/>
  <c r="E7" s="1"/>
  <c r="I7"/>
  <c r="F7" s="1"/>
  <c r="B16" i="45" l="1"/>
  <c r="B11"/>
  <c r="B8"/>
  <c r="B18" l="1"/>
  <c r="D31" i="43" l="1"/>
  <c r="B31"/>
  <c r="C21"/>
  <c r="D21"/>
  <c r="D39" i="44"/>
  <c r="B7" i="18" l="1"/>
  <c r="H9" i="8"/>
  <c r="I9"/>
  <c r="H10"/>
  <c r="I10"/>
  <c r="H11"/>
  <c r="I11"/>
  <c r="H12"/>
  <c r="I12"/>
  <c r="H13"/>
  <c r="I13"/>
  <c r="G9"/>
  <c r="H7"/>
  <c r="I7"/>
  <c r="G7"/>
  <c r="Y4"/>
  <c r="Z4"/>
  <c r="AA4"/>
  <c r="Z5"/>
  <c r="AA5"/>
  <c r="Z7"/>
  <c r="AA7"/>
  <c r="Z19"/>
  <c r="AA19"/>
  <c r="Z3"/>
  <c r="AA3"/>
  <c r="L24" i="6"/>
  <c r="F24" s="1"/>
  <c r="F19" i="8" l="1"/>
  <c r="H9" i="18" s="1"/>
  <c r="E19" i="8"/>
  <c r="D37" i="17" s="1"/>
  <c r="Y3" i="8"/>
  <c r="Y7"/>
  <c r="Y5"/>
  <c r="Y19"/>
  <c r="D19" s="1"/>
  <c r="H14"/>
  <c r="I14"/>
  <c r="AG64" i="41"/>
  <c r="AF64"/>
  <c r="Z64"/>
  <c r="O64"/>
  <c r="N64"/>
  <c r="I64"/>
  <c r="H64"/>
  <c r="D63"/>
  <c r="D62"/>
  <c r="D61"/>
  <c r="AG53"/>
  <c r="AF53"/>
  <c r="Z53"/>
  <c r="AA53" s="1"/>
  <c r="O53"/>
  <c r="N53"/>
  <c r="AG34"/>
  <c r="AF34"/>
  <c r="Z34"/>
  <c r="O34"/>
  <c r="N34"/>
  <c r="I34"/>
  <c r="H34"/>
  <c r="AG28"/>
  <c r="AF28"/>
  <c r="Z28"/>
  <c r="O28"/>
  <c r="N28"/>
  <c r="I28"/>
  <c r="H28"/>
  <c r="D28"/>
  <c r="J12" i="8" s="1"/>
  <c r="D27" i="41"/>
  <c r="D26"/>
  <c r="AG25"/>
  <c r="AF25"/>
  <c r="Z25"/>
  <c r="AA25" s="1"/>
  <c r="O25"/>
  <c r="N25"/>
  <c r="I25"/>
  <c r="H25"/>
  <c r="F25"/>
  <c r="L11" i="8" s="1"/>
  <c r="E25" i="41"/>
  <c r="K11" i="8" s="1"/>
  <c r="AG17" i="41"/>
  <c r="AF17"/>
  <c r="Z17"/>
  <c r="O17"/>
  <c r="N17"/>
  <c r="I17"/>
  <c r="H17"/>
  <c r="F17"/>
  <c r="L10" i="8" s="1"/>
  <c r="E17" i="41"/>
  <c r="K10" i="8" s="1"/>
  <c r="D16" i="41"/>
  <c r="D15"/>
  <c r="AG14"/>
  <c r="AF14"/>
  <c r="Z14"/>
  <c r="O14"/>
  <c r="N14"/>
  <c r="I14"/>
  <c r="H14"/>
  <c r="F14"/>
  <c r="L9" i="8" s="1"/>
  <c r="E14" i="41"/>
  <c r="K9" i="8" s="1"/>
  <c r="D13" i="41"/>
  <c r="D12"/>
  <c r="D11"/>
  <c r="D9"/>
  <c r="D8"/>
  <c r="F7"/>
  <c r="E7"/>
  <c r="D7"/>
  <c r="D6"/>
  <c r="D5"/>
  <c r="E22" i="5"/>
  <c r="F22"/>
  <c r="Q7" i="8"/>
  <c r="R7"/>
  <c r="Q4"/>
  <c r="Q3"/>
  <c r="E3" s="1"/>
  <c r="R3"/>
  <c r="S16"/>
  <c r="D16" s="1"/>
  <c r="T16"/>
  <c r="U16"/>
  <c r="N23"/>
  <c r="O23"/>
  <c r="M23"/>
  <c r="D23" s="1"/>
  <c r="N12"/>
  <c r="O12"/>
  <c r="N13"/>
  <c r="O13"/>
  <c r="N7"/>
  <c r="E7" s="1"/>
  <c r="O7"/>
  <c r="F7" s="1"/>
  <c r="N3"/>
  <c r="O3"/>
  <c r="N4"/>
  <c r="O4"/>
  <c r="H3"/>
  <c r="I3"/>
  <c r="F3" s="1"/>
  <c r="H4"/>
  <c r="I4"/>
  <c r="G3"/>
  <c r="E23" l="1"/>
  <c r="G22" i="18" s="1"/>
  <c r="H22"/>
  <c r="F23" i="8"/>
  <c r="E16"/>
  <c r="G7" i="18" s="1"/>
  <c r="E4" i="8"/>
  <c r="F16"/>
  <c r="E35" i="17" s="1"/>
  <c r="C30" i="30" s="1"/>
  <c r="G9" i="18"/>
  <c r="E37" i="17"/>
  <c r="C32" i="30" s="1"/>
  <c r="AA34" i="41"/>
  <c r="L13" i="8" s="1"/>
  <c r="K13"/>
  <c r="F9" i="18"/>
  <c r="C37" i="17"/>
  <c r="F22" i="18"/>
  <c r="C40" i="17"/>
  <c r="E40"/>
  <c r="C35" i="30" s="1"/>
  <c r="J21" i="8"/>
  <c r="D35" i="17"/>
  <c r="D25" i="41"/>
  <c r="J11" i="8" s="1"/>
  <c r="D14" i="41"/>
  <c r="J9" i="8" s="1"/>
  <c r="U27"/>
  <c r="U30" s="1"/>
  <c r="D17" i="41"/>
  <c r="J10" i="8" s="1"/>
  <c r="I35" i="41"/>
  <c r="AF35"/>
  <c r="AF66" s="1"/>
  <c r="N35"/>
  <c r="N66" s="1"/>
  <c r="H35"/>
  <c r="O35"/>
  <c r="O66" s="1"/>
  <c r="Z35"/>
  <c r="AG35"/>
  <c r="AG66" s="1"/>
  <c r="T27" i="8"/>
  <c r="T30" s="1"/>
  <c r="S27"/>
  <c r="S30" s="1"/>
  <c r="J13"/>
  <c r="I5"/>
  <c r="V27"/>
  <c r="V30" s="1"/>
  <c r="H5"/>
  <c r="R4"/>
  <c r="Q5"/>
  <c r="O5"/>
  <c r="N5"/>
  <c r="I71" i="7"/>
  <c r="H71"/>
  <c r="D71"/>
  <c r="O35"/>
  <c r="N35"/>
  <c r="O29"/>
  <c r="F29" s="1"/>
  <c r="N29"/>
  <c r="E29" s="1"/>
  <c r="M29"/>
  <c r="I29"/>
  <c r="H29"/>
  <c r="O26"/>
  <c r="N26"/>
  <c r="M26"/>
  <c r="O18"/>
  <c r="N18"/>
  <c r="M18"/>
  <c r="I18"/>
  <c r="F18" s="1"/>
  <c r="H18"/>
  <c r="E18" s="1"/>
  <c r="O15"/>
  <c r="N15"/>
  <c r="M15"/>
  <c r="I15"/>
  <c r="H15"/>
  <c r="D40" i="17" l="1"/>
  <c r="E5" i="8"/>
  <c r="R5"/>
  <c r="F5" s="1"/>
  <c r="F4"/>
  <c r="H7" i="18"/>
  <c r="Z66" i="41"/>
  <c r="E66" s="1"/>
  <c r="AA35"/>
  <c r="AA66" s="1"/>
  <c r="F66" s="1"/>
  <c r="H66"/>
  <c r="K27" i="8"/>
  <c r="I66" i="41"/>
  <c r="L27" i="8"/>
  <c r="F7" i="18"/>
  <c r="C35" i="17"/>
  <c r="D29" i="7"/>
  <c r="D33" i="17"/>
  <c r="G5" i="18"/>
  <c r="E33" i="17"/>
  <c r="C28" i="30" s="1"/>
  <c r="H5" i="18"/>
  <c r="H27" i="8"/>
  <c r="H30" s="1"/>
  <c r="W30"/>
  <c r="X27"/>
  <c r="X30" s="1"/>
  <c r="I27"/>
  <c r="I30" s="1"/>
  <c r="I36" i="7"/>
  <c r="H36"/>
  <c r="N36"/>
  <c r="N94" s="1"/>
  <c r="O36"/>
  <c r="O94" s="1"/>
  <c r="M36"/>
  <c r="M94" s="1"/>
  <c r="K30" i="8" l="1"/>
  <c r="L30"/>
  <c r="I94" i="7"/>
  <c r="D32" i="17"/>
  <c r="G4" i="18"/>
  <c r="E32" i="17"/>
  <c r="C27" i="30" s="1"/>
  <c r="H4" i="18"/>
  <c r="H94" i="7"/>
  <c r="J11" i="29"/>
  <c r="J10"/>
  <c r="I9"/>
  <c r="H9"/>
  <c r="G9"/>
  <c r="F9"/>
  <c r="F17" s="1"/>
  <c r="E9"/>
  <c r="E17" s="1"/>
  <c r="D9"/>
  <c r="E5"/>
  <c r="P38" i="30"/>
  <c r="O37"/>
  <c r="N37"/>
  <c r="M37"/>
  <c r="L37"/>
  <c r="K37"/>
  <c r="J37"/>
  <c r="I37"/>
  <c r="H37"/>
  <c r="G37"/>
  <c r="F37"/>
  <c r="E37"/>
  <c r="D37"/>
  <c r="P36"/>
  <c r="P35"/>
  <c r="P34"/>
  <c r="O33"/>
  <c r="N33"/>
  <c r="N39" s="1"/>
  <c r="M33"/>
  <c r="L33"/>
  <c r="K33"/>
  <c r="J33"/>
  <c r="I33"/>
  <c r="H33"/>
  <c r="G33"/>
  <c r="F33"/>
  <c r="E33"/>
  <c r="D33"/>
  <c r="P32"/>
  <c r="P31"/>
  <c r="P30"/>
  <c r="P29"/>
  <c r="P28"/>
  <c r="P27"/>
  <c r="O22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P21"/>
  <c r="O17"/>
  <c r="N17"/>
  <c r="M17"/>
  <c r="L17"/>
  <c r="K17"/>
  <c r="J17"/>
  <c r="I17"/>
  <c r="H17"/>
  <c r="G17"/>
  <c r="F17"/>
  <c r="E17"/>
  <c r="D17"/>
  <c r="P16"/>
  <c r="P15"/>
  <c r="P14"/>
  <c r="P12"/>
  <c r="P11"/>
  <c r="N10"/>
  <c r="L10"/>
  <c r="J10"/>
  <c r="I10"/>
  <c r="H10"/>
  <c r="D10"/>
  <c r="P9"/>
  <c r="P8"/>
  <c r="O10"/>
  <c r="M10"/>
  <c r="K10"/>
  <c r="G10"/>
  <c r="F10"/>
  <c r="E10"/>
  <c r="O6"/>
  <c r="N6"/>
  <c r="M6"/>
  <c r="L6"/>
  <c r="K6"/>
  <c r="J6"/>
  <c r="I6"/>
  <c r="H6"/>
  <c r="G6"/>
  <c r="F6"/>
  <c r="E6"/>
  <c r="D6"/>
  <c r="P5"/>
  <c r="P4"/>
  <c r="E16" i="21"/>
  <c r="AF15" i="7"/>
  <c r="AG15"/>
  <c r="AF18"/>
  <c r="AG18"/>
  <c r="AF26"/>
  <c r="AG26"/>
  <c r="AF29"/>
  <c r="AG29"/>
  <c r="AF35"/>
  <c r="AG35"/>
  <c r="D52" i="5"/>
  <c r="E64"/>
  <c r="F64"/>
  <c r="G64"/>
  <c r="H64"/>
  <c r="I64"/>
  <c r="J64"/>
  <c r="K64"/>
  <c r="L64"/>
  <c r="M64"/>
  <c r="N64"/>
  <c r="O64"/>
  <c r="P64"/>
  <c r="Q64"/>
  <c r="R64"/>
  <c r="D62"/>
  <c r="D63"/>
  <c r="D61"/>
  <c r="G4" i="8"/>
  <c r="AF99" i="7"/>
  <c r="AG99"/>
  <c r="P99"/>
  <c r="Q99"/>
  <c r="R99"/>
  <c r="S99"/>
  <c r="T99"/>
  <c r="U99"/>
  <c r="V99"/>
  <c r="W99"/>
  <c r="X99"/>
  <c r="AF71"/>
  <c r="E71" s="1"/>
  <c r="AG71"/>
  <c r="F71" s="1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H28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1" i="8" s="1"/>
  <c r="F53" i="5"/>
  <c r="O21" i="8" s="1"/>
  <c r="G28" i="5"/>
  <c r="G34"/>
  <c r="E7"/>
  <c r="F7"/>
  <c r="F25"/>
  <c r="O11" i="8" s="1"/>
  <c r="E25" i="5"/>
  <c r="O25"/>
  <c r="N25"/>
  <c r="M25"/>
  <c r="L25"/>
  <c r="K25"/>
  <c r="J25"/>
  <c r="I25"/>
  <c r="H25"/>
  <c r="F17"/>
  <c r="O10" i="8" s="1"/>
  <c r="E17" i="5"/>
  <c r="N10" i="8" s="1"/>
  <c r="O17" i="5"/>
  <c r="N17"/>
  <c r="M17"/>
  <c r="L17"/>
  <c r="K17"/>
  <c r="J17"/>
  <c r="I17"/>
  <c r="H17"/>
  <c r="G17"/>
  <c r="F14"/>
  <c r="O9" i="8" s="1"/>
  <c r="E14" i="5"/>
  <c r="N9" i="8" s="1"/>
  <c r="O14" i="5"/>
  <c r="N14"/>
  <c r="M14"/>
  <c r="L14"/>
  <c r="K14"/>
  <c r="J14"/>
  <c r="I14"/>
  <c r="H14"/>
  <c r="G14"/>
  <c r="G25"/>
  <c r="Q35" i="7"/>
  <c r="R35"/>
  <c r="S35"/>
  <c r="T35"/>
  <c r="U35"/>
  <c r="V35"/>
  <c r="W35"/>
  <c r="X35"/>
  <c r="Q29"/>
  <c r="R29"/>
  <c r="S29"/>
  <c r="T29"/>
  <c r="U29"/>
  <c r="V29"/>
  <c r="W29"/>
  <c r="X29"/>
  <c r="S26"/>
  <c r="D26" s="1"/>
  <c r="T26"/>
  <c r="U26"/>
  <c r="V26"/>
  <c r="W26"/>
  <c r="X26"/>
  <c r="S18"/>
  <c r="T18"/>
  <c r="U18"/>
  <c r="V18"/>
  <c r="W18"/>
  <c r="X18"/>
  <c r="S15"/>
  <c r="T15"/>
  <c r="U15"/>
  <c r="V15"/>
  <c r="D15" s="1"/>
  <c r="W15"/>
  <c r="X15"/>
  <c r="Q71"/>
  <c r="R71"/>
  <c r="S71"/>
  <c r="T71"/>
  <c r="U71"/>
  <c r="V71"/>
  <c r="W71"/>
  <c r="X71"/>
  <c r="Q26"/>
  <c r="R18"/>
  <c r="Q18"/>
  <c r="R15"/>
  <c r="Q15"/>
  <c r="H28" i="6"/>
  <c r="E28" s="1"/>
  <c r="I28"/>
  <c r="F28" s="1"/>
  <c r="K28"/>
  <c r="L28"/>
  <c r="M28"/>
  <c r="N28"/>
  <c r="O28"/>
  <c r="P28"/>
  <c r="Q28"/>
  <c r="R28"/>
  <c r="Q21" i="8"/>
  <c r="R21"/>
  <c r="H45" i="6"/>
  <c r="I45"/>
  <c r="K45"/>
  <c r="L45"/>
  <c r="M45"/>
  <c r="N45"/>
  <c r="O45"/>
  <c r="P45"/>
  <c r="Q45"/>
  <c r="R45"/>
  <c r="H34"/>
  <c r="I34"/>
  <c r="K34"/>
  <c r="L34"/>
  <c r="M34"/>
  <c r="N34"/>
  <c r="O34"/>
  <c r="P34"/>
  <c r="Q34"/>
  <c r="R34"/>
  <c r="R25"/>
  <c r="Q25"/>
  <c r="P25"/>
  <c r="O25"/>
  <c r="N25"/>
  <c r="M25"/>
  <c r="L25"/>
  <c r="K25"/>
  <c r="I25"/>
  <c r="H25"/>
  <c r="R17"/>
  <c r="Q17"/>
  <c r="P17"/>
  <c r="O17"/>
  <c r="N17"/>
  <c r="M17"/>
  <c r="L17"/>
  <c r="K17"/>
  <c r="I17"/>
  <c r="H17"/>
  <c r="R14"/>
  <c r="Q14"/>
  <c r="P14"/>
  <c r="O14"/>
  <c r="N14"/>
  <c r="M14"/>
  <c r="L14"/>
  <c r="K14"/>
  <c r="I14"/>
  <c r="H14"/>
  <c r="E52" i="1"/>
  <c r="E65" s="1"/>
  <c r="F52"/>
  <c r="F65" s="1"/>
  <c r="G13" i="8"/>
  <c r="G12"/>
  <c r="G11"/>
  <c r="G10"/>
  <c r="E21" l="1"/>
  <c r="D4"/>
  <c r="F21"/>
  <c r="E39" i="17" s="1"/>
  <c r="C34" i="30" s="1"/>
  <c r="E34" i="6"/>
  <c r="F34"/>
  <c r="F17"/>
  <c r="E14"/>
  <c r="Q9" i="8" s="1"/>
  <c r="F14" i="6"/>
  <c r="R9" i="8" s="1"/>
  <c r="F25" i="6"/>
  <c r="R11" i="8" s="1"/>
  <c r="E25" i="6"/>
  <c r="Q11" i="8" s="1"/>
  <c r="E17" i="6"/>
  <c r="Q10" i="8" s="1"/>
  <c r="E99" i="7"/>
  <c r="E104"/>
  <c r="F99"/>
  <c r="F104"/>
  <c r="E26"/>
  <c r="Z11" i="8" s="1"/>
  <c r="J39" i="30"/>
  <c r="P33"/>
  <c r="E35" i="7"/>
  <c r="Z13" i="8" s="1"/>
  <c r="F15" i="7"/>
  <c r="AA9" i="8" s="1"/>
  <c r="E15" i="7"/>
  <c r="Z9" i="8" s="1"/>
  <c r="F26" i="7"/>
  <c r="AA11" i="8" s="1"/>
  <c r="F11" s="1"/>
  <c r="F35" i="7"/>
  <c r="AA13" i="8" s="1"/>
  <c r="D35" i="7"/>
  <c r="Y11" i="8"/>
  <c r="B6" i="18"/>
  <c r="H21"/>
  <c r="H20" s="1"/>
  <c r="H30" s="1"/>
  <c r="H39" i="30"/>
  <c r="P37"/>
  <c r="R12" i="8"/>
  <c r="Q12"/>
  <c r="R10"/>
  <c r="R13"/>
  <c r="L39" i="30"/>
  <c r="G13"/>
  <c r="Y9" i="8"/>
  <c r="Z10"/>
  <c r="E10" s="1"/>
  <c r="AA10"/>
  <c r="F10" s="1"/>
  <c r="AA12"/>
  <c r="O39" i="30"/>
  <c r="K39"/>
  <c r="G39"/>
  <c r="F39"/>
  <c r="E39"/>
  <c r="J9" i="29"/>
  <c r="J17" s="1"/>
  <c r="J27" i="8"/>
  <c r="P22" i="30"/>
  <c r="P23" s="1"/>
  <c r="P17"/>
  <c r="N13"/>
  <c r="N24" s="1"/>
  <c r="N41" s="1"/>
  <c r="I13"/>
  <c r="I24" s="1"/>
  <c r="L13"/>
  <c r="L24" s="1"/>
  <c r="D13"/>
  <c r="D24" s="1"/>
  <c r="D39"/>
  <c r="I39"/>
  <c r="M39"/>
  <c r="O13"/>
  <c r="O24" s="1"/>
  <c r="P6"/>
  <c r="F13"/>
  <c r="F24" s="1"/>
  <c r="F41" s="1"/>
  <c r="K13"/>
  <c r="K24" s="1"/>
  <c r="J13"/>
  <c r="J24" s="1"/>
  <c r="J41" s="1"/>
  <c r="G24"/>
  <c r="G41" s="1"/>
  <c r="E13"/>
  <c r="E24" s="1"/>
  <c r="M13"/>
  <c r="M24" s="1"/>
  <c r="M41" s="1"/>
  <c r="H13"/>
  <c r="H24" s="1"/>
  <c r="H17" i="29"/>
  <c r="D17"/>
  <c r="G17"/>
  <c r="I17"/>
  <c r="Z18" i="8"/>
  <c r="E18" s="1"/>
  <c r="Z12"/>
  <c r="E12" s="1"/>
  <c r="AA18"/>
  <c r="F18" s="1"/>
  <c r="G5"/>
  <c r="G14"/>
  <c r="AG36" i="7"/>
  <c r="AG94" s="1"/>
  <c r="Y10" i="8"/>
  <c r="W36" i="7"/>
  <c r="W94" s="1"/>
  <c r="Q36"/>
  <c r="N35" i="6"/>
  <c r="O35"/>
  <c r="O58" s="1"/>
  <c r="L35"/>
  <c r="L58" s="1"/>
  <c r="R35"/>
  <c r="O14" i="8"/>
  <c r="O27" s="1"/>
  <c r="O30" s="1"/>
  <c r="D64" i="5"/>
  <c r="H35"/>
  <c r="H66" s="1"/>
  <c r="M35"/>
  <c r="M66" s="1"/>
  <c r="E35"/>
  <c r="E66" s="1"/>
  <c r="N11" i="8"/>
  <c r="N14" s="1"/>
  <c r="N27" s="1"/>
  <c r="N30" s="1"/>
  <c r="D9" i="5"/>
  <c r="M7" i="8" s="1"/>
  <c r="P35" i="5"/>
  <c r="P66" s="1"/>
  <c r="Y12" i="8"/>
  <c r="D12" s="1"/>
  <c r="P71" i="7"/>
  <c r="T36"/>
  <c r="T94" s="1"/>
  <c r="D5" i="5"/>
  <c r="M3" i="8" s="1"/>
  <c r="K35" i="6"/>
  <c r="K58" s="1"/>
  <c r="P4" i="8"/>
  <c r="R36" i="7"/>
  <c r="AF36"/>
  <c r="I35" i="6"/>
  <c r="D45"/>
  <c r="H35"/>
  <c r="P7" i="8"/>
  <c r="Q35" i="6"/>
  <c r="P35"/>
  <c r="D6" i="5"/>
  <c r="M4" i="8" s="1"/>
  <c r="I35" i="5"/>
  <c r="I66" s="1"/>
  <c r="L35"/>
  <c r="L66" s="1"/>
  <c r="D28"/>
  <c r="M12" i="8" s="1"/>
  <c r="R35" i="5"/>
  <c r="R66" s="1"/>
  <c r="D17"/>
  <c r="M10" i="8" s="1"/>
  <c r="K35" i="5"/>
  <c r="K66" s="1"/>
  <c r="F35"/>
  <c r="F66" s="1"/>
  <c r="M35" i="6"/>
  <c r="M58" s="1"/>
  <c r="D47" i="5"/>
  <c r="D53" s="1"/>
  <c r="M21" i="8" s="1"/>
  <c r="G53" i="5"/>
  <c r="P12" i="8"/>
  <c r="U36" i="7"/>
  <c r="U94" s="1"/>
  <c r="S36"/>
  <c r="S94" s="1"/>
  <c r="G35" i="5"/>
  <c r="G66" s="1"/>
  <c r="D22"/>
  <c r="D14"/>
  <c r="M9" i="8" s="1"/>
  <c r="D34" i="5"/>
  <c r="M13" i="8" s="1"/>
  <c r="O35" i="5"/>
  <c r="O66" s="1"/>
  <c r="D25"/>
  <c r="M11" i="8" s="1"/>
  <c r="Q35" i="5"/>
  <c r="Q66" s="1"/>
  <c r="X36" i="7"/>
  <c r="X94" s="1"/>
  <c r="V36"/>
  <c r="V94" s="1"/>
  <c r="N35" i="5"/>
  <c r="N66" s="1"/>
  <c r="J35"/>
  <c r="J66" s="1"/>
  <c r="P7" i="30"/>
  <c r="P10" s="1"/>
  <c r="B5" i="18"/>
  <c r="F12" i="8" l="1"/>
  <c r="E11"/>
  <c r="D7"/>
  <c r="C33" i="17" s="1"/>
  <c r="D9" i="8"/>
  <c r="F13"/>
  <c r="D10"/>
  <c r="F9"/>
  <c r="E9"/>
  <c r="J30"/>
  <c r="I58" i="6"/>
  <c r="F35"/>
  <c r="H58"/>
  <c r="E35"/>
  <c r="E58" s="1"/>
  <c r="Z29" i="8"/>
  <c r="E29" s="1"/>
  <c r="D43" i="17" s="1"/>
  <c r="D54" s="1"/>
  <c r="D52" s="1"/>
  <c r="D36" i="7"/>
  <c r="AA29" i="8"/>
  <c r="F29" s="1"/>
  <c r="E43" i="17" s="1"/>
  <c r="C38" i="30" s="1"/>
  <c r="R14" i="8"/>
  <c r="R27" s="1"/>
  <c r="R30" s="1"/>
  <c r="L41" i="30"/>
  <c r="K41"/>
  <c r="AF94" i="7"/>
  <c r="E36"/>
  <c r="F36"/>
  <c r="B4" i="18"/>
  <c r="D36" i="17"/>
  <c r="G8" i="18"/>
  <c r="G21"/>
  <c r="G20" s="1"/>
  <c r="G30" s="1"/>
  <c r="D39" i="17"/>
  <c r="D38" s="1"/>
  <c r="E38"/>
  <c r="H41" i="30"/>
  <c r="E36" i="17"/>
  <c r="C31" i="30" s="1"/>
  <c r="H8" i="18"/>
  <c r="Q13" i="8"/>
  <c r="Q14" s="1"/>
  <c r="Q27" s="1"/>
  <c r="Q30" s="1"/>
  <c r="F58" i="6"/>
  <c r="I41" i="30"/>
  <c r="P39"/>
  <c r="P9" i="8"/>
  <c r="P10"/>
  <c r="P11"/>
  <c r="D11" s="1"/>
  <c r="P13"/>
  <c r="O41" i="30"/>
  <c r="G27" i="8"/>
  <c r="G30" s="1"/>
  <c r="P21"/>
  <c r="Y13"/>
  <c r="D13" s="1"/>
  <c r="P94" i="7"/>
  <c r="Q94"/>
  <c r="R94"/>
  <c r="F94" s="1"/>
  <c r="B11" i="18"/>
  <c r="E41" i="30"/>
  <c r="C22"/>
  <c r="C23" s="1"/>
  <c r="D41"/>
  <c r="P13"/>
  <c r="AA14" i="8"/>
  <c r="Z14"/>
  <c r="Y29"/>
  <c r="N58" i="6"/>
  <c r="R58"/>
  <c r="P58"/>
  <c r="P3" i="8"/>
  <c r="P5" s="1"/>
  <c r="M14"/>
  <c r="M5"/>
  <c r="D5" s="1"/>
  <c r="D7" i="5"/>
  <c r="Q58" i="6"/>
  <c r="D35" i="5"/>
  <c r="D66" s="1"/>
  <c r="D21" i="8" l="1"/>
  <c r="F21" i="18" s="1"/>
  <c r="E13" i="8"/>
  <c r="E54" i="17"/>
  <c r="E52" s="1"/>
  <c r="AA27" i="8"/>
  <c r="F27" s="1"/>
  <c r="F30" s="1"/>
  <c r="F14"/>
  <c r="Z27"/>
  <c r="E27" s="1"/>
  <c r="E30" s="1"/>
  <c r="E14"/>
  <c r="G6" i="18" s="1"/>
  <c r="E94" i="7"/>
  <c r="D94"/>
  <c r="F5" i="18"/>
  <c r="C10" i="30"/>
  <c r="P24"/>
  <c r="P14" i="8"/>
  <c r="C6" i="30"/>
  <c r="Y14" i="8"/>
  <c r="C17" i="30"/>
  <c r="C32" i="17"/>
  <c r="D29" i="8"/>
  <c r="C43" i="17" s="1"/>
  <c r="C54" s="1"/>
  <c r="D3" i="8"/>
  <c r="M27"/>
  <c r="M30" s="1"/>
  <c r="B3" i="18"/>
  <c r="D58" i="6"/>
  <c r="D14" i="8" l="1"/>
  <c r="C39" i="17"/>
  <c r="C38" s="1"/>
  <c r="Z30" i="8"/>
  <c r="AA30"/>
  <c r="E34" i="17"/>
  <c r="C29" i="30" s="1"/>
  <c r="H6" i="18"/>
  <c r="H3" s="1"/>
  <c r="F4"/>
  <c r="D34" i="17"/>
  <c r="C34"/>
  <c r="P27" i="8"/>
  <c r="P30" s="1"/>
  <c r="P41" i="30"/>
  <c r="C13"/>
  <c r="C24" s="1"/>
  <c r="B20" i="18"/>
  <c r="C53" i="17"/>
  <c r="B16" i="18"/>
  <c r="Y18" i="8"/>
  <c r="D18" s="1"/>
  <c r="F6" i="18" l="1"/>
  <c r="H16"/>
  <c r="H31" s="1"/>
  <c r="G3"/>
  <c r="D31" i="17"/>
  <c r="D42" s="1"/>
  <c r="D44" s="1"/>
  <c r="D57" s="1"/>
  <c r="E31"/>
  <c r="E42" s="1"/>
  <c r="E48" s="1"/>
  <c r="B30" i="18"/>
  <c r="C52" i="17"/>
  <c r="F20" i="18"/>
  <c r="C37" i="30"/>
  <c r="Y27" i="8"/>
  <c r="Y30" l="1"/>
  <c r="D27"/>
  <c r="F8" i="18"/>
  <c r="F3" s="1"/>
  <c r="F16" s="1"/>
  <c r="C36" i="17"/>
  <c r="C31" s="1"/>
  <c r="C42" s="1"/>
  <c r="C44" s="1"/>
  <c r="G16" i="18"/>
  <c r="G31" s="1"/>
  <c r="E44" i="17"/>
  <c r="E57" s="1"/>
  <c r="D48"/>
  <c r="B31" i="18"/>
  <c r="F30"/>
  <c r="D30" i="8"/>
  <c r="C33" i="30" l="1"/>
  <c r="C39" s="1"/>
  <c r="C41" s="1"/>
  <c r="F31" i="18"/>
  <c r="C57" i="17" l="1"/>
  <c r="C48"/>
</calcChain>
</file>

<file path=xl/comments1.xml><?xml version="1.0" encoding="utf-8"?>
<comments xmlns="http://schemas.openxmlformats.org/spreadsheetml/2006/main">
  <authors>
    <author>user</author>
  </authors>
  <commentList>
    <comment ref="D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BBK érdekeltségnövelő</t>
        </r>
      </text>
    </comment>
    <comment ref="D2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kormányzati támogatás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Bölcsöde építés átvett pe</t>
        </r>
      </text>
    </comment>
    <comment ref="D6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BGA2016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Szocágazati pótlék
II.félévi bérkomp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Nyári diákmunka</t>
        </r>
      </text>
    </comment>
    <comment ref="AF2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Margaret Island koncert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Népszavazás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bérnövekedés
3 fő nyugdíj-felmentési idő
5,7 % garantált bérmin. növekedés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bérszintnövekedés
3 ember felmentési idő nyugdíj miatt
5,7 % gar.bérmin. növekedés</t>
        </r>
      </text>
    </comment>
  </commentList>
</comments>
</file>

<file path=xl/sharedStrings.xml><?xml version="1.0" encoding="utf-8"?>
<sst xmlns="http://schemas.openxmlformats.org/spreadsheetml/2006/main" count="2690" uniqueCount="1041">
  <si>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</si>
  <si>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</si>
  <si>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</si>
  <si>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</si>
  <si>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</si>
  <si>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</si>
  <si>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</si>
  <si>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</si>
  <si>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</si>
  <si>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</si>
  <si>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</si>
  <si>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</si>
  <si>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</si>
  <si>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</si>
  <si>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</si>
  <si>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</si>
  <si>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</si>
  <si>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</si>
  <si>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</si>
  <si>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</si>
  <si>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</si>
  <si>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</si>
  <si>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</si>
  <si>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</si>
  <si>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</si>
  <si>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</si>
  <si>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</si>
  <si>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</si>
  <si>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</si>
  <si>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</si>
  <si>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</si>
  <si>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</si>
  <si>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</si>
  <si>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</si>
  <si>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</si>
  <si>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</si>
  <si>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</si>
  <si>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</si>
  <si>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</si>
  <si>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</si>
  <si>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</si>
  <si>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</si>
  <si>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</si>
  <si>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</si>
  <si>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</si>
  <si>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</si>
  <si>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</si>
  <si>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</si>
  <si>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</si>
  <si>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</si>
  <si>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</si>
  <si>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</si>
  <si>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</si>
  <si>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</si>
  <si>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</si>
  <si>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</si>
  <si>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</si>
  <si>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</si>
  <si>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</si>
  <si>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</si>
  <si>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</si>
  <si>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</si>
  <si>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</si>
  <si>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</si>
  <si>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</si>
  <si>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</si>
  <si>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</si>
  <si>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</si>
  <si>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</si>
  <si>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</si>
  <si>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</si>
  <si>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</si>
  <si>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</si>
  <si>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</si>
  <si>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</si>
  <si>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</si>
  <si>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</si>
  <si>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</si>
  <si>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</si>
  <si>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</si>
  <si>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</si>
  <si>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</si>
  <si>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</si>
  <si>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</si>
  <si>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</si>
  <si>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</si>
  <si>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</si>
  <si>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</si>
  <si>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</si>
  <si>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</si>
  <si>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</si>
  <si>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</si>
  <si>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</si>
  <si>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</si>
  <si>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</si>
  <si>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</si>
  <si>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</si>
  <si>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</si>
  <si>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</si>
  <si>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</si>
  <si>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</si>
  <si>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</si>
  <si>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</si>
  <si>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</si>
  <si>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</si>
  <si>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</si>
  <si>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</si>
  <si>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</si>
  <si>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</si>
  <si>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</si>
  <si>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</si>
  <si>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</si>
  <si>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</si>
  <si>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</si>
  <si>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</si>
  <si>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</si>
  <si>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</si>
  <si>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</si>
  <si>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</si>
  <si>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</si>
  <si>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</si>
  <si>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</si>
  <si>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</si>
  <si>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</si>
  <si>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</si>
  <si>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</si>
  <si>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</si>
  <si>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</si>
  <si>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</si>
  <si>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</si>
  <si>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</si>
  <si>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</si>
  <si>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</si>
  <si>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</si>
  <si>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</si>
  <si>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</si>
  <si>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</si>
  <si>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</si>
  <si>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</si>
  <si>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</si>
  <si>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</si>
  <si>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</si>
  <si>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</si>
  <si>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</si>
  <si>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</si>
  <si>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</si>
  <si>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</si>
  <si>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</si>
  <si>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</si>
  <si>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</si>
  <si>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</si>
  <si>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</si>
  <si>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</si>
  <si>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</si>
  <si>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</si>
  <si>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</si>
  <si>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</si>
  <si>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</si>
  <si>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</si>
  <si>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</si>
  <si>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</si>
  <si>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</si>
  <si>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</si>
  <si>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</si>
  <si>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</si>
  <si>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</si>
  <si>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</si>
  <si>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</si>
  <si>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</si>
  <si>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</si>
  <si>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</si>
  <si>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</si>
  <si>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</si>
  <si>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</si>
  <si>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</si>
  <si>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</si>
  <si>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</si>
  <si>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</si>
  <si>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</si>
  <si>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</si>
  <si>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</si>
  <si>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</si>
  <si>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</si>
  <si>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</si>
  <si>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</si>
  <si>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</si>
  <si>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</si>
  <si>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</si>
  <si>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</si>
  <si>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</si>
  <si>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</si>
  <si>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</si>
  <si>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</si>
  <si>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</si>
  <si>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</si>
  <si>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</si>
  <si>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</si>
  <si>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</si>
  <si>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</si>
  <si>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</si>
  <si>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</si>
  <si>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</si>
  <si>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</si>
  <si>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</si>
  <si>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</si>
  <si>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</si>
  <si>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</si>
  <si>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</si>
  <si>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</si>
  <si>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</si>
  <si>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</si>
  <si>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</si>
  <si>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</si>
  <si>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</si>
  <si>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</si>
  <si>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</si>
  <si>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</si>
  <si>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</si>
  <si>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</si>
  <si>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</si>
  <si>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</si>
  <si>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</si>
  <si>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</si>
  <si>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</si>
  <si>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</si>
  <si>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</si>
  <si>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</si>
  <si>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</si>
  <si>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</si>
  <si>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</si>
  <si>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</si>
  <si>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</si>
  <si>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</si>
  <si>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</si>
  <si>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</si>
  <si>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</si>
  <si>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</si>
  <si>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</si>
  <si>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</si>
  <si>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</si>
  <si>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</si>
  <si>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</si>
  <si>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</si>
  <si>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</si>
  <si>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</si>
  <si>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</si>
  <si>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</si>
  <si>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</si>
  <si>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</si>
  <si>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</si>
  <si>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</si>
  <si>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</si>
  <si>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</si>
  <si>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</si>
  <si>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</si>
  <si>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</si>
  <si>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</si>
  <si>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</si>
  <si>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</si>
  <si>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</si>
  <si>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</si>
  <si>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</si>
  <si>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</si>
  <si>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</si>
  <si>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</si>
  <si>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</si>
  <si>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</si>
  <si>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</si>
  <si>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</si>
  <si>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</si>
  <si>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</si>
  <si>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</si>
  <si>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</si>
  <si>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</si>
  <si>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</si>
  <si>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</si>
  <si>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</si>
  <si>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</si>
  <si>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</si>
  <si>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</si>
  <si>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</si>
  <si>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</si>
  <si>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</si>
  <si>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</si>
  <si>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</si>
  <si>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</si>
  <si>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</si>
  <si>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</si>
  <si>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</si>
  <si>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</si>
  <si>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</si>
  <si>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</si>
  <si>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</si>
  <si>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</si>
  <si>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</si>
  <si>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</si>
  <si>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</si>
  <si>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</si>
  <si>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</si>
  <si>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</si>
  <si>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</si>
  <si>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</si>
  <si>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</si>
  <si>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</si>
  <si>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</si>
  <si>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</si>
  <si>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</si>
  <si>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</si>
  <si>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</si>
  <si>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</si>
  <si>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</si>
  <si>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</si>
  <si>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</si>
  <si>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</si>
  <si>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</si>
  <si>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</si>
  <si>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</si>
  <si>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</si>
  <si>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</si>
  <si>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</si>
  <si>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</si>
  <si>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</si>
  <si>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</si>
  <si>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</si>
  <si>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</si>
  <si>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</si>
  <si>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</si>
  <si>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</si>
  <si>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</si>
  <si>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</si>
  <si>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</si>
  <si>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</si>
  <si>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</si>
  <si>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</si>
  <si>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</si>
  <si>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</si>
  <si>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</si>
  <si>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</si>
  <si>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</si>
  <si>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</si>
  <si>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</si>
  <si>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ÁFA kölcsön törlesztés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</si>
  <si>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</si>
  <si>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</si>
  <si>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</si>
  <si>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</si>
  <si>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</si>
  <si>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</si>
  <si>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</si>
  <si>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</si>
  <si>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</si>
  <si>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</si>
  <si>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</si>
  <si>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</si>
  <si>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</si>
  <si>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</si>
  <si>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</si>
  <si>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</si>
  <si>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</si>
  <si>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</si>
  <si>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</si>
  <si>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</si>
  <si>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</si>
  <si>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</si>
  <si>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</si>
  <si>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</si>
  <si>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</si>
  <si>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</si>
  <si>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</si>
  <si>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</si>
  <si>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</si>
  <si>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</si>
  <si>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</si>
  <si>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</si>
  <si>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</si>
  <si>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</si>
  <si>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</si>
  <si>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</si>
  <si>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</si>
  <si>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</si>
  <si>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</si>
  <si>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</si>
  <si>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</si>
  <si>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</si>
  <si>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</si>
  <si>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</si>
  <si>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</si>
  <si>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</si>
  <si>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</si>
  <si>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</si>
  <si>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</si>
  <si>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</si>
  <si>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</si>
  <si>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</si>
  <si>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</si>
  <si>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</si>
  <si>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</si>
  <si>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</si>
  <si>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</si>
  <si>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</si>
  <si>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</si>
  <si>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</si>
  <si>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</si>
  <si>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</si>
  <si>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</si>
  <si>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</si>
  <si>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</si>
  <si>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</si>
  <si>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</si>
  <si>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</si>
  <si>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</si>
  <si>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</si>
  <si>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</si>
  <si>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</si>
  <si>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</si>
  <si>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</si>
  <si>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</si>
  <si>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</si>
  <si>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</si>
  <si>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</si>
  <si>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</si>
  <si>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</si>
  <si>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</si>
  <si>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</si>
  <si>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</si>
  <si>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</si>
  <si>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</si>
  <si>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</si>
  <si>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</si>
  <si>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</si>
  <si>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</si>
  <si>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</si>
  <si>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</si>
  <si>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</si>
  <si>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</si>
  <si>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</si>
  <si>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</si>
  <si>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</si>
  <si>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</si>
  <si>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</si>
  <si>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</si>
  <si>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</si>
  <si>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</si>
  <si>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</si>
  <si>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</si>
  <si>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</si>
  <si>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</si>
  <si>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</si>
  <si>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</si>
  <si>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</si>
  <si>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</si>
  <si>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</si>
  <si>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</si>
  <si>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</si>
  <si>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</si>
  <si>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</si>
  <si>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</si>
  <si>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</si>
  <si>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</si>
  <si>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</si>
  <si>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</si>
  <si>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</si>
  <si>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</si>
  <si>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</si>
  <si>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</si>
  <si>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</si>
  <si>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</si>
  <si>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</si>
  <si>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</si>
  <si>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</si>
  <si>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</si>
  <si>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</si>
  <si>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</si>
  <si>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</si>
  <si>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</si>
  <si>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</si>
  <si>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</si>
  <si>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</si>
  <si>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</si>
  <si>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</si>
  <si>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</si>
  <si>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</si>
  <si>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</si>
  <si>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</si>
  <si>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</si>
  <si>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</si>
  <si>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</si>
  <si>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</si>
  <si>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</si>
  <si>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</si>
  <si>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</si>
  <si>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</si>
  <si>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</si>
  <si>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</si>
  <si>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</si>
  <si>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</si>
  <si>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</si>
  <si>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</si>
  <si>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</si>
  <si>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</si>
  <si>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</si>
  <si>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</si>
  <si>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</si>
  <si>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</si>
  <si>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</si>
  <si>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</si>
  <si>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</si>
  <si>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</si>
  <si>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</si>
  <si>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</si>
  <si>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</si>
  <si>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</si>
  <si>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</si>
  <si>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</si>
  <si>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</si>
  <si>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</si>
  <si>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</si>
  <si>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</si>
  <si>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</si>
  <si>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</si>
  <si>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</si>
  <si>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</si>
  <si>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</si>
  <si>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</si>
  <si>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</si>
  <si>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</si>
  <si>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</si>
  <si>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</si>
  <si>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</si>
  <si>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</si>
  <si>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</si>
  <si>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</si>
  <si>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</si>
  <si>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</si>
  <si>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</si>
  <si>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</si>
  <si>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</si>
  <si>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</si>
  <si>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</si>
  <si>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</si>
  <si>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</si>
  <si>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</si>
  <si>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</si>
  <si>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</si>
  <si>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</si>
  <si>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</si>
  <si>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</si>
  <si>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</si>
  <si>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</si>
  <si>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</si>
  <si>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</si>
  <si>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</si>
  <si>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</si>
  <si>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</si>
  <si>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</si>
  <si>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</si>
  <si>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</si>
  <si>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</si>
  <si>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</si>
  <si>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</si>
  <si>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</si>
  <si>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</si>
  <si>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</si>
  <si>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</si>
  <si>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</si>
  <si>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</si>
  <si>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</si>
  <si>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</si>
  <si>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</si>
  <si>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</si>
  <si>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</si>
  <si>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</si>
  <si>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</si>
  <si>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</si>
  <si>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</si>
  <si>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</si>
  <si>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</si>
  <si>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</si>
  <si>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Vagyonkezelés</t>
  </si>
  <si>
    <t>Ebből:  Tartalék</t>
  </si>
  <si>
    <t>Kieg.támogatás óvodaped. Minősítésből adódó kiadáshoz</t>
  </si>
  <si>
    <t>Hivatal működési támogatása</t>
  </si>
  <si>
    <t>C: tel.típus kt. Létszám min.</t>
  </si>
  <si>
    <t>D: tel.típus kt. Létszám max.</t>
  </si>
  <si>
    <t>Emelés (járási székhely)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</si>
  <si>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</si>
  <si>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</si>
  <si>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</si>
  <si>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</si>
  <si>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</si>
  <si>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</si>
  <si>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B8111</t>
  </si>
  <si>
    <t>Hosszú lejáratú hitelek, kölcsönök pénzügyi vállalkozástól</t>
  </si>
  <si>
    <t>Hitelek, kölcsön felvétel pénzügyi vállalkozástól</t>
  </si>
  <si>
    <t>B811</t>
  </si>
  <si>
    <t>013350- Az önkormányzati vagyonnal való gazdálkodással kapcsolatos feladat</t>
  </si>
  <si>
    <t>Bérleti díj bevétel</t>
  </si>
  <si>
    <t>INTÉZMÉNYI BERUHÁZÁSOK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</si>
  <si>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</si>
  <si>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</si>
  <si>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</si>
  <si>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</si>
  <si>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</si>
  <si>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</si>
  <si>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</si>
  <si>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</si>
  <si>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</si>
  <si>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</si>
  <si>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</si>
  <si>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</si>
  <si>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</si>
  <si>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</si>
  <si>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2016. évi</t>
  </si>
  <si>
    <t>Újság hirdetés bevétele</t>
  </si>
  <si>
    <t>Rendkívüli települési támogatás (pénzbeni és természetbeni ellátások)</t>
  </si>
  <si>
    <t>Köztemetés</t>
  </si>
  <si>
    <t>2015/2016 8 hó</t>
  </si>
  <si>
    <t>2016/2017 4 hó</t>
  </si>
  <si>
    <t>PH házasságkötés bevétele</t>
  </si>
  <si>
    <t>MINDÖSSZESEN</t>
  </si>
  <si>
    <t>Martonvásár Város Önkormányzata és Intézményei  2016. évi létszámkerete</t>
  </si>
  <si>
    <t>1.sz. melléklet</t>
  </si>
  <si>
    <t>2.sz. melléklet</t>
  </si>
  <si>
    <t>3.sz. melléklet</t>
  </si>
  <si>
    <t>4.sz. melléklet</t>
  </si>
  <si>
    <t>5.sz. melléklet</t>
  </si>
  <si>
    <t>5.a.sz. melléklet</t>
  </si>
  <si>
    <t>5.b.sz. melléklet</t>
  </si>
  <si>
    <t>5.c.sz. melléklet</t>
  </si>
  <si>
    <t>5.d.sz. melléklet</t>
  </si>
  <si>
    <t>5.e.sz. melléklet</t>
  </si>
  <si>
    <t>5.f.sz. melléklet</t>
  </si>
  <si>
    <t>5.g.sz. melléklet</t>
  </si>
  <si>
    <t>6.sz. melléklet</t>
  </si>
  <si>
    <t>Martonvásár Város Önkormányzat- Intézmények bevételei és kiadásai mindösszesen</t>
  </si>
  <si>
    <t>6.a.sz. melléklet</t>
  </si>
  <si>
    <t>6.b.sz.melléklet</t>
  </si>
  <si>
    <t>6.c.sz.melléklet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</si>
  <si>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</si>
  <si>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</si>
  <si>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</si>
  <si>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</si>
  <si>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</si>
  <si>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10.sz. melléklet</t>
  </si>
  <si>
    <t>11.sz. melléklet</t>
  </si>
  <si>
    <t>3/a.sz. melléklet</t>
  </si>
  <si>
    <t>3/b.sz. melléklet</t>
  </si>
  <si>
    <t>3/c.sz. melléklet</t>
  </si>
  <si>
    <t>Martonvásár Város Önkormányzatának 2016. évi bevétele (intézmények nélkül)</t>
  </si>
  <si>
    <t>Martonvásár Város Önkormányzatának 2016. évi működési bevételei</t>
  </si>
  <si>
    <t>Martonvásár Város Önkormányzatának 2016. évi  közhatalmi bevételei</t>
  </si>
  <si>
    <t>Martonvásár Város Önkormányzatának 2016. évi normatív támogatásai</t>
  </si>
  <si>
    <t>Martonvásár Város Önkormányzatának 2016. évi kiadásai (intézmények nélkül)</t>
  </si>
  <si>
    <t>Martonvásár Város Önkormányzatának 2016. évi kiadásai - Önkormányzati jogalkotás kormányzati funkció</t>
  </si>
  <si>
    <t>Martonvásár Város Önkormányzatának 2016. évi kiadásai - Szociális feladatok ellátása</t>
  </si>
  <si>
    <t>Martonvásár Város Önkormányzatának 2016. évi kiadásai - Átadott pénzeszközök</t>
  </si>
  <si>
    <t>Martonvásár Város Önkormányzatának 2016. évi kiadásai - Védőnői és eü feladatok ellátása</t>
  </si>
  <si>
    <t>Martonvásár Város Önkormányzatának 2016. évi kiadásai - Városfejlesztési feladatok ellátása EU forrásból</t>
  </si>
  <si>
    <t>Martonvásár Város Önkormányzatának 2016. évi kiadásai - Városfejlesztési feladatok ellátása saját forrásból</t>
  </si>
  <si>
    <t>Martonvásári Polgármesteri Hivatal 2016. évi kiadásai</t>
  </si>
  <si>
    <t>Brunszvik Teréz Óvoda 2016. évi kiadásai</t>
  </si>
  <si>
    <t>Brunszvik-Beethoven Kulturális Központ 2016. évi kiadásai</t>
  </si>
  <si>
    <t>Martonvásár Város Önkormányzata - Előirányzat felhasználási ütemterv</t>
  </si>
  <si>
    <t>Martonvásár Város Önkormányzatának 2016. évi kiadásai - Egyéb feladatok ellátása</t>
  </si>
  <si>
    <t>Martonvásár Város Önkormányzatának 2016. évi átvett pénzeszközei</t>
  </si>
  <si>
    <t>Martonvásár Város Önkormányzatának 2016.évi költségvetésének pénzügyi mérlege I.</t>
  </si>
  <si>
    <t>Martonvásár Város Önkormányzatának 2016.évi költségvetésének pénzügyi mérlege II.</t>
  </si>
  <si>
    <t>Martonvásár Város Önkormányzata</t>
  </si>
  <si>
    <t>Szent László Völgye TKT</t>
  </si>
  <si>
    <t>2015/2016 8hó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</si>
  <si>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</si>
  <si>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</si>
  <si>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</si>
  <si>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</si>
  <si>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</si>
  <si>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</si>
  <si>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</si>
  <si>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</si>
  <si>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</si>
  <si>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</si>
  <si>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</si>
  <si>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</si>
  <si>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104030</t>
  </si>
  <si>
    <t>102030</t>
  </si>
  <si>
    <t>Gyermekétkeztetés</t>
  </si>
  <si>
    <t xml:space="preserve">Szociális étkeztetés </t>
  </si>
  <si>
    <t>Tanyagondnoki feladatok ellátása</t>
  </si>
  <si>
    <t>Családi napközi feladatainak ellátása</t>
  </si>
  <si>
    <t>101222</t>
  </si>
  <si>
    <t>107055</t>
  </si>
  <si>
    <t>107052</t>
  </si>
  <si>
    <t>104042</t>
  </si>
  <si>
    <t>096015</t>
  </si>
  <si>
    <t>104043</t>
  </si>
  <si>
    <t>107051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</si>
  <si>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(Martonvásári Napokra)</t>
    </r>
  </si>
  <si>
    <t>Kisajátítási céltartalék</t>
  </si>
  <si>
    <t>Hitel törlesztési tart.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</si>
  <si>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</si>
  <si>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</si>
  <si>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</si>
  <si>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</si>
  <si>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</si>
  <si>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</si>
  <si>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</si>
  <si>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</si>
  <si>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</si>
  <si>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</si>
  <si>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r>
      <t xml:space="preserve">Fejlesztési célú ct. </t>
    </r>
    <r>
      <rPr>
        <i/>
        <sz val="10"/>
        <color indexed="8"/>
        <rFont val="Times New Roman"/>
        <family val="1"/>
        <charset val="238"/>
      </rPr>
      <t>(előzetes "kötvállal" terhelt)</t>
    </r>
  </si>
  <si>
    <t>TKT-nak átadott pe.</t>
  </si>
  <si>
    <t>Adatok forintban</t>
  </si>
  <si>
    <t>Gépjármű lízing (Martongazda Kft)</t>
  </si>
  <si>
    <t>K8907</t>
  </si>
  <si>
    <t>Egyéb felhalmozási célú támogatások ÁH-n kívülre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</si>
  <si>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</si>
  <si>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</si>
  <si>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</si>
  <si>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</si>
  <si>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091110</t>
  </si>
  <si>
    <t>Óvodai nevelés, ellátás</t>
  </si>
  <si>
    <r>
      <t xml:space="preserve">Költségvetési kiadások </t>
    </r>
    <r>
      <rPr>
        <i/>
        <sz val="10"/>
        <color rgb="FF000000"/>
        <rFont val="Times New Roman"/>
        <family val="1"/>
        <charset val="238"/>
      </rPr>
      <t>(ebből 12.196 e Ft Önkormányzati támogatásból fedezve)</t>
    </r>
  </si>
  <si>
    <t>MKE támogatás visszatérülése 2015. évről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</si>
  <si>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</si>
  <si>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</si>
  <si>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</si>
  <si>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</si>
  <si>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</si>
  <si>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</si>
  <si>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</si>
  <si>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</si>
  <si>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</si>
  <si>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</si>
  <si>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Módosítás</t>
  </si>
  <si>
    <t>Mód. Ei. I.</t>
  </si>
  <si>
    <t>Módosítás, Ft</t>
  </si>
  <si>
    <t>Módosítás,  Ft</t>
  </si>
  <si>
    <t>Tüzoltószertár végösszegének megfizetése</t>
  </si>
  <si>
    <t>Brunszvik-Beethoven Kulturális Központ</t>
  </si>
  <si>
    <t>052020- Szennyvíz gyűjtése, tisztítása, elhelyezése</t>
  </si>
  <si>
    <t>066020- Város-, községgazdálkodási egyéb szolgáltatások</t>
  </si>
  <si>
    <t>102031</t>
  </si>
  <si>
    <t>K914</t>
  </si>
  <si>
    <t>ÁH-n belüli megelőlegezések visszafizetése</t>
  </si>
  <si>
    <t>Módosítás jogcíme</t>
  </si>
  <si>
    <t>COFOG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</si>
  <si>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</si>
  <si>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</si>
  <si>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</si>
  <si>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</si>
  <si>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</si>
  <si>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</si>
  <si>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</si>
  <si>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</si>
  <si>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</si>
  <si>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Hitel törlesztés</t>
  </si>
  <si>
    <t>Működési  céltartalék</t>
  </si>
  <si>
    <t>Fejlesztési céltartalék</t>
  </si>
  <si>
    <t>Csatorna céltartalék</t>
  </si>
  <si>
    <t>Kisajátítási ktg céltartalék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</si>
  <si>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</si>
  <si>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</si>
  <si>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</si>
  <si>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</si>
  <si>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</si>
  <si>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Felhalmozási bevétel</t>
  </si>
  <si>
    <t>Önk. felhalm.c. ktgvet. tám.</t>
  </si>
  <si>
    <t>Felhalm.célú tám. ÁH-n belülről</t>
  </si>
  <si>
    <t>Felhalm.célú pénzeszk.átvétel ÁH-n kívülről</t>
  </si>
  <si>
    <t>Pénzmaradvány</t>
  </si>
  <si>
    <t>ÁH-n belülre</t>
  </si>
  <si>
    <t>ÁH-n kívülre</t>
  </si>
  <si>
    <t>066020</t>
  </si>
  <si>
    <t>013350</t>
  </si>
  <si>
    <t>Tűzvédelmi oltómedence</t>
  </si>
  <si>
    <t>Pályázati tanulmány VP-6.7.4.1.1.</t>
  </si>
  <si>
    <t>Pályázati tanulmány TOP-4.1.1-15</t>
  </si>
  <si>
    <t>Településrendezési terv</t>
  </si>
  <si>
    <t>Pályázati tanulmány TOP-2.1.2-15</t>
  </si>
  <si>
    <t>MLSZ használati jog vásárlás</t>
  </si>
  <si>
    <t>Hat. szám v. ügyir. sz.</t>
  </si>
  <si>
    <t>Bevételek összesen</t>
  </si>
  <si>
    <t>Szem jell.</t>
  </si>
  <si>
    <t>Járulék</t>
  </si>
  <si>
    <t>DOLOGI</t>
  </si>
  <si>
    <t>Felújítás</t>
  </si>
  <si>
    <t>Ber.célú p.e.átadás</t>
  </si>
  <si>
    <t>Műk.célú bevétel</t>
  </si>
  <si>
    <t>Felhalm. Bevétel</t>
  </si>
  <si>
    <t>Felhalm.c.bevétel</t>
  </si>
  <si>
    <t>Pénzma-radvány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</si>
  <si>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</si>
  <si>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</si>
  <si>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</si>
  <si>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</si>
  <si>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</si>
  <si>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</si>
  <si>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</si>
  <si>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</si>
  <si>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Pénzmar. igénybe vétele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</si>
  <si>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</si>
  <si>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</si>
  <si>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</si>
  <si>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</si>
  <si>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</si>
  <si>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</si>
  <si>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</si>
  <si>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</si>
  <si>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</si>
  <si>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</si>
  <si>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Ellátottak pénzbeni juttatásai</t>
  </si>
  <si>
    <t>Felh.célú p.e.átadás</t>
  </si>
  <si>
    <t>Megelőlege-zések  visszafiz.</t>
  </si>
  <si>
    <t>Működési céltartalék</t>
  </si>
  <si>
    <t>Felhalmzozási céltartalék</t>
  </si>
  <si>
    <t>Önk. műk.célú ktgv.tám.</t>
  </si>
  <si>
    <t>Önk. felhalm. ktgvet.tám.</t>
  </si>
  <si>
    <t>Felhalm.c. bevétel</t>
  </si>
  <si>
    <t>Önkormányzat összesen</t>
  </si>
  <si>
    <t>Egyéb működési célú támogatások államháztartáson belülre</t>
  </si>
  <si>
    <t xml:space="preserve">ebből: helyi önkormányzatok </t>
  </si>
  <si>
    <t>ebből: helyi önkormányzatok</t>
  </si>
  <si>
    <t>ebből: önkormányzat</t>
  </si>
  <si>
    <t>045120 - Út, autópálya építése</t>
  </si>
  <si>
    <t>Martongazdának átadott pe (karbant.)</t>
  </si>
  <si>
    <t>Martonsport Kft-nek fejl. átadott pe</t>
  </si>
  <si>
    <t>072111 - Háziorvosi alapellátás</t>
  </si>
  <si>
    <t>081030 - Sportlétesítmények, edzőtáborok működtetése és fejlesztése</t>
  </si>
  <si>
    <t>MSK TAO önerő átadása</t>
  </si>
  <si>
    <t>Módosított ei.</t>
  </si>
  <si>
    <t>Martongazdának átadott pe (bérleti díj)</t>
  </si>
  <si>
    <t>Orvosi ügylet, tagdíj, belső ellenőrzés, bérkompenzáció, szoc.ágazati pótlék</t>
  </si>
  <si>
    <t>PH bérleti díj bevétel</t>
  </si>
  <si>
    <t>PH továbbszámlázott szolgáltatás</t>
  </si>
  <si>
    <t>Brunszvik Óvoda bérleti díj bevétel</t>
  </si>
  <si>
    <t>BBK könyvtár bevétele</t>
  </si>
  <si>
    <t>BBK Óvodamúzeum bevétele</t>
  </si>
  <si>
    <t>BBK Rendezvények bevétele</t>
  </si>
  <si>
    <t>BBK Terembérlet</t>
  </si>
  <si>
    <t>BBK továbbszámlázott szolgáltatás</t>
  </si>
  <si>
    <t>BBK Kiszámlázott áfa</t>
  </si>
  <si>
    <t>BBK Áfavisszatérülés</t>
  </si>
  <si>
    <t>BBK táboroztatás</t>
  </si>
  <si>
    <t>Széchenyi u., Váci u., Kossuth L. tér útépítés tervezési munkái</t>
  </si>
  <si>
    <t>Honlap és applikáció fejlesztés</t>
  </si>
  <si>
    <t>Rákóczi, Dreher, Budai út, Ady és Vasvári utcák tervezése</t>
  </si>
  <si>
    <t>Vásártér - csarnok talajmech.vizsgálat</t>
  </si>
  <si>
    <t>Brunszvik utca - Sétáló út gyalogátkelőhely tervezése</t>
  </si>
  <si>
    <t>Mv. 182.hrsz ingatlan vásárlás</t>
  </si>
  <si>
    <t>Ped.szakszolg. Kialakítása</t>
  </si>
  <si>
    <t>Locsolóhálózat kiépítése, Szent László út</t>
  </si>
  <si>
    <t>KPE védőcső sportöltöző</t>
  </si>
  <si>
    <t>Gépi földmunka, sportpálya</t>
  </si>
  <si>
    <t>Városháza átalakítás</t>
  </si>
  <si>
    <t>Mentő állomás kerítés építés</t>
  </si>
  <si>
    <t>Beethoven Iskola tanterem kialakítás</t>
  </si>
  <si>
    <t>COOP Áruház gyalogátkelő létesítése</t>
  </si>
  <si>
    <t>Számítógépek vásárlása</t>
  </si>
  <si>
    <t>Gyors szerelésű pavilonok</t>
  </si>
  <si>
    <t>Arzénmentesítő vásárlása</t>
  </si>
  <si>
    <t>Telefon készülék, Beethoven Iskola</t>
  </si>
  <si>
    <t>Kerékpár tároló</t>
  </si>
  <si>
    <t>Iskolai tantermi bútorok</t>
  </si>
  <si>
    <t>Klíma berendezések</t>
  </si>
  <si>
    <t>Hősurgárzó</t>
  </si>
  <si>
    <t>Csatorna felújítás</t>
  </si>
  <si>
    <t>Gázkazán csere, védőnői szolgálat</t>
  </si>
  <si>
    <t>Adatok E FT-ban</t>
  </si>
  <si>
    <t>Finanszírozási kiadás</t>
  </si>
  <si>
    <t xml:space="preserve"> </t>
  </si>
  <si>
    <t>Mód. Ei. II</t>
  </si>
  <si>
    <t>Mód. Ei. II.</t>
  </si>
  <si>
    <t>Módosított ei. II, Ft</t>
  </si>
  <si>
    <t>Módosított ei. II., Ft</t>
  </si>
  <si>
    <t>Mód. ei. II.</t>
  </si>
  <si>
    <t>Módosított előirányzat II.</t>
  </si>
  <si>
    <t>24.</t>
  </si>
  <si>
    <t>25.</t>
  </si>
  <si>
    <t>26.</t>
  </si>
  <si>
    <t>27.</t>
  </si>
  <si>
    <t>28.</t>
  </si>
  <si>
    <t>29.</t>
  </si>
  <si>
    <t>30.</t>
  </si>
  <si>
    <t>Irodabútor vásárlás</t>
  </si>
  <si>
    <t>Belföldi kiküldetések</t>
  </si>
  <si>
    <t>Illetmények emelése</t>
  </si>
  <si>
    <t>Informatikai készlet vásárlása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</si>
  <si>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</si>
  <si>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</si>
  <si>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</si>
  <si>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</si>
  <si>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</si>
  <si>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</si>
  <si>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</si>
  <si>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</si>
  <si>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</si>
  <si>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</si>
  <si>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</si>
  <si>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</si>
  <si>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</si>
  <si>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</si>
  <si>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018030</t>
  </si>
  <si>
    <t>Parkoló építés, Sporttelep</t>
  </si>
  <si>
    <t>045120</t>
  </si>
  <si>
    <t>082091</t>
  </si>
  <si>
    <t>074031</t>
  </si>
  <si>
    <t>Végrehajtások bevétele</t>
  </si>
  <si>
    <t>018010</t>
  </si>
  <si>
    <t>Villamoshálózat átalakítás</t>
  </si>
  <si>
    <t>091250</t>
  </si>
  <si>
    <t>092111</t>
  </si>
  <si>
    <t>081030</t>
  </si>
  <si>
    <t>Sportöltöző feliratozás</t>
  </si>
  <si>
    <t>Ingatlan vásárlás, Orgona utca 18.</t>
  </si>
  <si>
    <t>Budai úti járda építése</t>
  </si>
  <si>
    <t>TOP 3.2.1 energia tanulmány</t>
  </si>
  <si>
    <t>Mezőőri szolgálat</t>
  </si>
  <si>
    <t>Közfoglalkoztatás támogatása</t>
  </si>
  <si>
    <t>Műk.célú pénzeszk.átvétel SZLV TKT</t>
  </si>
  <si>
    <t>Eü. Finanszírozás</t>
  </si>
  <si>
    <t>Műv.Iskola térítési díj átvétele KLIK-től</t>
  </si>
  <si>
    <t>Iskolatej támogatás</t>
  </si>
  <si>
    <t>OMSZ kerítés építésre pénzeszköz átvétel</t>
  </si>
  <si>
    <t>2015.évi pénzmaradvány elvonás intézményektől</t>
  </si>
  <si>
    <t>Bérleti díjak átvétele intézményektől</t>
  </si>
  <si>
    <t>Miniszterelnökségi pályázat 2015.évi áthúzódó</t>
  </si>
  <si>
    <t>Miniszterelnökségi pályázat 2016.évi</t>
  </si>
  <si>
    <t>St. Avertin átadott pe. Busz kiadásra</t>
  </si>
  <si>
    <t>NKA szoborra átvett pe.</t>
  </si>
  <si>
    <t>Közterülethasználati díj</t>
  </si>
  <si>
    <t>Végrehajtási költségtérítések bevétele</t>
  </si>
  <si>
    <t>Szent László út 3. ingatlan eladása</t>
  </si>
  <si>
    <t>Jókai utca 1649.hrsz ingatlan eladása</t>
  </si>
  <si>
    <t>Lakás értékesítés részlete</t>
  </si>
  <si>
    <t>39M Lövész Egyesület támogatás visszatérítése</t>
  </si>
  <si>
    <t>Bicske Város pe.átadás</t>
  </si>
  <si>
    <t>PH tandíj visszafizetés</t>
  </si>
  <si>
    <t>Malom hajópadló hangszigetelés</t>
  </si>
  <si>
    <t>Útfelújítások csatornázás miatt</t>
  </si>
  <si>
    <t>Malom radiátor és fűtés vezeték csere</t>
  </si>
  <si>
    <t>Szent László út csatorna építés</t>
  </si>
  <si>
    <t>Sportcsarnok építés</t>
  </si>
  <si>
    <t xml:space="preserve">Bútor városháza </t>
  </si>
  <si>
    <t>Martonsport Kft. Törzstőke emelés</t>
  </si>
  <si>
    <t>Emlékezés tere ideiglenes mérőberendezés szekrények</t>
  </si>
  <si>
    <t>Művészeti Iskola bútor vásárlás</t>
  </si>
  <si>
    <t>Beethoven Iskola bútor vásárlás</t>
  </si>
  <si>
    <t>Mód. Ei. III</t>
  </si>
  <si>
    <t>Mód. Ei. III.</t>
  </si>
  <si>
    <t>Módosított ei. III., Ft</t>
  </si>
  <si>
    <t>Módosított ei. III, Ft</t>
  </si>
  <si>
    <t>Mód. ei. III.</t>
  </si>
  <si>
    <t>Módosított előirányzat III.</t>
  </si>
  <si>
    <t>2016. évi módosított II. létszám (fő)</t>
  </si>
  <si>
    <t>2016. évi módosított III.  létszám (fő)</t>
  </si>
  <si>
    <t>Előirányzat átcsoportosítás</t>
  </si>
  <si>
    <t>Bérkompenzáció II.félév</t>
  </si>
  <si>
    <t>0 18030</t>
  </si>
  <si>
    <t>Útfelújítás  csatornázás miatt</t>
  </si>
  <si>
    <t>Óvodai szakmai kirándulás</t>
  </si>
  <si>
    <t>BBK közművel.érd.növelő, könyvtári érd.növelő</t>
  </si>
  <si>
    <t>Deák F.u. parkoló terve</t>
  </si>
  <si>
    <t>Szőnyeg vásárlás</t>
  </si>
  <si>
    <t>Kincstárjegy</t>
  </si>
  <si>
    <t>900060</t>
  </si>
  <si>
    <t xml:space="preserve">Polgármesteri Hivatal bútorok, beruházás, bérek </t>
  </si>
  <si>
    <t>BBK jutalom</t>
  </si>
  <si>
    <t>Adó többlet tartalékba helyezés</t>
  </si>
  <si>
    <t>Közlekedési táblák vásárlása</t>
  </si>
  <si>
    <t>Malom épület karbantartási díjai</t>
  </si>
  <si>
    <t>Sportcsarnok szőnyeg vásárlás</t>
  </si>
  <si>
    <t>MG tanterem beruházás többlet kiadás</t>
  </si>
  <si>
    <t>"Tóth Iván" felirat díja</t>
  </si>
  <si>
    <t>Brunszvik T. óvoda erzsébet utalványok</t>
  </si>
  <si>
    <t>800 M kormányzati támogatás bevétele</t>
  </si>
  <si>
    <t>Tervek készítése 800 M támogatás terhére</t>
  </si>
  <si>
    <t>Védőnők jutalma ei átcsoportosítás</t>
  </si>
  <si>
    <t>Bérleti díj-Művészeti Iskola elhelyezés</t>
  </si>
  <si>
    <t>Kisajátítási eljárás költségeire ei átcsoportosítás</t>
  </si>
  <si>
    <t>Szociális támogatásokra pótelőirányzat</t>
  </si>
  <si>
    <t xml:space="preserve">BGA 2016 pályázat </t>
  </si>
  <si>
    <t>Margaret Island fellépés díja</t>
  </si>
  <si>
    <t>Kátyúzási munkák díja</t>
  </si>
  <si>
    <t>Iskola felújítási munkáinak díja</t>
  </si>
  <si>
    <t>Bölcsöde építés kiadásai</t>
  </si>
  <si>
    <t>Normatíva elvonás, év végi rendezés</t>
  </si>
  <si>
    <t>Fejér Megyei Rendőrfőkapitányság támogatása</t>
  </si>
  <si>
    <t>BBK int.fin elvonás tartalékba helyezés céljából (MNN)</t>
  </si>
  <si>
    <t>Labdarúgóháló magasításának költségei</t>
  </si>
  <si>
    <t>Járási Hivatal tetőszerkezet tervezésének díja</t>
  </si>
  <si>
    <t>Mentőállomás támogatása eszközök vásárlásával</t>
  </si>
  <si>
    <t>Forgószék vásárlás</t>
  </si>
  <si>
    <t>Mobiltelefon vásárlás</t>
  </si>
  <si>
    <t>Iskolai bútorok, Sportcsarnok kültéri bútorok vásárlás</t>
  </si>
  <si>
    <t>Kamerarendszer kiépítése Sportcsarnoknál</t>
  </si>
  <si>
    <t>Eszközök vásárlása Művészeti Iskola számára</t>
  </si>
  <si>
    <t>Sportcsarnok és Iskola közötti kerítés építés</t>
  </si>
  <si>
    <t>Malom épületének felújítási munkálatai</t>
  </si>
  <si>
    <t>MG Kft részére átadott 2016.évi pótelőirányzat</t>
  </si>
  <si>
    <t>Szép porta díj előirányzata</t>
  </si>
  <si>
    <t>Előirányzat módosítás főkönyvi szám és cofog átsorolás miatt</t>
  </si>
  <si>
    <t>Korábbi évek megszűnt adóbevételei</t>
  </si>
  <si>
    <t>B817</t>
  </si>
  <si>
    <t>Lekötött bankbetétek megszüntetése</t>
  </si>
  <si>
    <t>104030- Bölcsöde</t>
  </si>
  <si>
    <t>Közép-Duna Vidéke Hull.gazd Társ.</t>
  </si>
  <si>
    <t>Mezőkölpény támogatása</t>
  </si>
  <si>
    <t>Rendőrségnek átadott pe</t>
  </si>
  <si>
    <t>KLIK-nek pe átadás-normatíva</t>
  </si>
  <si>
    <t>BBK érdekeltségnövelő pályázat bevétele</t>
  </si>
  <si>
    <t>Kormányzati támogatás</t>
  </si>
  <si>
    <t>Bölcsöde építéshez TKT önkormányzatok hozzájárulása</t>
  </si>
  <si>
    <t>BGA 2016 pályázat bevétele</t>
  </si>
  <si>
    <t>Lekötött bankbetét megszüntetése</t>
  </si>
  <si>
    <t>K916</t>
  </si>
  <si>
    <t>Pénzeszközk lekötött bankbetétként elhelyezése</t>
  </si>
  <si>
    <t>K912</t>
  </si>
  <si>
    <t>Forgatási célú belföldi értékpapírok vásárlása</t>
  </si>
  <si>
    <t>Év végi normatíva elvonás</t>
  </si>
  <si>
    <t>Népszavazás előirányzat módosítás</t>
  </si>
  <si>
    <t>Erzsébet utalványok kiadásai</t>
  </si>
  <si>
    <t>Szakmai kirándulás kiadásai</t>
  </si>
  <si>
    <t>Kerékpár vásálásra ei átcsoportosítás</t>
  </si>
  <si>
    <t>Bérkompenzáció rendezése II.félév</t>
  </si>
  <si>
    <t>Előirányzatok átcsoportosítása főkönyviszám módosítás miatt</t>
  </si>
  <si>
    <t>MNN bevétel tartalékba helyezés Önkormányzatnál</t>
  </si>
  <si>
    <t>Év végi jutalom</t>
  </si>
  <si>
    <t>Könyvtári bevétel átcsoportosítása kiadásokra</t>
  </si>
  <si>
    <t>MNN áfa befizetésre ei átcsoportosítás</t>
  </si>
  <si>
    <t>Könyvtári érdekletségnövelő pályázat előirányzatosítása</t>
  </si>
  <si>
    <t>Közművelődési érdekeltségnövelő pályázat előirányzatosítása</t>
  </si>
  <si>
    <t>Szervezet neve</t>
  </si>
  <si>
    <t>Évközben lekötött bankbetétek előirányzatosítása</t>
  </si>
  <si>
    <t>Kincstárjegy vásálás</t>
  </si>
  <si>
    <t>Bankbetét lekötése</t>
  </si>
  <si>
    <t>Módosított ei.II</t>
  </si>
  <si>
    <t>Szoc. Ágazati pótlék és kiegészítés</t>
  </si>
  <si>
    <t>Bérkompenzáció év eleji rendezése</t>
  </si>
  <si>
    <t>Deák F.u . Parkoló terve</t>
  </si>
  <si>
    <t>Malom épület felújítási munkái</t>
  </si>
  <si>
    <t>Többlet bevétel előirányzatosítása</t>
  </si>
  <si>
    <t>Martonvásár Város Képviselőtestület 6/2017. (III.29.) önkormányzati rendelete Martonvásár Város 2016.évi költségvetésének módosításáról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</si>
</sst>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8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4" fillId="12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5" fillId="12" borderId="63" applyNumberFormat="0" applyAlignment="0" applyProtection="0"/>
    <xf numFmtId="0" fontId="46" fillId="0" borderId="0" applyNumberFormat="0" applyFill="0" applyBorder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9" fillId="0" borderId="66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67" applyNumberFormat="0" applyAlignment="0" applyProtection="0"/>
    <xf numFmtId="0" fontId="51" fillId="0" borderId="0" applyNumberFormat="0" applyFill="0" applyBorder="0" applyAlignment="0" applyProtection="0"/>
    <xf numFmtId="0" fontId="52" fillId="0" borderId="68" applyNumberFormat="0" applyFill="0" applyAlignment="0" applyProtection="0"/>
    <xf numFmtId="0" fontId="16" fillId="9" borderId="69" applyNumberFormat="0" applyFont="0" applyAlignment="0" applyProtection="0"/>
    <xf numFmtId="0" fontId="44" fillId="14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3" fillId="20" borderId="0" applyNumberFormat="0" applyBorder="0" applyAlignment="0" applyProtection="0"/>
    <xf numFmtId="0" fontId="54" fillId="21" borderId="70" applyNumberFormat="0" applyAlignment="0" applyProtection="0"/>
    <xf numFmtId="0" fontId="55" fillId="0" borderId="0" applyNumberFormat="0" applyFill="0" applyBorder="0" applyAlignment="0" applyProtection="0"/>
    <xf numFmtId="0" fontId="56" fillId="0" borderId="0"/>
    <xf numFmtId="0" fontId="43" fillId="0" borderId="0"/>
    <xf numFmtId="0" fontId="57" fillId="0" borderId="0"/>
    <xf numFmtId="0" fontId="16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57" fillId="0" borderId="0"/>
    <xf numFmtId="0" fontId="58" fillId="0" borderId="71" applyNumberFormat="0" applyFill="0" applyAlignment="0" applyProtection="0"/>
    <xf numFmtId="0" fontId="59" fillId="22" borderId="0" applyNumberFormat="0" applyBorder="0" applyAlignment="0" applyProtection="0"/>
    <xf numFmtId="0" fontId="60" fillId="12" borderId="0" applyNumberFormat="0" applyBorder="0" applyAlignment="0" applyProtection="0"/>
    <xf numFmtId="0" fontId="61" fillId="21" borderId="63" applyNumberFormat="0" applyAlignment="0" applyProtection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2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10" borderId="0" applyNumberFormat="0" applyBorder="0" applyAlignment="0" applyProtection="0"/>
    <xf numFmtId="0" fontId="43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8" borderId="0" applyNumberFormat="0" applyBorder="0" applyAlignment="0" applyProtection="0"/>
    <xf numFmtId="0" fontId="44" fillId="25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9" fillId="22" borderId="0" applyNumberFormat="0" applyBorder="0" applyAlignment="0" applyProtection="0"/>
    <xf numFmtId="0" fontId="61" fillId="11" borderId="63" applyNumberFormat="0" applyAlignment="0" applyProtection="0"/>
    <xf numFmtId="0" fontId="50" fillId="15" borderId="67" applyNumberFormat="0" applyAlignment="0" applyProtection="0"/>
    <xf numFmtId="0" fontId="55" fillId="0" borderId="0" applyNumberFormat="0" applyFill="0" applyBorder="0" applyAlignment="0" applyProtection="0"/>
    <xf numFmtId="0" fontId="53" fillId="20" borderId="0" applyNumberFormat="0" applyBorder="0" applyAlignment="0" applyProtection="0"/>
    <xf numFmtId="0" fontId="62" fillId="0" borderId="81" applyNumberFormat="0" applyFill="0" applyAlignment="0" applyProtection="0"/>
    <xf numFmtId="0" fontId="63" fillId="0" borderId="65" applyNumberFormat="0" applyFill="0" applyAlignment="0" applyProtection="0"/>
    <xf numFmtId="0" fontId="64" fillId="0" borderId="82" applyNumberFormat="0" applyFill="0" applyAlignment="0" applyProtection="0"/>
    <xf numFmtId="0" fontId="64" fillId="0" borderId="0" applyNumberFormat="0" applyFill="0" applyBorder="0" applyAlignment="0" applyProtection="0"/>
    <xf numFmtId="0" fontId="45" fillId="7" borderId="63" applyNumberFormat="0" applyAlignment="0" applyProtection="0"/>
    <xf numFmtId="0" fontId="52" fillId="0" borderId="68" applyNumberFormat="0" applyFill="0" applyAlignment="0" applyProtection="0"/>
    <xf numFmtId="0" fontId="60" fillId="12" borderId="0" applyNumberFormat="0" applyBorder="0" applyAlignment="0" applyProtection="0"/>
    <xf numFmtId="0" fontId="57" fillId="9" borderId="69" applyNumberFormat="0" applyFont="0" applyAlignment="0" applyProtection="0"/>
    <xf numFmtId="0" fontId="54" fillId="11" borderId="70" applyNumberFormat="0" applyAlignment="0" applyProtection="0"/>
    <xf numFmtId="0" fontId="65" fillId="0" borderId="0" applyNumberFormat="0" applyFill="0" applyBorder="0" applyAlignment="0" applyProtection="0"/>
    <xf numFmtId="0" fontId="58" fillId="0" borderId="83" applyNumberFormat="0" applyFill="0" applyAlignment="0" applyProtection="0"/>
    <xf numFmtId="0" fontId="51" fillId="0" borderId="0" applyNumberFormat="0" applyFill="0" applyBorder="0" applyAlignment="0" applyProtection="0"/>
    <xf numFmtId="43" fontId="42" fillId="0" borderId="0" applyFont="0" applyFill="0" applyBorder="0" applyAlignment="0" applyProtection="0"/>
  </cellStyleXfs>
  <cellXfs count="1176">
    <xf numFmtId="0" fontId="0" fillId="0" borderId="0" xfId="0"/>
    <xf numFmtId="0" fontId="0" fillId="0" borderId="0" xfId="0" applyBorder="1"/>
    <xf numFmtId="0" fontId="30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/>
    <xf numFmtId="0" fontId="32" fillId="0" borderId="1" xfId="0" applyFont="1" applyBorder="1"/>
    <xf numFmtId="0" fontId="32" fillId="0" borderId="2" xfId="0" applyFont="1" applyBorder="1"/>
    <xf numFmtId="0" fontId="32" fillId="0" borderId="4" xfId="0" applyFont="1" applyBorder="1"/>
    <xf numFmtId="0" fontId="32" fillId="0" borderId="8" xfId="0" applyFont="1" applyBorder="1"/>
    <xf numFmtId="0" fontId="32" fillId="0" borderId="5" xfId="0" applyFont="1" applyBorder="1"/>
    <xf numFmtId="0" fontId="32" fillId="0" borderId="9" xfId="0" applyFont="1" applyBorder="1"/>
    <xf numFmtId="0" fontId="32" fillId="0" borderId="6" xfId="0" applyFont="1" applyBorder="1" applyAlignment="1">
      <alignment horizontal="left"/>
    </xf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2" fillId="0" borderId="1" xfId="0" applyNumberFormat="1" applyFont="1" applyBorder="1"/>
    <xf numFmtId="3" fontId="32" fillId="0" borderId="4" xfId="0" applyNumberFormat="1" applyFont="1" applyBorder="1"/>
    <xf numFmtId="3" fontId="32" fillId="0" borderId="8" xfId="0" applyNumberFormat="1" applyFont="1" applyBorder="1"/>
    <xf numFmtId="3" fontId="32" fillId="0" borderId="5" xfId="0" applyNumberFormat="1" applyFont="1" applyBorder="1"/>
    <xf numFmtId="49" fontId="32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32" fillId="0" borderId="0" xfId="0" applyFont="1" applyBorder="1" applyAlignment="1">
      <alignment vertical="center"/>
    </xf>
    <xf numFmtId="0" fontId="33" fillId="0" borderId="3" xfId="0" applyFont="1" applyBorder="1" applyAlignment="1">
      <alignment horizontal="left"/>
    </xf>
    <xf numFmtId="0" fontId="33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31" fillId="0" borderId="2" xfId="0" applyFont="1" applyBorder="1"/>
    <xf numFmtId="0" fontId="31" fillId="0" borderId="0" xfId="0" applyFont="1" applyBorder="1"/>
    <xf numFmtId="0" fontId="31" fillId="0" borderId="1" xfId="0" applyFont="1" applyBorder="1"/>
    <xf numFmtId="0" fontId="31" fillId="0" borderId="5" xfId="0" applyFont="1" applyBorder="1"/>
    <xf numFmtId="0" fontId="30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2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0" fontId="31" fillId="0" borderId="13" xfId="0" applyFont="1" applyBorder="1"/>
    <xf numFmtId="3" fontId="33" fillId="0" borderId="1" xfId="0" applyNumberFormat="1" applyFont="1" applyBorder="1"/>
    <xf numFmtId="3" fontId="31" fillId="0" borderId="7" xfId="0" applyNumberFormat="1" applyFont="1" applyBorder="1"/>
    <xf numFmtId="3" fontId="31" fillId="0" borderId="5" xfId="0" applyNumberFormat="1" applyFont="1" applyBorder="1"/>
    <xf numFmtId="3" fontId="31" fillId="0" borderId="2" xfId="0" applyNumberFormat="1" applyFont="1" applyBorder="1"/>
    <xf numFmtId="3" fontId="7" fillId="0" borderId="1" xfId="0" applyNumberFormat="1" applyFont="1" applyFill="1" applyBorder="1" applyAlignment="1">
      <alignment vertical="center" wrapText="1"/>
    </xf>
    <xf numFmtId="3" fontId="33" fillId="0" borderId="8" xfId="0" applyNumberFormat="1" applyFont="1" applyBorder="1"/>
    <xf numFmtId="3" fontId="31" fillId="0" borderId="1" xfId="0" applyNumberFormat="1" applyFont="1" applyBorder="1"/>
    <xf numFmtId="3" fontId="33" fillId="0" borderId="2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2" fillId="0" borderId="0" xfId="0" applyNumberFormat="1" applyFont="1" applyBorder="1"/>
    <xf numFmtId="3" fontId="31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32" fillId="0" borderId="0" xfId="0" applyFont="1" applyBorder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right"/>
    </xf>
    <xf numFmtId="0" fontId="31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31" fillId="0" borderId="1" xfId="0" applyFont="1" applyBorder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3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3" xfId="0" applyNumberFormat="1" applyFont="1" applyFill="1" applyBorder="1" applyAlignment="1" applyProtection="1">
      <alignment vertical="center" wrapText="1"/>
      <protection locked="0"/>
    </xf>
    <xf numFmtId="3" fontId="14" fillId="0" borderId="5" xfId="0" applyNumberFormat="1" applyFont="1" applyFill="1" applyBorder="1" applyAlignment="1" applyProtection="1">
      <alignment vertical="center" wrapText="1"/>
      <protection locked="0"/>
    </xf>
    <xf numFmtId="165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1" xfId="0" applyNumberFormat="1" applyFont="1" applyFill="1" applyBorder="1" applyAlignment="1" applyProtection="1">
      <alignment vertical="center" wrapText="1"/>
      <protection locked="0"/>
    </xf>
    <xf numFmtId="165" fontId="14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2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5" fillId="0" borderId="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165" fontId="1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4" fillId="0" borderId="13" xfId="0" applyNumberFormat="1" applyFont="1" applyFill="1" applyBorder="1" applyAlignment="1" applyProtection="1">
      <alignment vertical="center" wrapText="1"/>
      <protection locked="0"/>
    </xf>
    <xf numFmtId="1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5" xfId="0" applyNumberFormat="1" applyFont="1" applyFill="1" applyBorder="1" applyAlignment="1" applyProtection="1">
      <alignment vertical="center" wrapText="1"/>
      <protection locked="0"/>
    </xf>
    <xf numFmtId="14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 applyProtection="1">
      <alignment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0" xfId="0" applyNumberFormat="1" applyFont="1" applyFill="1" applyAlignment="1">
      <alignment vertical="center" wrapText="1"/>
    </xf>
    <xf numFmtId="165" fontId="2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3" xfId="0" applyNumberFormat="1" applyFont="1" applyFill="1" applyBorder="1" applyAlignment="1">
      <alignment horizontal="left" vertical="center" wrapText="1"/>
    </xf>
    <xf numFmtId="3" fontId="17" fillId="0" borderId="13" xfId="0" applyNumberFormat="1" applyFont="1" applyFill="1" applyBorder="1" applyAlignment="1" applyProtection="1">
      <alignment vertical="center" wrapText="1"/>
    </xf>
    <xf numFmtId="0" fontId="17" fillId="0" borderId="18" xfId="0" applyNumberFormat="1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17" fillId="0" borderId="1" xfId="0" applyFont="1" applyFill="1" applyBorder="1" applyAlignment="1">
      <alignment horizontal="right"/>
    </xf>
    <xf numFmtId="0" fontId="17" fillId="0" borderId="20" xfId="0" applyNumberFormat="1" applyFont="1" applyFill="1" applyBorder="1" applyAlignment="1">
      <alignment horizontal="center"/>
    </xf>
    <xf numFmtId="0" fontId="17" fillId="0" borderId="21" xfId="0" applyFont="1" applyFill="1" applyBorder="1" applyAlignment="1">
      <alignment horizontal="right"/>
    </xf>
    <xf numFmtId="0" fontId="4" fillId="0" borderId="25" xfId="1" applyFont="1" applyFill="1" applyBorder="1" applyAlignment="1">
      <alignment horizontal="right" vertical="center"/>
    </xf>
    <xf numFmtId="0" fontId="32" fillId="0" borderId="25" xfId="0" applyFont="1" applyBorder="1" applyAlignment="1">
      <alignment horizontal="right"/>
    </xf>
    <xf numFmtId="0" fontId="4" fillId="0" borderId="35" xfId="1" applyFont="1" applyFill="1" applyBorder="1" applyAlignment="1">
      <alignment horizontal="right" vertical="center"/>
    </xf>
    <xf numFmtId="3" fontId="32" fillId="0" borderId="6" xfId="0" applyNumberFormat="1" applyFont="1" applyBorder="1"/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49" fontId="3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32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2" fillId="0" borderId="0" xfId="0" applyNumberFormat="1" applyFont="1" applyFill="1" applyAlignment="1">
      <alignment vertical="center" wrapText="1"/>
    </xf>
    <xf numFmtId="165" fontId="32" fillId="0" borderId="0" xfId="0" applyNumberFormat="1" applyFont="1" applyFill="1" applyAlignment="1">
      <alignment horizontal="center" vertical="center" wrapText="1"/>
    </xf>
    <xf numFmtId="165" fontId="32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165" fontId="31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0" xfId="0" applyNumberFormat="1" applyFont="1" applyFill="1" applyAlignment="1">
      <alignment vertical="center" wrapText="1"/>
    </xf>
    <xf numFmtId="3" fontId="32" fillId="0" borderId="0" xfId="0" applyNumberFormat="1" applyFont="1" applyFill="1" applyAlignment="1">
      <alignment horizontal="right" vertical="center" wrapText="1"/>
    </xf>
    <xf numFmtId="0" fontId="35" fillId="0" borderId="0" xfId="0" applyFont="1"/>
    <xf numFmtId="0" fontId="0" fillId="0" borderId="0" xfId="0" applyAlignment="1">
      <alignment wrapText="1"/>
    </xf>
    <xf numFmtId="0" fontId="35" fillId="0" borderId="6" xfId="0" applyFont="1" applyBorder="1" applyAlignment="1">
      <alignment horizontal="right"/>
    </xf>
    <xf numFmtId="0" fontId="35" fillId="0" borderId="6" xfId="0" applyFont="1" applyBorder="1" applyAlignment="1">
      <alignment horizontal="left"/>
    </xf>
    <xf numFmtId="0" fontId="35" fillId="0" borderId="6" xfId="0" applyFont="1" applyBorder="1"/>
    <xf numFmtId="0" fontId="37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38" fillId="0" borderId="4" xfId="0" applyFont="1" applyBorder="1"/>
    <xf numFmtId="0" fontId="38" fillId="0" borderId="8" xfId="0" applyFont="1" applyBorder="1"/>
    <xf numFmtId="0" fontId="38" fillId="0" borderId="3" xfId="0" applyFont="1" applyBorder="1"/>
    <xf numFmtId="0" fontId="39" fillId="0" borderId="1" xfId="0" applyFont="1" applyBorder="1" applyAlignment="1">
      <alignment horizontal="right" vertical="center"/>
    </xf>
    <xf numFmtId="0" fontId="39" fillId="0" borderId="3" xfId="0" applyFont="1" applyBorder="1" applyAlignment="1">
      <alignment horizontal="left"/>
    </xf>
    <xf numFmtId="1" fontId="39" fillId="0" borderId="8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/>
    </xf>
    <xf numFmtId="1" fontId="39" fillId="0" borderId="11" xfId="0" applyNumberFormat="1" applyFont="1" applyBorder="1" applyAlignment="1">
      <alignment horizontal="left" vertical="center" wrapText="1"/>
    </xf>
    <xf numFmtId="0" fontId="38" fillId="0" borderId="11" xfId="0" applyFont="1" applyBorder="1"/>
    <xf numFmtId="0" fontId="38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/>
    </xf>
    <xf numFmtId="1" fontId="38" fillId="0" borderId="6" xfId="0" applyNumberFormat="1" applyFont="1" applyBorder="1" applyAlignment="1">
      <alignment horizontal="left" vertical="center" wrapText="1"/>
    </xf>
    <xf numFmtId="0" fontId="38" fillId="0" borderId="6" xfId="0" applyFont="1" applyBorder="1"/>
    <xf numFmtId="0" fontId="39" fillId="0" borderId="1" xfId="0" applyFont="1" applyBorder="1" applyAlignment="1">
      <alignment horizontal="right" vertical="center" wrapText="1"/>
    </xf>
    <xf numFmtId="0" fontId="39" fillId="0" borderId="8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right" vertical="center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right" vertical="center"/>
    </xf>
    <xf numFmtId="0" fontId="36" fillId="0" borderId="38" xfId="0" applyFont="1" applyBorder="1" applyAlignment="1">
      <alignment horizontal="left" vertical="center" wrapText="1"/>
    </xf>
    <xf numFmtId="0" fontId="38" fillId="0" borderId="38" xfId="0" applyFont="1" applyBorder="1"/>
    <xf numFmtId="0" fontId="38" fillId="0" borderId="39" xfId="0" applyFont="1" applyBorder="1"/>
    <xf numFmtId="0" fontId="38" fillId="0" borderId="32" xfId="0" applyFont="1" applyBorder="1"/>
    <xf numFmtId="0" fontId="36" fillId="0" borderId="12" xfId="0" applyFont="1" applyBorder="1" applyAlignment="1">
      <alignment horizontal="right" vertical="center" wrapText="1"/>
    </xf>
    <xf numFmtId="0" fontId="36" fillId="0" borderId="13" xfId="0" applyFont="1" applyBorder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/>
    <xf numFmtId="3" fontId="40" fillId="0" borderId="37" xfId="0" applyNumberFormat="1" applyFont="1" applyBorder="1" applyAlignment="1">
      <alignment horizontal="center"/>
    </xf>
    <xf numFmtId="3" fontId="41" fillId="0" borderId="37" xfId="0" applyNumberFormat="1" applyFont="1" applyBorder="1" applyAlignment="1">
      <alignment horizontal="right"/>
    </xf>
    <xf numFmtId="0" fontId="36" fillId="0" borderId="34" xfId="0" applyFont="1" applyBorder="1" applyAlignment="1">
      <alignment horizontal="center" vertical="center"/>
    </xf>
    <xf numFmtId="9" fontId="36" fillId="0" borderId="34" xfId="0" applyNumberFormat="1" applyFont="1" applyBorder="1" applyAlignment="1">
      <alignment horizontal="center" vertical="center" wrapText="1"/>
    </xf>
    <xf numFmtId="0" fontId="35" fillId="0" borderId="25" xfId="0" applyFont="1" applyBorder="1"/>
    <xf numFmtId="0" fontId="36" fillId="0" borderId="40" xfId="0" applyFont="1" applyBorder="1" applyAlignment="1">
      <alignment horizontal="left" vertical="center"/>
    </xf>
    <xf numFmtId="0" fontId="38" fillId="0" borderId="41" xfId="0" applyFont="1" applyBorder="1"/>
    <xf numFmtId="0" fontId="36" fillId="0" borderId="41" xfId="0" applyFont="1" applyBorder="1" applyAlignment="1">
      <alignment horizontal="left" vertical="center"/>
    </xf>
    <xf numFmtId="3" fontId="36" fillId="4" borderId="41" xfId="0" applyNumberFormat="1" applyFont="1" applyFill="1" applyBorder="1" applyAlignment="1">
      <alignment horizontal="center" vertical="center" wrapText="1"/>
    </xf>
    <xf numFmtId="0" fontId="36" fillId="0" borderId="41" xfId="0" applyFont="1" applyBorder="1"/>
    <xf numFmtId="0" fontId="38" fillId="4" borderId="0" xfId="0" applyFont="1" applyFill="1"/>
    <xf numFmtId="0" fontId="36" fillId="0" borderId="34" xfId="0" applyFont="1" applyBorder="1" applyAlignment="1">
      <alignment vertical="center"/>
    </xf>
    <xf numFmtId="0" fontId="38" fillId="0" borderId="0" xfId="0" applyFont="1" applyAlignment="1">
      <alignment vertical="center"/>
    </xf>
    <xf numFmtId="3" fontId="36" fillId="0" borderId="42" xfId="0" applyNumberFormat="1" applyFont="1" applyBorder="1"/>
    <xf numFmtId="9" fontId="38" fillId="0" borderId="42" xfId="0" applyNumberFormat="1" applyFont="1" applyBorder="1"/>
    <xf numFmtId="0" fontId="38" fillId="0" borderId="42" xfId="0" applyFont="1" applyBorder="1"/>
    <xf numFmtId="0" fontId="35" fillId="0" borderId="37" xfId="0" applyFont="1" applyBorder="1"/>
    <xf numFmtId="0" fontId="38" fillId="0" borderId="37" xfId="0" applyFont="1" applyBorder="1"/>
    <xf numFmtId="9" fontId="38" fillId="0" borderId="37" xfId="0" applyNumberFormat="1" applyFont="1" applyBorder="1"/>
    <xf numFmtId="0" fontId="36" fillId="0" borderId="40" xfId="0" applyFont="1" applyBorder="1" applyAlignment="1">
      <alignment horizontal="center" vertical="center"/>
    </xf>
    <xf numFmtId="166" fontId="38" fillId="0" borderId="0" xfId="0" applyNumberFormat="1" applyFont="1"/>
    <xf numFmtId="3" fontId="36" fillId="0" borderId="41" xfId="0" applyNumberFormat="1" applyFont="1" applyBorder="1" applyAlignment="1">
      <alignment horizontal="center"/>
    </xf>
    <xf numFmtId="0" fontId="35" fillId="0" borderId="42" xfId="0" applyFont="1" applyBorder="1"/>
    <xf numFmtId="3" fontId="38" fillId="0" borderId="42" xfId="0" applyNumberFormat="1" applyFont="1" applyBorder="1"/>
    <xf numFmtId="3" fontId="38" fillId="0" borderId="0" xfId="0" applyNumberFormat="1" applyFont="1"/>
    <xf numFmtId="0" fontId="38" fillId="0" borderId="1" xfId="0" applyFont="1" applyBorder="1"/>
    <xf numFmtId="0" fontId="36" fillId="0" borderId="1" xfId="0" applyFont="1" applyBorder="1" applyAlignment="1">
      <alignment horizontal="right" vertical="center"/>
    </xf>
    <xf numFmtId="0" fontId="36" fillId="0" borderId="1" xfId="0" applyFont="1" applyBorder="1"/>
    <xf numFmtId="0" fontId="30" fillId="0" borderId="0" xfId="0" applyFont="1" applyAlignment="1">
      <alignment wrapText="1"/>
    </xf>
    <xf numFmtId="0" fontId="37" fillId="0" borderId="0" xfId="0" applyFont="1"/>
    <xf numFmtId="0" fontId="38" fillId="0" borderId="41" xfId="0" applyFont="1" applyBorder="1"/>
    <xf numFmtId="0" fontId="39" fillId="0" borderId="41" xfId="0" applyFont="1" applyBorder="1"/>
    <xf numFmtId="0" fontId="36" fillId="4" borderId="34" xfId="0" applyFont="1" applyFill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/>
    </xf>
    <xf numFmtId="0" fontId="38" fillId="0" borderId="48" xfId="0" applyFont="1" applyBorder="1"/>
    <xf numFmtId="0" fontId="36" fillId="0" borderId="41" xfId="0" applyFont="1" applyBorder="1" applyAlignment="1">
      <alignment horizontal="left" vertical="center"/>
    </xf>
    <xf numFmtId="0" fontId="35" fillId="0" borderId="0" xfId="0" applyFont="1" applyBorder="1"/>
    <xf numFmtId="3" fontId="31" fillId="0" borderId="0" xfId="0" applyNumberFormat="1" applyFont="1" applyBorder="1"/>
    <xf numFmtId="3" fontId="5" fillId="0" borderId="5" xfId="1" applyNumberFormat="1" applyFont="1" applyBorder="1"/>
    <xf numFmtId="0" fontId="2" fillId="0" borderId="11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3" fontId="5" fillId="0" borderId="11" xfId="1" applyNumberFormat="1" applyFont="1" applyBorder="1"/>
    <xf numFmtId="3" fontId="32" fillId="0" borderId="11" xfId="0" applyNumberFormat="1" applyFont="1" applyBorder="1"/>
    <xf numFmtId="3" fontId="33" fillId="0" borderId="11" xfId="0" applyNumberFormat="1" applyFont="1" applyBorder="1"/>
    <xf numFmtId="0" fontId="6" fillId="0" borderId="11" xfId="1" applyFont="1" applyFill="1" applyBorder="1" applyAlignment="1">
      <alignment horizontal="right" vertical="center"/>
    </xf>
    <xf numFmtId="0" fontId="33" fillId="0" borderId="11" xfId="0" applyFont="1" applyBorder="1" applyAlignment="1">
      <alignment horizontal="left"/>
    </xf>
    <xf numFmtId="164" fontId="6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5" xfId="3" applyNumberFormat="1" applyFont="1" applyFill="1" applyBorder="1" applyAlignment="1" applyProtection="1">
      <alignment horizontal="center" vertical="center" wrapText="1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8" xfId="3" applyNumberFormat="1" applyFont="1" applyFill="1" applyBorder="1" applyAlignment="1" applyProtection="1">
      <alignment horizontal="left" vertical="center" indent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3" fontId="3" fillId="5" borderId="18" xfId="3" applyNumberFormat="1" applyFont="1" applyFill="1" applyBorder="1" applyAlignment="1" applyProtection="1">
      <alignment horizontal="left" vertical="center" indent="1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5" fillId="6" borderId="20" xfId="3" applyNumberFormat="1" applyFont="1" applyFill="1" applyBorder="1" applyAlignment="1" applyProtection="1">
      <alignment horizontal="left" vertical="center" inden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horizontal="left" vertical="center" indent="1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3" fillId="0" borderId="14" xfId="3" applyNumberFormat="1" applyFont="1" applyFill="1" applyBorder="1" applyAlignment="1" applyProtection="1"/>
    <xf numFmtId="3" fontId="22" fillId="0" borderId="0" xfId="0" applyNumberFormat="1" applyFont="1" applyFill="1" applyAlignment="1">
      <alignment horizontal="right"/>
    </xf>
    <xf numFmtId="3" fontId="25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center" vertical="center"/>
    </xf>
    <xf numFmtId="3" fontId="23" fillId="0" borderId="56" xfId="0" applyNumberFormat="1" applyFont="1" applyFill="1" applyBorder="1" applyAlignment="1">
      <alignment horizontal="center" vertical="center"/>
    </xf>
    <xf numFmtId="3" fontId="23" fillId="0" borderId="55" xfId="0" applyNumberFormat="1" applyFont="1" applyFill="1" applyBorder="1" applyAlignment="1">
      <alignment horizontal="center" vertical="center" wrapText="1"/>
    </xf>
    <xf numFmtId="3" fontId="23" fillId="0" borderId="44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24" fillId="0" borderId="47" xfId="0" applyNumberFormat="1" applyFont="1" applyFill="1" applyBorder="1" applyAlignment="1">
      <alignment horizontal="center" vertical="center" wrapText="1"/>
    </xf>
    <xf numFmtId="3" fontId="24" fillId="0" borderId="53" xfId="0" applyNumberFormat="1" applyFont="1" applyFill="1" applyBorder="1" applyAlignment="1">
      <alignment horizontal="center" vertical="center" wrapText="1"/>
    </xf>
    <xf numFmtId="3" fontId="24" fillId="0" borderId="36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24" fillId="0" borderId="35" xfId="0" applyNumberFormat="1" applyFont="1" applyFill="1" applyBorder="1" applyAlignment="1">
      <alignment horizontal="center" vertical="center" wrapText="1"/>
    </xf>
    <xf numFmtId="3" fontId="15" fillId="0" borderId="41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1" xfId="0" applyNumberFormat="1" applyFont="1" applyFill="1" applyBorder="1" applyAlignment="1" applyProtection="1">
      <alignment horizontal="left" vertical="center" wrapText="1" indent="2"/>
    </xf>
    <xf numFmtId="3" fontId="15" fillId="0" borderId="41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1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7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1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7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8" fillId="0" borderId="41" xfId="0" applyNumberFormat="1" applyFont="1" applyFill="1" applyBorder="1" applyAlignment="1" applyProtection="1">
      <alignment vertical="center" wrapText="1"/>
      <protection locked="0"/>
    </xf>
    <xf numFmtId="3" fontId="28" fillId="0" borderId="8" xfId="0" applyNumberFormat="1" applyFont="1" applyFill="1" applyBorder="1" applyAlignment="1" applyProtection="1">
      <alignment vertical="center" wrapText="1"/>
      <protection locked="0"/>
    </xf>
    <xf numFmtId="3" fontId="28" fillId="0" borderId="1" xfId="0" applyNumberFormat="1" applyFont="1" applyFill="1" applyBorder="1" applyAlignment="1" applyProtection="1">
      <alignment vertical="center" wrapText="1"/>
      <protection locked="0"/>
    </xf>
    <xf numFmtId="3" fontId="28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1" xfId="0" applyNumberFormat="1" applyFont="1" applyFill="1" applyBorder="1" applyAlignment="1" applyProtection="1">
      <alignment vertical="center" wrapText="1"/>
      <protection locked="0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1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9" fillId="0" borderId="0" xfId="0" applyNumberFormat="1" applyFont="1" applyFill="1" applyAlignment="1">
      <alignment vertical="center" wrapText="1"/>
    </xf>
    <xf numFmtId="3" fontId="15" fillId="0" borderId="50" xfId="0" applyNumberFormat="1" applyFont="1" applyFill="1" applyBorder="1" applyAlignment="1">
      <alignment horizontal="center" vertical="center" wrapText="1"/>
    </xf>
    <xf numFmtId="3" fontId="26" fillId="0" borderId="50" xfId="0" applyNumberFormat="1" applyFont="1" applyFill="1" applyBorder="1" applyAlignment="1" applyProtection="1">
      <alignment vertical="center" wrapText="1"/>
      <protection locked="0"/>
    </xf>
    <xf numFmtId="3" fontId="26" fillId="0" borderId="9" xfId="0" applyNumberFormat="1" applyFont="1" applyFill="1" applyBorder="1" applyAlignment="1" applyProtection="1">
      <alignment vertical="center" wrapText="1"/>
      <protection locked="0"/>
    </xf>
    <xf numFmtId="3" fontId="26" fillId="0" borderId="2" xfId="0" applyNumberFormat="1" applyFont="1" applyFill="1" applyBorder="1" applyAlignment="1" applyProtection="1">
      <alignment vertical="center" wrapText="1"/>
      <protection locked="0"/>
    </xf>
    <xf numFmtId="3" fontId="26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/>
    </xf>
    <xf numFmtId="3" fontId="32" fillId="0" borderId="0" xfId="0" applyNumberFormat="1" applyFont="1" applyBorder="1" applyAlignment="1">
      <alignment horizontal="center" vertical="center" wrapText="1"/>
    </xf>
    <xf numFmtId="0" fontId="32" fillId="0" borderId="0" xfId="0" applyFont="1"/>
    <xf numFmtId="49" fontId="32" fillId="0" borderId="0" xfId="0" applyNumberFormat="1" applyFont="1"/>
    <xf numFmtId="49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3" fontId="31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2" fillId="0" borderId="26" xfId="0" applyFont="1" applyBorder="1" applyAlignment="1">
      <alignment horizontal="left" wrapText="1"/>
    </xf>
    <xf numFmtId="3" fontId="32" fillId="0" borderId="1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right" vertical="center"/>
    </xf>
    <xf numFmtId="3" fontId="32" fillId="0" borderId="2" xfId="0" applyNumberFormat="1" applyFont="1" applyBorder="1"/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6" xfId="46" applyFont="1" applyBorder="1" applyAlignment="1">
      <alignment vertical="center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2" xfId="0" applyFont="1" applyBorder="1" applyAlignment="1">
      <alignment vertical="center"/>
    </xf>
    <xf numFmtId="3" fontId="5" fillId="0" borderId="73" xfId="0" applyNumberFormat="1" applyFont="1" applyBorder="1" applyAlignment="1">
      <alignment horizontal="right" vertical="center" wrapText="1"/>
    </xf>
    <xf numFmtId="3" fontId="5" fillId="0" borderId="85" xfId="0" applyNumberFormat="1" applyFont="1" applyBorder="1" applyAlignment="1">
      <alignment horizontal="right" vertical="center" wrapText="1"/>
    </xf>
    <xf numFmtId="0" fontId="5" fillId="0" borderId="74" xfId="0" applyFont="1" applyBorder="1" applyAlignment="1">
      <alignment vertical="center"/>
    </xf>
    <xf numFmtId="3" fontId="5" fillId="0" borderId="75" xfId="0" applyNumberFormat="1" applyFont="1" applyBorder="1" applyAlignment="1">
      <alignment horizontal="right" vertical="center" wrapText="1"/>
    </xf>
    <xf numFmtId="3" fontId="5" fillId="0" borderId="86" xfId="0" applyNumberFormat="1" applyFont="1" applyBorder="1" applyAlignment="1">
      <alignment horizontal="right" vertical="center" wrapText="1"/>
    </xf>
    <xf numFmtId="0" fontId="5" fillId="0" borderId="76" xfId="0" applyFont="1" applyBorder="1" applyAlignment="1">
      <alignment vertical="center"/>
    </xf>
    <xf numFmtId="3" fontId="5" fillId="0" borderId="77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17" fontId="5" fillId="0" borderId="76" xfId="0" applyNumberFormat="1" applyFont="1" applyFill="1" applyBorder="1" applyAlignment="1">
      <alignment vertical="center"/>
    </xf>
    <xf numFmtId="0" fontId="5" fillId="0" borderId="78" xfId="0" applyFont="1" applyFill="1" applyBorder="1" applyAlignment="1">
      <alignment vertical="center"/>
    </xf>
    <xf numFmtId="3" fontId="5" fillId="0" borderId="79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2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0" fontId="36" fillId="0" borderId="10" xfId="0" applyFont="1" applyBorder="1" applyAlignment="1">
      <alignment horizontal="right" vertical="center"/>
    </xf>
    <xf numFmtId="0" fontId="38" fillId="0" borderId="9" xfId="0" applyFont="1" applyBorder="1"/>
    <xf numFmtId="0" fontId="38" fillId="0" borderId="10" xfId="0" applyFont="1" applyBorder="1"/>
    <xf numFmtId="0" fontId="5" fillId="0" borderId="74" xfId="0" applyFont="1" applyFill="1" applyBorder="1" applyAlignment="1">
      <alignment vertical="center"/>
    </xf>
    <xf numFmtId="3" fontId="5" fillId="0" borderId="75" xfId="0" applyNumberFormat="1" applyFont="1" applyFill="1" applyBorder="1" applyAlignment="1">
      <alignment horizontal="right" vertical="center" wrapText="1"/>
    </xf>
    <xf numFmtId="3" fontId="5" fillId="0" borderId="86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5" fontId="3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3" fontId="33" fillId="0" borderId="1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 wrapText="1"/>
    </xf>
    <xf numFmtId="3" fontId="31" fillId="0" borderId="13" xfId="0" applyNumberFormat="1" applyFont="1" applyBorder="1" applyAlignment="1">
      <alignment vertical="center" wrapText="1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Border="1"/>
    <xf numFmtId="0" fontId="3" fillId="0" borderId="20" xfId="50" applyFont="1" applyBorder="1"/>
    <xf numFmtId="3" fontId="3" fillId="0" borderId="39" xfId="50" applyNumberFormat="1" applyFont="1" applyBorder="1"/>
    <xf numFmtId="3" fontId="3" fillId="0" borderId="21" xfId="50" applyNumberFormat="1" applyFont="1" applyBorder="1"/>
    <xf numFmtId="0" fontId="3" fillId="0" borderId="18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6" fillId="0" borderId="0" xfId="0" applyFont="1" applyFill="1"/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right" vertical="center"/>
    </xf>
    <xf numFmtId="0" fontId="4" fillId="0" borderId="48" xfId="1" applyFont="1" applyFill="1" applyBorder="1" applyAlignment="1">
      <alignment horizontal="right" vertical="center"/>
    </xf>
    <xf numFmtId="0" fontId="2" fillId="0" borderId="48" xfId="1" applyFont="1" applyFill="1" applyBorder="1" applyAlignment="1">
      <alignment horizontal="right" vertical="center"/>
    </xf>
    <xf numFmtId="0" fontId="2" fillId="0" borderId="48" xfId="1" applyFont="1" applyFill="1" applyBorder="1" applyAlignment="1">
      <alignment horizontal="right" vertical="center" wrapText="1"/>
    </xf>
    <xf numFmtId="0" fontId="2" fillId="0" borderId="52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2" fillId="0" borderId="25" xfId="0" applyFont="1" applyBorder="1" applyAlignment="1">
      <alignment horizontal="left" wrapText="1"/>
    </xf>
    <xf numFmtId="3" fontId="31" fillId="0" borderId="31" xfId="98" applyNumberFormat="1" applyFont="1" applyBorder="1"/>
    <xf numFmtId="3" fontId="31" fillId="0" borderId="5" xfId="98" applyNumberFormat="1" applyFont="1" applyBorder="1"/>
    <xf numFmtId="3" fontId="31" fillId="0" borderId="30" xfId="98" applyNumberFormat="1" applyFont="1" applyBorder="1"/>
    <xf numFmtId="3" fontId="31" fillId="0" borderId="36" xfId="98" applyNumberFormat="1" applyFont="1" applyBorder="1"/>
    <xf numFmtId="3" fontId="31" fillId="0" borderId="35" xfId="98" applyNumberFormat="1" applyFont="1" applyBorder="1"/>
    <xf numFmtId="3" fontId="31" fillId="0" borderId="1" xfId="98" applyNumberFormat="1" applyFont="1" applyBorder="1"/>
    <xf numFmtId="3" fontId="31" fillId="0" borderId="18" xfId="98" applyNumberFormat="1" applyFont="1" applyBorder="1"/>
    <xf numFmtId="3" fontId="31" fillId="0" borderId="19" xfId="98" applyNumberFormat="1" applyFont="1" applyBorder="1"/>
    <xf numFmtId="3" fontId="31" fillId="0" borderId="8" xfId="98" applyNumberFormat="1" applyFont="1" applyBorder="1"/>
    <xf numFmtId="3" fontId="31" fillId="0" borderId="3" xfId="98" applyNumberFormat="1" applyFont="1" applyBorder="1"/>
    <xf numFmtId="3" fontId="31" fillId="0" borderId="25" xfId="98" applyNumberFormat="1" applyFont="1" applyBorder="1"/>
    <xf numFmtId="3" fontId="32" fillId="0" borderId="0" xfId="98" applyNumberFormat="1" applyFont="1" applyBorder="1"/>
    <xf numFmtId="3" fontId="32" fillId="0" borderId="25" xfId="98" applyNumberFormat="1" applyFont="1" applyBorder="1"/>
    <xf numFmtId="3" fontId="32" fillId="0" borderId="26" xfId="98" applyNumberFormat="1" applyFont="1" applyBorder="1"/>
    <xf numFmtId="3" fontId="32" fillId="0" borderId="1" xfId="98" applyNumberFormat="1" applyFont="1" applyBorder="1"/>
    <xf numFmtId="3" fontId="32" fillId="0" borderId="18" xfId="98" applyNumberFormat="1" applyFont="1" applyBorder="1"/>
    <xf numFmtId="3" fontId="32" fillId="0" borderId="19" xfId="98" applyNumberFormat="1" applyFont="1" applyBorder="1"/>
    <xf numFmtId="3" fontId="32" fillId="0" borderId="8" xfId="98" applyNumberFormat="1" applyFont="1" applyBorder="1"/>
    <xf numFmtId="3" fontId="32" fillId="0" borderId="3" xfId="98" applyNumberFormat="1" applyFont="1" applyBorder="1"/>
    <xf numFmtId="3" fontId="31" fillId="0" borderId="20" xfId="98" applyNumberFormat="1" applyFont="1" applyBorder="1"/>
    <xf numFmtId="3" fontId="31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31" fillId="0" borderId="22" xfId="98" applyNumberFormat="1" applyFont="1" applyBorder="1"/>
    <xf numFmtId="3" fontId="31" fillId="0" borderId="39" xfId="98" applyNumberFormat="1" applyFont="1" applyBorder="1"/>
    <xf numFmtId="3" fontId="31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1" xfId="46" applyFont="1" applyBorder="1" applyAlignment="1">
      <alignment horizontal="center" vertical="center"/>
    </xf>
    <xf numFmtId="0" fontId="38" fillId="0" borderId="0" xfId="0" applyFont="1" applyBorder="1"/>
    <xf numFmtId="3" fontId="38" fillId="0" borderId="0" xfId="0" applyNumberFormat="1" applyFont="1" applyBorder="1"/>
    <xf numFmtId="0" fontId="36" fillId="0" borderId="59" xfId="0" applyFont="1" applyBorder="1" applyAlignment="1">
      <alignment horizontal="center" vertical="center"/>
    </xf>
    <xf numFmtId="0" fontId="36" fillId="0" borderId="49" xfId="0" applyFont="1" applyBorder="1" applyAlignment="1">
      <alignment vertical="center"/>
    </xf>
    <xf numFmtId="3" fontId="36" fillId="4" borderId="27" xfId="0" applyNumberFormat="1" applyFont="1" applyFill="1" applyBorder="1" applyAlignment="1">
      <alignment horizontal="center" vertical="center"/>
    </xf>
    <xf numFmtId="3" fontId="36" fillId="4" borderId="3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80" xfId="0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3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6" fillId="0" borderId="13" xfId="98" applyNumberFormat="1" applyFont="1" applyBorder="1" applyAlignment="1">
      <alignment horizontal="right" vertical="center"/>
    </xf>
    <xf numFmtId="3" fontId="36" fillId="0" borderId="14" xfId="98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vertical="center"/>
    </xf>
    <xf numFmtId="49" fontId="32" fillId="0" borderId="0" xfId="0" applyNumberFormat="1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3" fontId="32" fillId="0" borderId="0" xfId="0" applyNumberFormat="1" applyFont="1" applyBorder="1" applyAlignment="1">
      <alignment vertical="center" wrapText="1"/>
    </xf>
    <xf numFmtId="49" fontId="32" fillId="0" borderId="1" xfId="0" applyNumberFormat="1" applyFont="1" applyBorder="1"/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49" fontId="33" fillId="0" borderId="2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3" fontId="7" fillId="0" borderId="75" xfId="0" applyNumberFormat="1" applyFont="1" applyBorder="1" applyAlignment="1">
      <alignment horizontal="right" vertical="center" wrapText="1"/>
    </xf>
    <xf numFmtId="3" fontId="7" fillId="0" borderId="86" xfId="0" applyNumberFormat="1" applyFont="1" applyBorder="1" applyAlignment="1">
      <alignment horizontal="right" vertical="center" wrapText="1"/>
    </xf>
    <xf numFmtId="0" fontId="5" fillId="0" borderId="37" xfId="50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3" fontId="36" fillId="4" borderId="40" xfId="98" applyNumberFormat="1" applyFont="1" applyFill="1" applyBorder="1" applyAlignment="1">
      <alignment horizontal="center" vertical="center" wrapText="1"/>
    </xf>
    <xf numFmtId="3" fontId="36" fillId="4" borderId="41" xfId="98" applyNumberFormat="1" applyFont="1" applyFill="1" applyBorder="1" applyAlignment="1">
      <alignment horizontal="center" vertical="center" wrapText="1"/>
    </xf>
    <xf numFmtId="3" fontId="36" fillId="4" borderId="50" xfId="98" applyNumberFormat="1" applyFont="1" applyFill="1" applyBorder="1" applyAlignment="1">
      <alignment horizontal="center" vertical="center" wrapText="1"/>
    </xf>
    <xf numFmtId="3" fontId="38" fillId="0" borderId="41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39" fillId="0" borderId="41" xfId="0" applyNumberFormat="1" applyFont="1" applyBorder="1" applyAlignment="1">
      <alignment horizontal="center"/>
    </xf>
    <xf numFmtId="3" fontId="36" fillId="0" borderId="34" xfId="0" applyNumberFormat="1" applyFont="1" applyBorder="1" applyAlignment="1">
      <alignment horizontal="center" vertical="center"/>
    </xf>
    <xf numFmtId="3" fontId="36" fillId="4" borderId="34" xfId="98" applyNumberFormat="1" applyFont="1" applyFill="1" applyBorder="1" applyAlignment="1">
      <alignment horizontal="center" vertical="center" wrapText="1"/>
    </xf>
    <xf numFmtId="3" fontId="38" fillId="0" borderId="47" xfId="0" applyNumberFormat="1" applyFont="1" applyBorder="1" applyAlignment="1">
      <alignment horizontal="center"/>
    </xf>
    <xf numFmtId="3" fontId="38" fillId="0" borderId="41" xfId="0" applyNumberFormat="1" applyFont="1" applyBorder="1" applyAlignment="1">
      <alignment horizontal="center" wrapText="1"/>
    </xf>
    <xf numFmtId="3" fontId="5" fillId="0" borderId="1" xfId="98" applyNumberFormat="1" applyFont="1" applyFill="1" applyBorder="1" applyAlignment="1">
      <alignment horizontal="center" vertical="center"/>
    </xf>
    <xf numFmtId="3" fontId="5" fillId="0" borderId="1" xfId="98" quotePrefix="1" applyNumberFormat="1" applyFont="1" applyFill="1" applyBorder="1" applyAlignment="1">
      <alignment horizontal="center" vertical="center"/>
    </xf>
    <xf numFmtId="3" fontId="3" fillId="0" borderId="1" xfId="98" applyNumberFormat="1" applyFont="1" applyFill="1" applyBorder="1" applyAlignment="1">
      <alignment horizontal="center" vertical="center"/>
    </xf>
    <xf numFmtId="3" fontId="7" fillId="0" borderId="1" xfId="98" applyNumberFormat="1" applyFont="1" applyFill="1" applyBorder="1" applyAlignment="1">
      <alignment horizontal="center" vertical="center"/>
    </xf>
    <xf numFmtId="3" fontId="5" fillId="0" borderId="1" xfId="98" applyNumberFormat="1" applyFont="1" applyFill="1" applyBorder="1" applyAlignment="1">
      <alignment horizontal="center"/>
    </xf>
    <xf numFmtId="0" fontId="68" fillId="0" borderId="0" xfId="42" applyFont="1" applyAlignment="1">
      <alignment vertical="center"/>
    </xf>
    <xf numFmtId="0" fontId="5" fillId="0" borderId="18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1" xfId="42" applyFont="1" applyBorder="1" applyAlignment="1">
      <alignment vertical="center"/>
    </xf>
    <xf numFmtId="0" fontId="5" fillId="0" borderId="19" xfId="42" applyFont="1" applyBorder="1" applyAlignment="1">
      <alignment vertical="center"/>
    </xf>
    <xf numFmtId="0" fontId="3" fillId="0" borderId="18" xfId="42" applyFont="1" applyBorder="1" applyAlignment="1">
      <alignment horizontal="center" vertical="center" wrapText="1"/>
    </xf>
    <xf numFmtId="0" fontId="3" fillId="0" borderId="8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3" fillId="0" borderId="19" xfId="42" applyFont="1" applyBorder="1" applyAlignment="1">
      <alignment horizontal="center" vertical="center" wrapText="1"/>
    </xf>
    <xf numFmtId="0" fontId="68" fillId="0" borderId="0" xfId="42" applyFont="1" applyAlignment="1">
      <alignment vertical="center" wrapText="1"/>
    </xf>
    <xf numFmtId="0" fontId="5" fillId="0" borderId="23" xfId="42" applyFont="1" applyBorder="1" applyAlignment="1">
      <alignment vertical="center"/>
    </xf>
    <xf numFmtId="3" fontId="5" fillId="0" borderId="9" xfId="42" applyNumberFormat="1" applyFont="1" applyBorder="1" applyAlignment="1">
      <alignment vertical="center"/>
    </xf>
    <xf numFmtId="3" fontId="5" fillId="0" borderId="2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8" xfId="50" applyNumberFormat="1" applyFont="1" applyBorder="1" applyAlignment="1">
      <alignment vertical="center"/>
    </xf>
    <xf numFmtId="3" fontId="5" fillId="0" borderId="24" xfId="42" applyNumberFormat="1" applyFont="1" applyBorder="1" applyAlignment="1">
      <alignment vertical="center"/>
    </xf>
    <xf numFmtId="0" fontId="3" fillId="0" borderId="20" xfId="42" applyFont="1" applyBorder="1" applyAlignment="1">
      <alignment vertical="center"/>
    </xf>
    <xf numFmtId="3" fontId="3" fillId="0" borderId="39" xfId="42" applyNumberFormat="1" applyFont="1" applyBorder="1" applyAlignment="1">
      <alignment vertical="center"/>
    </xf>
    <xf numFmtId="0" fontId="3" fillId="0" borderId="0" xfId="42" applyFont="1" applyBorder="1" applyAlignment="1">
      <alignment vertical="center"/>
    </xf>
    <xf numFmtId="3" fontId="3" fillId="0" borderId="0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3" fontId="5" fillId="0" borderId="0" xfId="42" applyNumberFormat="1" applyFont="1" applyAlignment="1">
      <alignment vertical="center"/>
    </xf>
    <xf numFmtId="3" fontId="5" fillId="0" borderId="8" xfId="42" applyNumberFormat="1" applyFont="1" applyBorder="1" applyAlignment="1">
      <alignment vertical="center"/>
    </xf>
    <xf numFmtId="3" fontId="5" fillId="0" borderId="1" xfId="42" applyNumberFormat="1" applyFont="1" applyBorder="1" applyAlignment="1">
      <alignment vertical="center"/>
    </xf>
    <xf numFmtId="0" fontId="5" fillId="0" borderId="0" xfId="42" applyFont="1" applyBorder="1" applyAlignment="1">
      <alignment vertical="center"/>
    </xf>
    <xf numFmtId="3" fontId="5" fillId="0" borderId="0" xfId="42" applyNumberFormat="1" applyFont="1" applyBorder="1" applyAlignment="1">
      <alignment vertical="center"/>
    </xf>
    <xf numFmtId="0" fontId="3" fillId="0" borderId="45" xfId="42" applyFont="1" applyBorder="1" applyAlignment="1">
      <alignment horizontal="center" vertical="center"/>
    </xf>
    <xf numFmtId="0" fontId="3" fillId="0" borderId="6" xfId="42" applyFont="1" applyBorder="1" applyAlignment="1">
      <alignment horizontal="center" vertical="center"/>
    </xf>
    <xf numFmtId="0" fontId="3" fillId="0" borderId="53" xfId="42" applyFont="1" applyBorder="1" applyAlignment="1">
      <alignment horizontal="center" vertical="center"/>
    </xf>
    <xf numFmtId="3" fontId="5" fillId="0" borderId="8" xfId="42" applyNumberFormat="1" applyFont="1" applyBorder="1" applyAlignment="1">
      <alignment horizontal="right" vertical="center"/>
    </xf>
    <xf numFmtId="3" fontId="5" fillId="0" borderId="1" xfId="42" applyNumberFormat="1" applyFont="1" applyBorder="1" applyAlignment="1">
      <alignment horizontal="right" vertical="center"/>
    </xf>
    <xf numFmtId="3" fontId="3" fillId="0" borderId="39" xfId="42" applyNumberFormat="1" applyFont="1" applyBorder="1" applyAlignment="1">
      <alignment horizontal="right" vertical="center"/>
    </xf>
    <xf numFmtId="0" fontId="5" fillId="0" borderId="18" xfId="42" applyFont="1" applyBorder="1" applyAlignment="1">
      <alignment horizontal="left" vertical="center"/>
    </xf>
    <xf numFmtId="0" fontId="68" fillId="0" borderId="37" xfId="42" applyFont="1" applyBorder="1" applyAlignment="1">
      <alignment horizontal="right" vertical="center"/>
    </xf>
    <xf numFmtId="3" fontId="3" fillId="0" borderId="54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horizontal="right" vertical="center"/>
    </xf>
    <xf numFmtId="3" fontId="3" fillId="0" borderId="54" xfId="42" applyNumberFormat="1" applyFont="1" applyBorder="1" applyAlignment="1">
      <alignment horizontal="right" vertical="center"/>
    </xf>
    <xf numFmtId="0" fontId="21" fillId="0" borderId="37" xfId="50" applyFont="1" applyBorder="1" applyAlignment="1">
      <alignment vertical="center" wrapText="1"/>
    </xf>
    <xf numFmtId="0" fontId="5" fillId="0" borderId="0" xfId="50" applyFont="1" applyAlignment="1">
      <alignment vertical="center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3" fontId="5" fillId="0" borderId="1" xfId="50" applyNumberFormat="1" applyFont="1" applyFill="1" applyBorder="1" applyAlignment="1">
      <alignment vertical="center"/>
    </xf>
    <xf numFmtId="3" fontId="5" fillId="0" borderId="1" xfId="50" applyNumberFormat="1" applyFont="1" applyBorder="1" applyAlignment="1">
      <alignment vertical="center"/>
    </xf>
    <xf numFmtId="0" fontId="5" fillId="0" borderId="8" xfId="50" applyFont="1" applyBorder="1" applyAlignment="1">
      <alignment vertical="center"/>
    </xf>
    <xf numFmtId="0" fontId="3" fillId="0" borderId="20" xfId="50" applyFont="1" applyBorder="1" applyAlignment="1">
      <alignment vertical="center"/>
    </xf>
    <xf numFmtId="3" fontId="3" fillId="0" borderId="39" xfId="50" applyNumberFormat="1" applyFont="1" applyBorder="1" applyAlignment="1">
      <alignment vertical="center"/>
    </xf>
    <xf numFmtId="3" fontId="3" fillId="0" borderId="21" xfId="50" applyNumberFormat="1" applyFont="1" applyBorder="1" applyAlignment="1">
      <alignment vertical="center"/>
    </xf>
    <xf numFmtId="0" fontId="5" fillId="0" borderId="23" xfId="50" applyFont="1" applyBorder="1" applyAlignment="1">
      <alignment vertical="center"/>
    </xf>
    <xf numFmtId="0" fontId="5" fillId="0" borderId="2" xfId="50" applyFont="1" applyBorder="1" applyAlignment="1">
      <alignment vertical="center"/>
    </xf>
    <xf numFmtId="0" fontId="3" fillId="0" borderId="17" xfId="50" applyFont="1" applyBorder="1" applyAlignment="1">
      <alignment horizontal="center" vertical="center" wrapText="1"/>
    </xf>
    <xf numFmtId="3" fontId="5" fillId="0" borderId="19" xfId="50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vertical="center"/>
    </xf>
    <xf numFmtId="3" fontId="5" fillId="0" borderId="19" xfId="50" applyNumberFormat="1" applyFont="1" applyBorder="1" applyAlignment="1">
      <alignment vertical="center"/>
    </xf>
    <xf numFmtId="3" fontId="3" fillId="0" borderId="22" xfId="50" applyNumberFormat="1" applyFont="1" applyBorder="1" applyAlignment="1">
      <alignment vertical="center"/>
    </xf>
    <xf numFmtId="0" fontId="5" fillId="0" borderId="15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3" fontId="5" fillId="0" borderId="24" xfId="50" applyNumberFormat="1" applyFont="1" applyBorder="1" applyAlignment="1">
      <alignment vertical="center"/>
    </xf>
    <xf numFmtId="3" fontId="5" fillId="0" borderId="62" xfId="50" applyNumberFormat="1" applyFont="1" applyBorder="1" applyAlignment="1">
      <alignment vertical="center"/>
    </xf>
    <xf numFmtId="3" fontId="5" fillId="0" borderId="9" xfId="50" applyNumberFormat="1" applyFont="1" applyBorder="1" applyAlignment="1">
      <alignment vertical="center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31" fillId="0" borderId="0" xfId="98" applyNumberFormat="1" applyFont="1" applyBorder="1"/>
    <xf numFmtId="3" fontId="32" fillId="0" borderId="1" xfId="0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67" fontId="31" fillId="0" borderId="2" xfId="98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7" fontId="31" fillId="0" borderId="1" xfId="98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43" applyFont="1"/>
    <xf numFmtId="0" fontId="5" fillId="0" borderId="0" xfId="43" applyFont="1" applyFill="1"/>
    <xf numFmtId="0" fontId="71" fillId="0" borderId="0" xfId="43" applyFont="1"/>
    <xf numFmtId="0" fontId="5" fillId="0" borderId="18" xfId="43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0" fontId="32" fillId="21" borderId="1" xfId="0" applyFont="1" applyFill="1" applyBorder="1" applyAlignment="1" applyProtection="1"/>
    <xf numFmtId="3" fontId="5" fillId="0" borderId="1" xfId="43" applyNumberFormat="1" applyFont="1" applyBorder="1" applyAlignment="1">
      <alignment horizontal="right"/>
    </xf>
    <xf numFmtId="49" fontId="5" fillId="0" borderId="1" xfId="43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0" xfId="43" applyFont="1"/>
    <xf numFmtId="0" fontId="5" fillId="0" borderId="0" xfId="43" applyFont="1" applyAlignment="1">
      <alignment horizontal="center" vertical="center"/>
    </xf>
    <xf numFmtId="0" fontId="71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1" borderId="1" xfId="43" applyNumberFormat="1" applyFont="1" applyFill="1" applyBorder="1"/>
    <xf numFmtId="3" fontId="3" fillId="32" borderId="19" xfId="43" applyNumberFormat="1" applyFont="1" applyFill="1" applyBorder="1"/>
    <xf numFmtId="3" fontId="74" fillId="33" borderId="0" xfId="0" applyNumberFormat="1" applyFont="1" applyFill="1" applyBorder="1" applyAlignment="1" applyProtection="1">
      <alignment horizontal="right" vertical="center" wrapText="1" shrinkToFit="1"/>
    </xf>
    <xf numFmtId="0" fontId="3" fillId="0" borderId="1" xfId="43" applyFont="1" applyBorder="1"/>
    <xf numFmtId="3" fontId="3" fillId="0" borderId="1" xfId="43" applyNumberFormat="1" applyFont="1" applyBorder="1"/>
    <xf numFmtId="3" fontId="3" fillId="0" borderId="1" xfId="43" applyNumberFormat="1" applyFont="1" applyFill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5" fillId="0" borderId="20" xfId="43" applyFont="1" applyBorder="1"/>
    <xf numFmtId="3" fontId="3" fillId="34" borderId="21" xfId="43" applyNumberFormat="1" applyFont="1" applyFill="1" applyBorder="1"/>
    <xf numFmtId="1" fontId="36" fillId="0" borderId="1" xfId="0" applyNumberFormat="1" applyFont="1" applyBorder="1"/>
    <xf numFmtId="0" fontId="38" fillId="0" borderId="3" xfId="0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39" fillId="0" borderId="4" xfId="0" applyFont="1" applyBorder="1" applyAlignment="1">
      <alignment horizontal="left" vertical="center" wrapText="1"/>
    </xf>
    <xf numFmtId="3" fontId="36" fillId="0" borderId="13" xfId="98" applyNumberFormat="1" applyFont="1" applyFill="1" applyBorder="1" applyAlignment="1">
      <alignment horizontal="right" vertical="center"/>
    </xf>
    <xf numFmtId="0" fontId="36" fillId="0" borderId="4" xfId="0" applyFont="1" applyBorder="1"/>
    <xf numFmtId="0" fontId="36" fillId="0" borderId="3" xfId="0" applyFont="1" applyBorder="1"/>
    <xf numFmtId="0" fontId="36" fillId="0" borderId="8" xfId="0" applyFont="1" applyBorder="1"/>
    <xf numFmtId="0" fontId="3" fillId="0" borderId="1" xfId="1" applyFont="1" applyBorder="1" applyAlignment="1">
      <alignment horizontal="center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/>
    </xf>
    <xf numFmtId="3" fontId="3" fillId="34" borderId="22" xfId="43" applyNumberFormat="1" applyFont="1" applyFill="1" applyBorder="1"/>
    <xf numFmtId="0" fontId="71" fillId="0" borderId="1" xfId="43" applyFont="1" applyBorder="1" applyAlignment="1">
      <alignment horizontal="center" vertical="center" wrapText="1"/>
    </xf>
    <xf numFmtId="0" fontId="39" fillId="0" borderId="1" xfId="0" applyFont="1" applyBorder="1"/>
    <xf numFmtId="3" fontId="5" fillId="0" borderId="85" xfId="0" applyNumberFormat="1" applyFont="1" applyBorder="1" applyAlignment="1">
      <alignment horizontal="center" vertical="center" wrapText="1"/>
    </xf>
    <xf numFmtId="3" fontId="5" fillId="0" borderId="95" xfId="0" applyNumberFormat="1" applyFont="1" applyBorder="1" applyAlignment="1">
      <alignment horizontal="right" vertical="center" wrapText="1"/>
    </xf>
    <xf numFmtId="3" fontId="5" fillId="0" borderId="95" xfId="0" applyNumberFormat="1" applyFont="1" applyBorder="1" applyAlignment="1">
      <alignment horizontal="center" vertical="center" wrapText="1"/>
    </xf>
    <xf numFmtId="0" fontId="31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0" fontId="3" fillId="34" borderId="21" xfId="43" applyFont="1" applyFill="1" applyBorder="1"/>
    <xf numFmtId="3" fontId="31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/>
    </xf>
    <xf numFmtId="0" fontId="36" fillId="0" borderId="50" xfId="0" applyFont="1" applyBorder="1" applyAlignment="1">
      <alignment vertical="center"/>
    </xf>
    <xf numFmtId="3" fontId="36" fillId="0" borderId="5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167" fontId="31" fillId="0" borderId="1" xfId="98" applyNumberFormat="1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167" fontId="31" fillId="0" borderId="1" xfId="98" applyNumberFormat="1" applyFont="1" applyFill="1" applyBorder="1" applyAlignment="1">
      <alignment horizontal="right" vertical="center"/>
    </xf>
    <xf numFmtId="167" fontId="31" fillId="0" borderId="1" xfId="0" applyNumberFormat="1" applyFont="1" applyBorder="1" applyAlignment="1">
      <alignment vertical="center"/>
    </xf>
    <xf numFmtId="167" fontId="31" fillId="0" borderId="2" xfId="98" applyNumberFormat="1" applyFon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167" fontId="31" fillId="0" borderId="1" xfId="98" applyNumberFormat="1" applyFont="1" applyBorder="1" applyAlignment="1">
      <alignment vertical="center"/>
    </xf>
    <xf numFmtId="0" fontId="32" fillId="0" borderId="6" xfId="0" applyFont="1" applyBorder="1" applyAlignment="1">
      <alignment horizontal="left" vertical="center"/>
    </xf>
    <xf numFmtId="167" fontId="32" fillId="0" borderId="6" xfId="98" applyNumberFormat="1" applyFont="1" applyBorder="1" applyAlignment="1">
      <alignment vertical="center"/>
    </xf>
    <xf numFmtId="0" fontId="32" fillId="0" borderId="36" xfId="0" applyFont="1" applyBorder="1" applyAlignment="1">
      <alignment vertical="center"/>
    </xf>
    <xf numFmtId="167" fontId="32" fillId="0" borderId="5" xfId="98" applyNumberFormat="1" applyFont="1" applyBorder="1" applyAlignment="1">
      <alignment vertical="center"/>
    </xf>
    <xf numFmtId="167" fontId="32" fillId="0" borderId="1" xfId="0" applyNumberFormat="1" applyFont="1" applyBorder="1" applyAlignment="1">
      <alignment vertical="center"/>
    </xf>
    <xf numFmtId="167" fontId="32" fillId="0" borderId="1" xfId="98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7" fontId="31" fillId="0" borderId="2" xfId="98" applyNumberFormat="1" applyFont="1" applyBorder="1" applyAlignment="1">
      <alignment vertical="center"/>
    </xf>
    <xf numFmtId="167" fontId="32" fillId="0" borderId="4" xfId="98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7" fontId="32" fillId="0" borderId="11" xfId="98" applyNumberFormat="1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167" fontId="31" fillId="0" borderId="13" xfId="98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/>
    </xf>
    <xf numFmtId="0" fontId="17" fillId="0" borderId="19" xfId="0" applyFont="1" applyFill="1" applyBorder="1" applyAlignment="1">
      <alignment horizontal="right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right"/>
    </xf>
    <xf numFmtId="3" fontId="15" fillId="0" borderId="48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 applyProtection="1">
      <alignment vertical="center" wrapText="1"/>
      <protection locked="0"/>
    </xf>
    <xf numFmtId="3" fontId="15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8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2" fillId="0" borderId="0" xfId="0" applyNumberFormat="1" applyFont="1" applyFill="1" applyBorder="1" applyAlignment="1">
      <alignment vertical="center" wrapText="1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0" fontId="74" fillId="0" borderId="0" xfId="43" applyFont="1"/>
    <xf numFmtId="0" fontId="74" fillId="0" borderId="1" xfId="43" applyFont="1" applyBorder="1" applyAlignment="1">
      <alignment horizontal="center" vertical="center" wrapText="1"/>
    </xf>
    <xf numFmtId="0" fontId="32" fillId="21" borderId="1" xfId="0" applyFont="1" applyFill="1" applyBorder="1" applyAlignment="1" applyProtection="1">
      <alignment shrinkToFit="1"/>
    </xf>
    <xf numFmtId="0" fontId="4" fillId="0" borderId="18" xfId="42" applyFont="1" applyBorder="1"/>
    <xf numFmtId="3" fontId="4" fillId="0" borderId="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0" fontId="5" fillId="0" borderId="80" xfId="50" applyFont="1" applyBorder="1" applyAlignment="1">
      <alignment vertical="center"/>
    </xf>
    <xf numFmtId="3" fontId="5" fillId="0" borderId="61" xfId="50" applyNumberFormat="1" applyFont="1" applyBorder="1" applyAlignment="1">
      <alignment vertical="center"/>
    </xf>
    <xf numFmtId="3" fontId="5" fillId="0" borderId="97" xfId="50" applyNumberFormat="1" applyFont="1" applyBorder="1" applyAlignment="1">
      <alignment vertical="center"/>
    </xf>
    <xf numFmtId="3" fontId="5" fillId="0" borderId="16" xfId="50" applyNumberFormat="1" applyFont="1" applyBorder="1" applyAlignment="1">
      <alignment vertical="center"/>
    </xf>
    <xf numFmtId="3" fontId="5" fillId="0" borderId="7" xfId="5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2" fillId="0" borderId="2" xfId="0" applyNumberFormat="1" applyFont="1" applyFill="1" applyBorder="1" applyAlignment="1">
      <alignment horizontal="center" vertical="center" wrapText="1"/>
    </xf>
    <xf numFmtId="165" fontId="32" fillId="0" borderId="5" xfId="0" applyNumberFormat="1" applyFont="1" applyFill="1" applyBorder="1" applyAlignment="1">
      <alignment horizontal="center" vertical="center" wrapText="1"/>
    </xf>
    <xf numFmtId="165" fontId="31" fillId="0" borderId="13" xfId="0" applyNumberFormat="1" applyFont="1" applyFill="1" applyBorder="1" applyAlignment="1">
      <alignment horizontal="center" vertical="center" wrapText="1"/>
    </xf>
    <xf numFmtId="0" fontId="71" fillId="0" borderId="1" xfId="43" applyFont="1" applyBorder="1" applyAlignment="1">
      <alignment horizontal="center" vertical="center" wrapText="1"/>
    </xf>
    <xf numFmtId="0" fontId="38" fillId="33" borderId="1" xfId="0" applyFont="1" applyFill="1" applyBorder="1" applyAlignment="1">
      <alignment horizontal="right" vertical="center"/>
    </xf>
    <xf numFmtId="0" fontId="38" fillId="33" borderId="1" xfId="0" applyFont="1" applyFill="1" applyBorder="1"/>
    <xf numFmtId="167" fontId="3" fillId="32" borderId="1" xfId="98" applyNumberFormat="1" applyFont="1" applyFill="1" applyBorder="1" applyAlignment="1">
      <alignment horizontal="right"/>
    </xf>
    <xf numFmtId="167" fontId="5" fillId="0" borderId="1" xfId="98" applyNumberFormat="1" applyFont="1" applyFill="1" applyBorder="1" applyAlignment="1">
      <alignment horizontal="right"/>
    </xf>
    <xf numFmtId="167" fontId="3" fillId="32" borderId="19" xfId="98" applyNumberFormat="1" applyFont="1" applyFill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167" fontId="3" fillId="32" borderId="21" xfId="98" applyNumberFormat="1" applyFont="1" applyFill="1" applyBorder="1" applyAlignment="1">
      <alignment horizontal="right"/>
    </xf>
    <xf numFmtId="167" fontId="3" fillId="0" borderId="21" xfId="98" applyNumberFormat="1" applyFont="1" applyFill="1" applyBorder="1" applyAlignment="1">
      <alignment horizontal="right"/>
    </xf>
    <xf numFmtId="167" fontId="3" fillId="32" borderId="22" xfId="98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7" fontId="5" fillId="0" borderId="0" xfId="43" applyNumberFormat="1" applyFont="1"/>
    <xf numFmtId="0" fontId="71" fillId="0" borderId="1" xfId="43" applyFont="1" applyBorder="1" applyAlignment="1">
      <alignment horizontal="center" vertical="center" wrapText="1"/>
    </xf>
    <xf numFmtId="0" fontId="69" fillId="0" borderId="16" xfId="43" applyFont="1" applyBorder="1" applyAlignment="1">
      <alignment horizontal="center" vertical="center"/>
    </xf>
    <xf numFmtId="3" fontId="32" fillId="0" borderId="36" xfId="0" applyNumberFormat="1" applyFont="1" applyBorder="1"/>
    <xf numFmtId="0" fontId="5" fillId="0" borderId="3" xfId="1" applyFont="1" applyFill="1" applyBorder="1" applyAlignment="1">
      <alignment horizontal="left" vertical="center" wrapText="1"/>
    </xf>
    <xf numFmtId="0" fontId="38" fillId="0" borderId="50" xfId="0" applyFont="1" applyBorder="1"/>
    <xf numFmtId="3" fontId="38" fillId="0" borderId="50" xfId="0" applyNumberFormat="1" applyFont="1" applyBorder="1" applyAlignment="1">
      <alignment horizontal="center"/>
    </xf>
    <xf numFmtId="3" fontId="38" fillId="0" borderId="49" xfId="0" applyNumberFormat="1" applyFont="1" applyBorder="1" applyAlignment="1">
      <alignment horizontal="center"/>
    </xf>
    <xf numFmtId="0" fontId="5" fillId="0" borderId="50" xfId="0" applyFont="1" applyFill="1" applyBorder="1" applyAlignment="1">
      <alignment vertical="center"/>
    </xf>
    <xf numFmtId="3" fontId="38" fillId="0" borderId="48" xfId="0" applyNumberFormat="1" applyFont="1" applyBorder="1" applyAlignment="1">
      <alignment horizontal="center"/>
    </xf>
    <xf numFmtId="3" fontId="5" fillId="0" borderId="48" xfId="0" applyNumberFormat="1" applyFont="1" applyBorder="1" applyAlignment="1">
      <alignment horizontal="center"/>
    </xf>
    <xf numFmtId="3" fontId="36" fillId="4" borderId="48" xfId="0" applyNumberFormat="1" applyFont="1" applyFill="1" applyBorder="1" applyAlignment="1">
      <alignment horizontal="center" vertical="center" wrapText="1"/>
    </xf>
    <xf numFmtId="3" fontId="39" fillId="0" borderId="48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" vertical="center"/>
    </xf>
    <xf numFmtId="0" fontId="38" fillId="0" borderId="40" xfId="0" applyFont="1" applyBorder="1"/>
    <xf numFmtId="0" fontId="39" fillId="0" borderId="50" xfId="0" applyFont="1" applyBorder="1"/>
    <xf numFmtId="0" fontId="38" fillId="4" borderId="41" xfId="0" applyFont="1" applyFill="1" applyBorder="1"/>
    <xf numFmtId="3" fontId="5" fillId="0" borderId="50" xfId="0" applyNumberFormat="1" applyFont="1" applyFill="1" applyBorder="1" applyAlignment="1">
      <alignment horizontal="center" vertical="center"/>
    </xf>
    <xf numFmtId="9" fontId="36" fillId="0" borderId="27" xfId="0" applyNumberFormat="1" applyFont="1" applyBorder="1" applyAlignment="1">
      <alignment horizontal="center" vertical="center" wrapText="1"/>
    </xf>
    <xf numFmtId="3" fontId="36" fillId="4" borderId="59" xfId="98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left" vertical="center"/>
    </xf>
    <xf numFmtId="0" fontId="5" fillId="0" borderId="41" xfId="0" applyFont="1" applyFill="1" applyBorder="1" applyAlignment="1">
      <alignment vertical="center"/>
    </xf>
    <xf numFmtId="3" fontId="38" fillId="4" borderId="41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 vertical="center"/>
    </xf>
    <xf numFmtId="0" fontId="5" fillId="0" borderId="37" xfId="43" applyFont="1" applyBorder="1"/>
    <xf numFmtId="0" fontId="71" fillId="0" borderId="1" xfId="43" applyFont="1" applyBorder="1"/>
    <xf numFmtId="49" fontId="5" fillId="0" borderId="23" xfId="43" applyNumberFormat="1" applyFont="1" applyBorder="1" applyAlignment="1">
      <alignment horizontal="center"/>
    </xf>
    <xf numFmtId="0" fontId="5" fillId="0" borderId="2" xfId="43" applyFont="1" applyBorder="1" applyAlignment="1">
      <alignment horizontal="left"/>
    </xf>
    <xf numFmtId="0" fontId="5" fillId="0" borderId="2" xfId="43" applyFont="1" applyBorder="1"/>
    <xf numFmtId="3" fontId="5" fillId="0" borderId="2" xfId="43" applyNumberFormat="1" applyFont="1" applyBorder="1" applyAlignment="1">
      <alignment horizontal="right"/>
    </xf>
    <xf numFmtId="3" fontId="5" fillId="31" borderId="2" xfId="43" applyNumberFormat="1" applyFont="1" applyFill="1" applyBorder="1" applyAlignment="1">
      <alignment horizontal="right"/>
    </xf>
    <xf numFmtId="3" fontId="5" fillId="0" borderId="10" xfId="43" applyNumberFormat="1" applyFont="1" applyBorder="1" applyAlignment="1">
      <alignment horizontal="right"/>
    </xf>
    <xf numFmtId="0" fontId="5" fillId="0" borderId="0" xfId="43" applyFont="1" applyBorder="1"/>
    <xf numFmtId="3" fontId="5" fillId="0" borderId="0" xfId="43" applyNumberFormat="1" applyFont="1" applyBorder="1"/>
    <xf numFmtId="0" fontId="21" fillId="0" borderId="0" xfId="43" applyFont="1" applyAlignment="1">
      <alignment horizontal="center"/>
    </xf>
    <xf numFmtId="3" fontId="5" fillId="31" borderId="1" xfId="43" applyNumberFormat="1" applyFont="1" applyFill="1" applyBorder="1" applyAlignment="1">
      <alignment horizontal="right"/>
    </xf>
    <xf numFmtId="49" fontId="5" fillId="0" borderId="20" xfId="43" applyNumberFormat="1" applyFont="1" applyBorder="1" applyAlignment="1">
      <alignment horizontal="center"/>
    </xf>
    <xf numFmtId="3" fontId="3" fillId="0" borderId="22" xfId="43" applyNumberFormat="1" applyFont="1" applyBorder="1"/>
    <xf numFmtId="0" fontId="3" fillId="0" borderId="3" xfId="0" applyFont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right" vertical="center"/>
    </xf>
    <xf numFmtId="3" fontId="3" fillId="0" borderId="91" xfId="0" applyNumberFormat="1" applyFont="1" applyFill="1" applyBorder="1" applyAlignment="1">
      <alignment horizontal="right" vertical="center"/>
    </xf>
    <xf numFmtId="3" fontId="8" fillId="0" borderId="91" xfId="0" applyNumberFormat="1" applyFont="1" applyFill="1" applyBorder="1" applyAlignment="1">
      <alignment horizontal="right" vertical="center"/>
    </xf>
    <xf numFmtId="3" fontId="3" fillId="0" borderId="84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horizontal="right" vertical="center" wrapText="1"/>
    </xf>
    <xf numFmtId="3" fontId="3" fillId="0" borderId="98" xfId="0" applyNumberFormat="1" applyFont="1" applyFill="1" applyBorder="1" applyAlignment="1">
      <alignment horizontal="right" vertical="center"/>
    </xf>
    <xf numFmtId="3" fontId="3" fillId="0" borderId="99" xfId="0" applyNumberFormat="1" applyFont="1" applyFill="1" applyBorder="1" applyAlignment="1">
      <alignment horizontal="right" vertical="center"/>
    </xf>
    <xf numFmtId="3" fontId="3" fillId="0" borderId="96" xfId="0" applyNumberFormat="1" applyFont="1" applyFill="1" applyBorder="1" applyAlignment="1">
      <alignment horizontal="right" vertical="center"/>
    </xf>
    <xf numFmtId="3" fontId="3" fillId="0" borderId="10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0" xfId="46" applyFont="1" applyFill="1" applyAlignment="1">
      <alignment vertical="center"/>
    </xf>
    <xf numFmtId="0" fontId="3" fillId="0" borderId="40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8" fillId="0" borderId="99" xfId="0" applyNumberFormat="1" applyFont="1" applyFill="1" applyBorder="1" applyAlignment="1">
      <alignment horizontal="right" vertical="center"/>
    </xf>
    <xf numFmtId="3" fontId="3" fillId="0" borderId="9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5" fillId="0" borderId="7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65" fontId="0" fillId="0" borderId="80" xfId="0" applyNumberFormat="1" applyFont="1" applyFill="1" applyBorder="1" applyAlignment="1" applyProtection="1">
      <alignment horizontal="center" vertical="center" wrapText="1"/>
    </xf>
    <xf numFmtId="165" fontId="3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7" xfId="0" applyNumberFormat="1" applyFont="1" applyFill="1" applyBorder="1" applyAlignment="1" applyProtection="1">
      <alignment vertical="center" wrapText="1"/>
      <protection locked="0"/>
    </xf>
    <xf numFmtId="3" fontId="3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3" fontId="13" fillId="0" borderId="6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3" fillId="0" borderId="15" xfId="42" applyFont="1" applyBorder="1" applyAlignment="1">
      <alignment horizontal="center" vertical="center"/>
    </xf>
    <xf numFmtId="0" fontId="3" fillId="0" borderId="62" xfId="42" applyFont="1" applyBorder="1" applyAlignment="1">
      <alignment horizontal="center" vertical="center"/>
    </xf>
    <xf numFmtId="0" fontId="3" fillId="0" borderId="16" xfId="42" applyFont="1" applyBorder="1" applyAlignment="1">
      <alignment horizontal="center" vertical="center"/>
    </xf>
    <xf numFmtId="0" fontId="3" fillId="0" borderId="17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0" fontId="3" fillId="0" borderId="51" xfId="42" applyFont="1" applyBorder="1" applyAlignment="1">
      <alignment horizontal="center" vertical="center"/>
    </xf>
    <xf numFmtId="0" fontId="3" fillId="0" borderId="60" xfId="42" applyFont="1" applyBorder="1" applyAlignment="1">
      <alignment horizontal="center" vertical="center"/>
    </xf>
    <xf numFmtId="0" fontId="5" fillId="0" borderId="37" xfId="50" applyFont="1" applyBorder="1" applyAlignment="1">
      <alignment horizontal="right" vertical="center" wrapText="1"/>
    </xf>
    <xf numFmtId="0" fontId="3" fillId="0" borderId="8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2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center" vertical="center" wrapText="1"/>
    </xf>
    <xf numFmtId="3" fontId="32" fillId="0" borderId="16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62" xfId="0" applyNumberFormat="1" applyFont="1" applyBorder="1" applyAlignment="1">
      <alignment horizontal="center" vertical="center" wrapText="1"/>
    </xf>
    <xf numFmtId="3" fontId="32" fillId="0" borderId="46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righ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/>
    </xf>
    <xf numFmtId="49" fontId="32" fillId="0" borderId="3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/>
    </xf>
    <xf numFmtId="49" fontId="31" fillId="0" borderId="57" xfId="0" applyNumberFormat="1" applyFont="1" applyBorder="1" applyAlignment="1">
      <alignment horizontal="center"/>
    </xf>
    <xf numFmtId="0" fontId="32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49" fontId="32" fillId="0" borderId="3" xfId="0" applyNumberFormat="1" applyFont="1" applyBorder="1" applyAlignment="1">
      <alignment horizontal="left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31" fillId="0" borderId="3" xfId="0" applyFont="1" applyBorder="1" applyAlignment="1"/>
    <xf numFmtId="0" fontId="31" fillId="0" borderId="8" xfId="0" applyFont="1" applyBorder="1" applyAlignment="1"/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7" fillId="0" borderId="3" xfId="0" applyFont="1" applyFill="1" applyBorder="1" applyAlignment="1">
      <alignment horizontal="left" vertical="center" wrapText="1" indent="5"/>
    </xf>
    <xf numFmtId="0" fontId="7" fillId="0" borderId="8" xfId="0" applyFont="1" applyFill="1" applyBorder="1" applyAlignment="1">
      <alignment horizontal="left" vertical="center" wrapText="1" indent="5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right" vertical="center"/>
    </xf>
    <xf numFmtId="0" fontId="36" fillId="0" borderId="43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right"/>
    </xf>
    <xf numFmtId="0" fontId="38" fillId="0" borderId="3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/>
    </xf>
    <xf numFmtId="3" fontId="23" fillId="0" borderId="13" xfId="0" applyNumberFormat="1" applyFont="1" applyFill="1" applyBorder="1" applyAlignment="1">
      <alignment horizontal="center" vertical="center"/>
    </xf>
    <xf numFmtId="3" fontId="23" fillId="0" borderId="43" xfId="0" applyNumberFormat="1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3" fillId="0" borderId="40" xfId="0" applyNumberFormat="1" applyFont="1" applyFill="1" applyBorder="1" applyAlignment="1">
      <alignment horizontal="center" vertical="center" wrapText="1"/>
    </xf>
    <xf numFmtId="3" fontId="23" fillId="0" borderId="33" xfId="0" applyNumberFormat="1" applyFont="1" applyFill="1" applyBorder="1" applyAlignment="1">
      <alignment horizontal="center" vertical="center" wrapText="1"/>
    </xf>
    <xf numFmtId="3" fontId="23" fillId="0" borderId="60" xfId="0" applyNumberFormat="1" applyFont="1" applyFill="1" applyBorder="1" applyAlignment="1">
      <alignment horizontal="center" vertical="center"/>
    </xf>
    <xf numFmtId="3" fontId="23" fillId="0" borderId="54" xfId="0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 applyProtection="1">
      <alignment horizontal="left" vertical="center" indent="1"/>
    </xf>
    <xf numFmtId="3" fontId="3" fillId="0" borderId="19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4" fillId="0" borderId="1" xfId="43" applyFont="1" applyBorder="1" applyAlignment="1">
      <alignment horizontal="center" vertical="center" wrapText="1"/>
    </xf>
    <xf numFmtId="0" fontId="38" fillId="0" borderId="37" xfId="0" applyFont="1" applyBorder="1" applyAlignment="1">
      <alignment horizontal="right"/>
    </xf>
    <xf numFmtId="0" fontId="74" fillId="0" borderId="15" xfId="43" applyFont="1" applyBorder="1" applyAlignment="1">
      <alignment vertical="center"/>
    </xf>
    <xf numFmtId="0" fontId="74" fillId="0" borderId="18" xfId="43" applyFont="1" applyBorder="1" applyAlignment="1">
      <alignment vertical="center"/>
    </xf>
    <xf numFmtId="0" fontId="77" fillId="0" borderId="16" xfId="43" applyFont="1" applyBorder="1" applyAlignment="1">
      <alignment horizontal="center" vertical="center" wrapText="1"/>
    </xf>
    <xf numFmtId="0" fontId="77" fillId="0" borderId="1" xfId="43" applyFont="1" applyBorder="1" applyAlignment="1">
      <alignment horizontal="center" vertical="center" wrapText="1"/>
    </xf>
    <xf numFmtId="0" fontId="77" fillId="0" borderId="16" xfId="43" applyFont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7" fillId="31" borderId="16" xfId="43" applyFont="1" applyFill="1" applyBorder="1" applyAlignment="1">
      <alignment horizontal="center" vertical="center" wrapText="1"/>
    </xf>
    <xf numFmtId="0" fontId="77" fillId="31" borderId="1" xfId="43" applyFont="1" applyFill="1" applyBorder="1" applyAlignment="1">
      <alignment horizontal="center" vertical="center" wrapText="1"/>
    </xf>
    <xf numFmtId="0" fontId="77" fillId="31" borderId="17" xfId="43" applyFont="1" applyFill="1" applyBorder="1" applyAlignment="1">
      <alignment horizontal="center" vertical="center" wrapText="1"/>
    </xf>
    <xf numFmtId="0" fontId="77" fillId="31" borderId="19" xfId="43" applyFont="1" applyFill="1" applyBorder="1" applyAlignment="1">
      <alignment horizontal="center" vertical="center" wrapText="1"/>
    </xf>
    <xf numFmtId="0" fontId="74" fillId="0" borderId="1" xfId="44" applyFont="1" applyBorder="1" applyAlignment="1">
      <alignment horizontal="center" vertical="center" wrapText="1"/>
    </xf>
    <xf numFmtId="0" fontId="74" fillId="0" borderId="1" xfId="43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71" fillId="0" borderId="1" xfId="43" applyFont="1" applyBorder="1" applyAlignment="1">
      <alignment horizontal="center" vertical="center" wrapText="1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0" fontId="69" fillId="0" borderId="16" xfId="43" applyFont="1" applyBorder="1" applyAlignment="1">
      <alignment horizontal="center" vertical="center" wrapText="1"/>
    </xf>
    <xf numFmtId="0" fontId="69" fillId="0" borderId="1" xfId="43" applyFont="1" applyBorder="1" applyAlignment="1">
      <alignment horizontal="center" vertical="center" wrapText="1"/>
    </xf>
    <xf numFmtId="0" fontId="69" fillId="0" borderId="16" xfId="43" applyFont="1" applyBorder="1" applyAlignment="1">
      <alignment horizontal="center" vertical="center"/>
    </xf>
    <xf numFmtId="0" fontId="69" fillId="31" borderId="16" xfId="43" applyFont="1" applyFill="1" applyBorder="1" applyAlignment="1">
      <alignment horizontal="center" vertical="center" wrapText="1"/>
    </xf>
    <xf numFmtId="0" fontId="69" fillId="31" borderId="1" xfId="43" applyFont="1" applyFill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/>
    </xf>
    <xf numFmtId="0" fontId="69" fillId="32" borderId="17" xfId="43" applyFont="1" applyFill="1" applyBorder="1" applyAlignment="1">
      <alignment horizontal="center" vertical="center" wrapText="1"/>
    </xf>
    <xf numFmtId="0" fontId="69" fillId="32" borderId="19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1" fillId="0" borderId="1" xfId="44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69" fillId="0" borderId="92" xfId="43" applyFont="1" applyBorder="1" applyAlignment="1">
      <alignment horizontal="center" vertical="center" wrapText="1"/>
    </xf>
    <xf numFmtId="0" fontId="69" fillId="0" borderId="26" xfId="43" applyFont="1" applyBorder="1" applyAlignment="1">
      <alignment horizontal="center" vertical="center" wrapText="1"/>
    </xf>
    <xf numFmtId="0" fontId="69" fillId="0" borderId="93" xfId="43" applyFont="1" applyBorder="1" applyAlignment="1">
      <alignment horizontal="center" vertical="center" wrapText="1"/>
    </xf>
    <xf numFmtId="0" fontId="71" fillId="0" borderId="1" xfId="43" applyFont="1" applyBorder="1" applyAlignment="1">
      <alignment vertical="center" wrapText="1"/>
    </xf>
    <xf numFmtId="0" fontId="69" fillId="31" borderId="17" xfId="43" applyFont="1" applyFill="1" applyBorder="1" applyAlignment="1">
      <alignment horizontal="center" vertical="center" wrapText="1"/>
    </xf>
    <xf numFmtId="0" fontId="69" fillId="31" borderId="19" xfId="43" applyFont="1" applyFill="1" applyBorder="1" applyAlignment="1">
      <alignment horizontal="center" vertical="center" wrapText="1"/>
    </xf>
    <xf numFmtId="0" fontId="69" fillId="0" borderId="16" xfId="43" applyFont="1" applyFill="1" applyBorder="1" applyAlignment="1">
      <alignment horizontal="center" vertical="center" wrapText="1"/>
    </xf>
    <xf numFmtId="0" fontId="69" fillId="0" borderId="1" xfId="43" applyFont="1" applyFill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/>
    </xf>
    <xf numFmtId="0" fontId="69" fillId="0" borderId="17" xfId="43" applyFont="1" applyFill="1" applyBorder="1" applyAlignment="1">
      <alignment horizontal="center" vertical="center" wrapText="1"/>
    </xf>
    <xf numFmtId="0" fontId="69" fillId="0" borderId="19" xfId="43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43" applyFont="1" applyFill="1" applyBorder="1" applyAlignment="1">
      <alignment horizontal="center" vertical="center" wrapText="1"/>
    </xf>
    <xf numFmtId="0" fontId="5" fillId="0" borderId="2" xfId="44" applyFont="1" applyBorder="1" applyAlignment="1">
      <alignment horizontal="center" vertical="center" wrapText="1"/>
    </xf>
    <xf numFmtId="0" fontId="5" fillId="0" borderId="5" xfId="44" applyFont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9525</xdr:colOff>
      <xdr:row>21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/Documents/K&#214;LTS&#201;GVET&#201;S/K&#246;lts&#233;gvet&#233;s%202016/2016.&#233;vi%20m&#243;dos&#237;t&#225;s/2016.I.m&#243;d/2016%20I%20kv%20m&#243;dos&#237;t&#225;s_v&#233;gleg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rt."/>
      <sheetName val="1.mell. Mérleg"/>
      <sheetName val="2.mell. Mérleg"/>
      <sheetName val="3.mell. Bevétel"/>
      <sheetName val="3.a átvett pe."/>
      <sheetName val="3.b mell. Működési bevételek"/>
      <sheetName val="3.c. mell. Közhatalmi bevételek"/>
      <sheetName val="4.mell. Normatíva"/>
      <sheetName val="5. mell. Önk.össz kiadás"/>
      <sheetName val="5.a. mell. Jogalkotás"/>
      <sheetName val="5.b. mell. VF saját forrásból"/>
      <sheetName val="5.c. mell. VF Eu forrásból"/>
      <sheetName val="5.d. mell. Védőnő, EÜ"/>
      <sheetName val="5.e. mell. Szociális ellátások"/>
      <sheetName val="5.f. mell. Átadott pénzeszk."/>
      <sheetName val="5.g. mell. Egyéb tev."/>
      <sheetName val="6. mell. Int.összesen"/>
      <sheetName val="6.a. mell. PH"/>
      <sheetName val="6.b. mell. Óvoda"/>
      <sheetName val="6.c. mell. BBKP"/>
      <sheetName val="7.mell. Beruházás"/>
      <sheetName val="8.mell. Felújítás"/>
      <sheetName val="9.mell. Létszámok"/>
      <sheetName val="10. mell. Több éves kihat"/>
      <sheetName val="11.mell. Ei felhaszn."/>
      <sheetName val="12.a Tételes mód ÖNK"/>
      <sheetName val="12.b Tételes mód PH"/>
      <sheetName val="12.c Tételes mód. Óvoda "/>
      <sheetName val="12.d Tételes mód. BBK"/>
      <sheetName val="12.e Konszolidált módosítás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3">
          <cell r="D43">
            <v>974143</v>
          </cell>
          <cell r="G43">
            <v>1615186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E6">
            <v>20520</v>
          </cell>
        </row>
      </sheetData>
      <sheetData sheetId="14" refreshError="1">
        <row r="4">
          <cell r="H4">
            <v>3200</v>
          </cell>
        </row>
        <row r="8">
          <cell r="E8">
            <v>346</v>
          </cell>
        </row>
        <row r="9">
          <cell r="E9">
            <v>1996</v>
          </cell>
        </row>
        <row r="10">
          <cell r="E10">
            <v>2286</v>
          </cell>
        </row>
        <row r="11">
          <cell r="E11">
            <v>3020</v>
          </cell>
        </row>
        <row r="12">
          <cell r="E12">
            <v>963</v>
          </cell>
        </row>
        <row r="13">
          <cell r="E13">
            <v>695</v>
          </cell>
        </row>
        <row r="14">
          <cell r="E14">
            <v>11137</v>
          </cell>
        </row>
        <row r="16">
          <cell r="E16">
            <v>155601</v>
          </cell>
        </row>
        <row r="17">
          <cell r="E17">
            <v>3886</v>
          </cell>
        </row>
        <row r="18">
          <cell r="E18">
            <v>15000</v>
          </cell>
        </row>
        <row r="19">
          <cell r="E19">
            <v>9900</v>
          </cell>
        </row>
        <row r="20">
          <cell r="E20">
            <v>996</v>
          </cell>
        </row>
        <row r="21">
          <cell r="E21">
            <v>20358</v>
          </cell>
        </row>
        <row r="22">
          <cell r="E22">
            <v>1145</v>
          </cell>
        </row>
        <row r="23">
          <cell r="E23">
            <v>2500</v>
          </cell>
        </row>
        <row r="24">
          <cell r="E24">
            <v>1743</v>
          </cell>
        </row>
        <row r="25">
          <cell r="E25">
            <v>8940</v>
          </cell>
        </row>
        <row r="30">
          <cell r="K30">
            <v>4834</v>
          </cell>
        </row>
        <row r="31">
          <cell r="K31">
            <v>2139</v>
          </cell>
        </row>
        <row r="45">
          <cell r="K45">
            <v>3644</v>
          </cell>
        </row>
      </sheetData>
      <sheetData sheetId="15" refreshError="1">
        <row r="6">
          <cell r="X6">
            <v>11150</v>
          </cell>
        </row>
        <row r="20">
          <cell r="L20">
            <v>27188</v>
          </cell>
          <cell r="O20">
            <v>12397</v>
          </cell>
        </row>
        <row r="25">
          <cell r="U25">
            <v>75</v>
          </cell>
          <cell r="AA25">
            <v>4574</v>
          </cell>
        </row>
        <row r="30">
          <cell r="L30">
            <v>7341</v>
          </cell>
          <cell r="O30">
            <v>3348</v>
          </cell>
          <cell r="U30">
            <v>236</v>
          </cell>
        </row>
        <row r="34">
          <cell r="X34">
            <v>34</v>
          </cell>
        </row>
      </sheetData>
      <sheetData sheetId="16" refreshError="1">
        <row r="29">
          <cell r="I29">
            <v>442</v>
          </cell>
        </row>
        <row r="30">
          <cell r="O30">
            <v>40</v>
          </cell>
        </row>
        <row r="33">
          <cell r="O33">
            <v>338</v>
          </cell>
        </row>
        <row r="44">
          <cell r="L44">
            <v>58</v>
          </cell>
          <cell r="O44">
            <v>338</v>
          </cell>
        </row>
        <row r="47">
          <cell r="L47">
            <v>172511</v>
          </cell>
        </row>
      </sheetData>
      <sheetData sheetId="17" refreshError="1"/>
      <sheetData sheetId="18" refreshError="1">
        <row r="5">
          <cell r="I5">
            <v>96248</v>
          </cell>
        </row>
        <row r="21">
          <cell r="O21">
            <v>1795</v>
          </cell>
        </row>
        <row r="34">
          <cell r="L34">
            <v>7</v>
          </cell>
        </row>
        <row r="37">
          <cell r="L37">
            <v>0</v>
          </cell>
        </row>
        <row r="38">
          <cell r="L38">
            <v>250</v>
          </cell>
        </row>
        <row r="47">
          <cell r="O47">
            <v>200</v>
          </cell>
        </row>
        <row r="53">
          <cell r="L53">
            <v>102</v>
          </cell>
        </row>
        <row r="61">
          <cell r="L61">
            <v>37</v>
          </cell>
        </row>
        <row r="62">
          <cell r="L62">
            <v>37</v>
          </cell>
        </row>
        <row r="63">
          <cell r="L63">
            <v>11152</v>
          </cell>
        </row>
        <row r="64">
          <cell r="L64">
            <v>11152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opLeftCell="A16" workbookViewId="0">
      <selection activeCell="B5" sqref="B5"/>
    </sheetView>
  </sheetViews>
  <sheetFormatPr defaultRowHeight="14.4"/>
  <cols>
    <col min="1" max="1" width="14.5546875" customWidth="1"/>
    <col min="2" max="2" width="82" customWidth="1"/>
    <col min="3" max="3" width="47.6640625" customWidth="1"/>
  </cols>
  <sheetData>
    <row r="1" spans="1:2" ht="33.75" customHeight="1">
      <c r="A1" s="913" t="s">
        <v>1040</v>
      </c>
      <c r="B1" s="913"/>
    </row>
    <row r="2" spans="1:2">
      <c r="A2" s="439"/>
      <c r="B2" s="579"/>
    </row>
    <row r="3" spans="1:2">
      <c r="A3" s="580" t="s">
        <v>621</v>
      </c>
      <c r="B3" s="581" t="s">
        <v>665</v>
      </c>
    </row>
    <row r="4" spans="1:2">
      <c r="A4" s="580" t="s">
        <v>622</v>
      </c>
      <c r="B4" s="581" t="s">
        <v>666</v>
      </c>
    </row>
    <row r="5" spans="1:2">
      <c r="A5" s="580" t="s">
        <v>623</v>
      </c>
      <c r="B5" s="581" t="s">
        <v>648</v>
      </c>
    </row>
    <row r="6" spans="1:2">
      <c r="A6" s="580" t="s">
        <v>645</v>
      </c>
      <c r="B6" s="581" t="s">
        <v>664</v>
      </c>
    </row>
    <row r="7" spans="1:2">
      <c r="A7" s="580" t="s">
        <v>646</v>
      </c>
      <c r="B7" s="581" t="s">
        <v>649</v>
      </c>
    </row>
    <row r="8" spans="1:2">
      <c r="A8" s="580" t="s">
        <v>647</v>
      </c>
      <c r="B8" s="581" t="s">
        <v>650</v>
      </c>
    </row>
    <row r="9" spans="1:2">
      <c r="A9" s="580" t="s">
        <v>624</v>
      </c>
      <c r="B9" s="581" t="s">
        <v>651</v>
      </c>
    </row>
    <row r="10" spans="1:2">
      <c r="A10" s="580" t="s">
        <v>625</v>
      </c>
      <c r="B10" s="581" t="s">
        <v>652</v>
      </c>
    </row>
    <row r="11" spans="1:2" ht="26.4">
      <c r="A11" s="580" t="s">
        <v>626</v>
      </c>
      <c r="B11" s="581" t="s">
        <v>653</v>
      </c>
    </row>
    <row r="12" spans="1:2" ht="26.4">
      <c r="A12" s="580" t="s">
        <v>627</v>
      </c>
      <c r="B12" s="581" t="s">
        <v>658</v>
      </c>
    </row>
    <row r="13" spans="1:2" ht="26.4">
      <c r="A13" s="580" t="s">
        <v>628</v>
      </c>
      <c r="B13" s="581" t="s">
        <v>657</v>
      </c>
    </row>
    <row r="14" spans="1:2">
      <c r="A14" s="580" t="s">
        <v>629</v>
      </c>
      <c r="B14" s="581" t="s">
        <v>656</v>
      </c>
    </row>
    <row r="15" spans="1:2">
      <c r="A15" s="580" t="s">
        <v>630</v>
      </c>
      <c r="B15" s="581" t="s">
        <v>654</v>
      </c>
    </row>
    <row r="16" spans="1:2">
      <c r="A16" s="580" t="s">
        <v>631</v>
      </c>
      <c r="B16" s="581" t="s">
        <v>655</v>
      </c>
    </row>
    <row r="17" spans="1:5">
      <c r="A17" s="580" t="s">
        <v>632</v>
      </c>
      <c r="B17" s="581" t="s">
        <v>663</v>
      </c>
    </row>
    <row r="18" spans="1:5">
      <c r="A18" s="580" t="s">
        <v>633</v>
      </c>
      <c r="B18" s="581" t="s">
        <v>634</v>
      </c>
    </row>
    <row r="19" spans="1:5">
      <c r="A19" s="580" t="s">
        <v>635</v>
      </c>
      <c r="B19" s="581" t="s">
        <v>659</v>
      </c>
    </row>
    <row r="20" spans="1:5">
      <c r="A20" s="580" t="s">
        <v>636</v>
      </c>
      <c r="B20" s="581" t="s">
        <v>660</v>
      </c>
    </row>
    <row r="21" spans="1:5">
      <c r="A21" s="580" t="s">
        <v>637</v>
      </c>
      <c r="B21" s="581" t="s">
        <v>661</v>
      </c>
    </row>
    <row r="22" spans="1:5">
      <c r="A22" s="580" t="s">
        <v>638</v>
      </c>
      <c r="B22" s="581" t="s">
        <v>639</v>
      </c>
    </row>
    <row r="23" spans="1:5">
      <c r="A23" s="580" t="s">
        <v>640</v>
      </c>
      <c r="B23" s="581" t="s">
        <v>641</v>
      </c>
    </row>
    <row r="24" spans="1:5" ht="17.25" customHeight="1">
      <c r="A24" s="580" t="s">
        <v>642</v>
      </c>
      <c r="B24" s="581" t="s">
        <v>620</v>
      </c>
    </row>
    <row r="25" spans="1:5" ht="17.25" customHeight="1">
      <c r="A25" s="580" t="s">
        <v>643</v>
      </c>
      <c r="B25" s="581" t="s">
        <v>482</v>
      </c>
    </row>
    <row r="26" spans="1:5">
      <c r="A26" s="580" t="s">
        <v>644</v>
      </c>
      <c r="B26" s="581" t="s">
        <v>662</v>
      </c>
    </row>
    <row r="27" spans="1:5">
      <c r="A27" s="78" t="s">
        <v>722</v>
      </c>
      <c r="B27" s="78" t="s">
        <v>723</v>
      </c>
    </row>
    <row r="28" spans="1:5">
      <c r="A28" s="78" t="s">
        <v>724</v>
      </c>
      <c r="B28" s="78" t="s">
        <v>725</v>
      </c>
      <c r="C28" s="581"/>
      <c r="D28" s="581"/>
      <c r="E28" s="581"/>
    </row>
    <row r="29" spans="1:5">
      <c r="A29" s="78" t="s">
        <v>726</v>
      </c>
      <c r="B29" s="78" t="s">
        <v>727</v>
      </c>
    </row>
    <row r="30" spans="1:5">
      <c r="A30" s="78" t="s">
        <v>728</v>
      </c>
      <c r="B30" s="78" t="s">
        <v>729</v>
      </c>
    </row>
    <row r="31" spans="1:5">
      <c r="A31" s="78" t="s">
        <v>730</v>
      </c>
      <c r="B31" s="78" t="s">
        <v>731</v>
      </c>
    </row>
  </sheetData>
  <mergeCells count="1">
    <mergeCell ref="A1:B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opLeftCell="A16" workbookViewId="0">
      <selection activeCell="E10" sqref="E10"/>
    </sheetView>
  </sheetViews>
  <sheetFormatPr defaultColWidth="9.109375" defaultRowHeight="14.4"/>
  <cols>
    <col min="1" max="1" width="13" style="774" customWidth="1"/>
    <col min="2" max="3" width="13" style="775" customWidth="1"/>
    <col min="4" max="4" width="11" style="41" customWidth="1"/>
    <col min="5" max="5" width="11" style="708" customWidth="1"/>
    <col min="6" max="6" width="11" style="41" customWidth="1"/>
    <col min="7" max="16384" width="9.109375" style="761"/>
  </cols>
  <sheetData>
    <row r="1" spans="1:6" ht="15.75" customHeight="1">
      <c r="D1" s="978" t="s">
        <v>399</v>
      </c>
      <c r="E1" s="978"/>
      <c r="F1" s="978"/>
    </row>
    <row r="2" spans="1:6" ht="24.75" customHeight="1">
      <c r="A2" s="971" t="s">
        <v>0</v>
      </c>
      <c r="B2" s="971" t="s">
        <v>180</v>
      </c>
      <c r="C2" s="971"/>
      <c r="D2" s="979" t="s">
        <v>177</v>
      </c>
      <c r="E2" s="980"/>
      <c r="F2" s="981"/>
    </row>
    <row r="3" spans="1:6" s="2" customFormat="1">
      <c r="A3" s="971"/>
      <c r="B3" s="971"/>
      <c r="C3" s="971"/>
      <c r="D3" s="828" t="s">
        <v>870</v>
      </c>
      <c r="E3" s="762" t="s">
        <v>732</v>
      </c>
      <c r="F3" s="828" t="s">
        <v>947</v>
      </c>
    </row>
    <row r="4" spans="1:6" s="2" customFormat="1">
      <c r="A4" s="971"/>
      <c r="B4" s="971"/>
      <c r="C4" s="971"/>
      <c r="D4" s="982" t="s">
        <v>187</v>
      </c>
      <c r="E4" s="982"/>
      <c r="F4" s="982"/>
    </row>
    <row r="5" spans="1:6" ht="12" customHeight="1">
      <c r="A5" s="5" t="s">
        <v>27</v>
      </c>
      <c r="B5" s="972" t="s">
        <v>175</v>
      </c>
      <c r="C5" s="972"/>
      <c r="D5" s="776"/>
      <c r="E5" s="765"/>
      <c r="F5" s="777"/>
    </row>
    <row r="6" spans="1:6" ht="12" customHeight="1">
      <c r="A6" s="5" t="s">
        <v>34</v>
      </c>
      <c r="B6" s="972" t="s">
        <v>174</v>
      </c>
      <c r="C6" s="972"/>
      <c r="D6" s="778">
        <v>19511</v>
      </c>
      <c r="E6" s="702">
        <v>99</v>
      </c>
      <c r="F6" s="779">
        <f>+D6+E6</f>
        <v>19610</v>
      </c>
    </row>
    <row r="7" spans="1:6" ht="12" customHeight="1">
      <c r="A7" s="6" t="s">
        <v>35</v>
      </c>
      <c r="B7" s="969" t="s">
        <v>173</v>
      </c>
      <c r="C7" s="969"/>
      <c r="D7" s="780">
        <v>19511</v>
      </c>
      <c r="E7" s="703">
        <f t="shared" ref="E7:F7" si="0">SUM(E5:E6)</f>
        <v>99</v>
      </c>
      <c r="F7" s="780">
        <f t="shared" si="0"/>
        <v>19610</v>
      </c>
    </row>
    <row r="8" spans="1:6" ht="12" customHeight="1">
      <c r="A8" s="7"/>
      <c r="B8" s="8"/>
      <c r="C8" s="8"/>
      <c r="D8" s="781"/>
      <c r="E8" s="704"/>
      <c r="F8" s="782"/>
    </row>
    <row r="9" spans="1:6" ht="12" customHeight="1">
      <c r="A9" s="5" t="s">
        <v>36</v>
      </c>
      <c r="B9" s="972" t="s">
        <v>172</v>
      </c>
      <c r="C9" s="972"/>
      <c r="D9" s="783">
        <v>5202</v>
      </c>
      <c r="E9" s="702">
        <v>98</v>
      </c>
      <c r="F9" s="779">
        <f>+D9+E9</f>
        <v>5300</v>
      </c>
    </row>
    <row r="10" spans="1:6" ht="12" customHeight="1">
      <c r="A10" s="186"/>
      <c r="B10" s="784"/>
      <c r="C10" s="11"/>
      <c r="D10" s="785"/>
      <c r="E10" s="764"/>
      <c r="F10" s="786"/>
    </row>
    <row r="11" spans="1:6" ht="12" customHeight="1">
      <c r="A11" s="12" t="s">
        <v>43</v>
      </c>
      <c r="B11" s="970" t="s">
        <v>42</v>
      </c>
      <c r="C11" s="970"/>
      <c r="D11" s="787">
        <v>78</v>
      </c>
      <c r="E11" s="705">
        <v>68</v>
      </c>
      <c r="F11" s="788">
        <f t="shared" ref="F11:F13" si="1">+D11+E11</f>
        <v>146</v>
      </c>
    </row>
    <row r="12" spans="1:6" ht="12" customHeight="1">
      <c r="A12" s="3" t="s">
        <v>45</v>
      </c>
      <c r="B12" s="973" t="s">
        <v>44</v>
      </c>
      <c r="C12" s="973"/>
      <c r="D12" s="787">
        <v>434</v>
      </c>
      <c r="E12" s="705">
        <v>193</v>
      </c>
      <c r="F12" s="788">
        <f t="shared" si="1"/>
        <v>627</v>
      </c>
    </row>
    <row r="13" spans="1:6" ht="12" customHeight="1">
      <c r="A13" s="3" t="s">
        <v>47</v>
      </c>
      <c r="B13" s="973" t="s">
        <v>46</v>
      </c>
      <c r="C13" s="973"/>
      <c r="D13" s="787">
        <v>0</v>
      </c>
      <c r="E13" s="765"/>
      <c r="F13" s="788">
        <f t="shared" si="1"/>
        <v>0</v>
      </c>
    </row>
    <row r="14" spans="1:6" s="790" customFormat="1" ht="12" customHeight="1">
      <c r="A14" s="5" t="s">
        <v>48</v>
      </c>
      <c r="B14" s="972" t="s">
        <v>171</v>
      </c>
      <c r="C14" s="972"/>
      <c r="D14" s="783">
        <v>512</v>
      </c>
      <c r="E14" s="783">
        <f t="shared" ref="E14:F14" si="2">SUM(E11:E13)</f>
        <v>261</v>
      </c>
      <c r="F14" s="783">
        <f t="shared" si="2"/>
        <v>773</v>
      </c>
    </row>
    <row r="15" spans="1:6" ht="12" customHeight="1">
      <c r="A15" s="3" t="s">
        <v>50</v>
      </c>
      <c r="B15" s="973" t="s">
        <v>49</v>
      </c>
      <c r="C15" s="973"/>
      <c r="D15" s="787">
        <v>2688</v>
      </c>
      <c r="E15" s="705">
        <v>-515</v>
      </c>
      <c r="F15" s="788">
        <f>+D15+E15</f>
        <v>2173</v>
      </c>
    </row>
    <row r="16" spans="1:6" ht="12" customHeight="1">
      <c r="A16" s="3" t="s">
        <v>52</v>
      </c>
      <c r="B16" s="973" t="s">
        <v>51</v>
      </c>
      <c r="C16" s="973"/>
      <c r="D16" s="787">
        <v>600</v>
      </c>
      <c r="E16" s="705">
        <v>231</v>
      </c>
      <c r="F16" s="788">
        <f>+D16+E16</f>
        <v>831</v>
      </c>
    </row>
    <row r="17" spans="1:6" s="790" customFormat="1" ht="12" customHeight="1">
      <c r="A17" s="5" t="s">
        <v>53</v>
      </c>
      <c r="B17" s="972" t="s">
        <v>170</v>
      </c>
      <c r="C17" s="972"/>
      <c r="D17" s="783">
        <v>3288</v>
      </c>
      <c r="E17" s="706">
        <f t="shared" ref="E17:F17" si="3">SUM(E15:E16)</f>
        <v>-284</v>
      </c>
      <c r="F17" s="783">
        <f t="shared" si="3"/>
        <v>3004</v>
      </c>
    </row>
    <row r="18" spans="1:6" ht="12" customHeight="1">
      <c r="A18" s="3" t="s">
        <v>55</v>
      </c>
      <c r="B18" s="973" t="s">
        <v>54</v>
      </c>
      <c r="C18" s="973"/>
      <c r="D18" s="787">
        <v>0</v>
      </c>
      <c r="E18" s="765"/>
      <c r="F18" s="788">
        <f t="shared" ref="F18:F22" si="4">+D18+E18</f>
        <v>0</v>
      </c>
    </row>
    <row r="19" spans="1:6" ht="12" customHeight="1">
      <c r="A19" s="3" t="s">
        <v>57</v>
      </c>
      <c r="B19" s="973" t="s">
        <v>56</v>
      </c>
      <c r="C19" s="973"/>
      <c r="D19" s="787">
        <v>0</v>
      </c>
      <c r="E19" s="765"/>
      <c r="F19" s="788">
        <f t="shared" si="4"/>
        <v>0</v>
      </c>
    </row>
    <row r="20" spans="1:6" ht="12" customHeight="1">
      <c r="A20" s="3" t="s">
        <v>58</v>
      </c>
      <c r="B20" s="973" t="s">
        <v>168</v>
      </c>
      <c r="C20" s="973"/>
      <c r="D20" s="787">
        <v>166</v>
      </c>
      <c r="E20" s="765">
        <v>79</v>
      </c>
      <c r="F20" s="788">
        <f t="shared" si="4"/>
        <v>245</v>
      </c>
    </row>
    <row r="21" spans="1:6" ht="12" customHeight="1">
      <c r="A21" s="3" t="s">
        <v>60</v>
      </c>
      <c r="B21" s="973" t="s">
        <v>59</v>
      </c>
      <c r="C21" s="973"/>
      <c r="D21" s="787">
        <v>0</v>
      </c>
      <c r="E21" s="765"/>
      <c r="F21" s="788">
        <f t="shared" si="4"/>
        <v>0</v>
      </c>
    </row>
    <row r="22" spans="1:6" ht="12" customHeight="1">
      <c r="A22" s="3" t="s">
        <v>61</v>
      </c>
      <c r="B22" s="973" t="s">
        <v>167</v>
      </c>
      <c r="C22" s="973"/>
      <c r="D22" s="787">
        <v>0</v>
      </c>
      <c r="E22" s="765"/>
      <c r="F22" s="788">
        <f t="shared" si="4"/>
        <v>0</v>
      </c>
    </row>
    <row r="23" spans="1:6" ht="12" customHeight="1">
      <c r="A23" s="3" t="s">
        <v>64</v>
      </c>
      <c r="B23" s="973" t="s">
        <v>63</v>
      </c>
      <c r="C23" s="973"/>
      <c r="D23" s="787">
        <v>2800</v>
      </c>
      <c r="E23" s="765">
        <v>-808</v>
      </c>
      <c r="F23" s="788">
        <f>+D23+E23</f>
        <v>1992</v>
      </c>
    </row>
    <row r="24" spans="1:6" ht="12" customHeight="1">
      <c r="A24" s="3" t="s">
        <v>66</v>
      </c>
      <c r="B24" s="973" t="s">
        <v>65</v>
      </c>
      <c r="C24" s="973"/>
      <c r="D24" s="787">
        <v>6313</v>
      </c>
      <c r="E24" s="765">
        <v>1269</v>
      </c>
      <c r="F24" s="788">
        <f>+D24+E24</f>
        <v>7582</v>
      </c>
    </row>
    <row r="25" spans="1:6" s="790" customFormat="1" ht="12" customHeight="1">
      <c r="A25" s="5" t="s">
        <v>67</v>
      </c>
      <c r="B25" s="972" t="s">
        <v>157</v>
      </c>
      <c r="C25" s="972"/>
      <c r="D25" s="783">
        <v>9279</v>
      </c>
      <c r="E25" s="706">
        <f t="shared" ref="E25:F25" si="5">+E24+E23+E22+E21+E20+E19+E18</f>
        <v>540</v>
      </c>
      <c r="F25" s="783">
        <f t="shared" si="5"/>
        <v>9819</v>
      </c>
    </row>
    <row r="26" spans="1:6" ht="12" customHeight="1">
      <c r="A26" s="3" t="s">
        <v>69</v>
      </c>
      <c r="B26" s="973" t="s">
        <v>68</v>
      </c>
      <c r="C26" s="973"/>
      <c r="D26" s="787">
        <v>676</v>
      </c>
      <c r="E26" s="765">
        <v>-444</v>
      </c>
      <c r="F26" s="788">
        <f>+D26+E26</f>
        <v>232</v>
      </c>
    </row>
    <row r="27" spans="1:6" ht="12" customHeight="1">
      <c r="A27" s="3" t="s">
        <v>71</v>
      </c>
      <c r="B27" s="973" t="s">
        <v>70</v>
      </c>
      <c r="C27" s="973"/>
      <c r="D27" s="787"/>
      <c r="E27" s="765"/>
      <c r="F27" s="777"/>
    </row>
    <row r="28" spans="1:6" ht="12" customHeight="1">
      <c r="A28" s="5" t="s">
        <v>72</v>
      </c>
      <c r="B28" s="972" t="s">
        <v>156</v>
      </c>
      <c r="C28" s="972"/>
      <c r="D28" s="783">
        <v>676</v>
      </c>
      <c r="E28" s="706">
        <f t="shared" ref="E28:F28" si="6">SUM(E26:E27)</f>
        <v>-444</v>
      </c>
      <c r="F28" s="783">
        <f t="shared" si="6"/>
        <v>232</v>
      </c>
    </row>
    <row r="29" spans="1:6" ht="12" customHeight="1">
      <c r="A29" s="3" t="s">
        <v>74</v>
      </c>
      <c r="B29" s="973" t="s">
        <v>73</v>
      </c>
      <c r="C29" s="973"/>
      <c r="D29" s="787">
        <v>1218</v>
      </c>
      <c r="E29" s="765">
        <v>410</v>
      </c>
      <c r="F29" s="788">
        <f>+D29+E29</f>
        <v>1628</v>
      </c>
    </row>
    <row r="30" spans="1:6" ht="12" customHeight="1">
      <c r="A30" s="3" t="s">
        <v>76</v>
      </c>
      <c r="B30" s="973" t="s">
        <v>75</v>
      </c>
      <c r="C30" s="973"/>
      <c r="D30" s="787"/>
      <c r="E30" s="765"/>
      <c r="F30" s="788">
        <f t="shared" ref="F30:F32" si="7">+D30+E30</f>
        <v>0</v>
      </c>
    </row>
    <row r="31" spans="1:6" ht="12" customHeight="1">
      <c r="A31" s="3" t="s">
        <v>77</v>
      </c>
      <c r="B31" s="973" t="s">
        <v>155</v>
      </c>
      <c r="C31" s="973"/>
      <c r="D31" s="787"/>
      <c r="E31" s="765">
        <v>2</v>
      </c>
      <c r="F31" s="788">
        <f t="shared" si="7"/>
        <v>2</v>
      </c>
    </row>
    <row r="32" spans="1:6" ht="12" customHeight="1">
      <c r="A32" s="3" t="s">
        <v>78</v>
      </c>
      <c r="B32" s="973" t="s">
        <v>154</v>
      </c>
      <c r="C32" s="973"/>
      <c r="D32" s="787"/>
      <c r="E32" s="765"/>
      <c r="F32" s="788">
        <f t="shared" si="7"/>
        <v>0</v>
      </c>
    </row>
    <row r="33" spans="1:6" ht="12" customHeight="1">
      <c r="A33" s="3" t="s">
        <v>80</v>
      </c>
      <c r="B33" s="973" t="s">
        <v>79</v>
      </c>
      <c r="C33" s="973"/>
      <c r="D33" s="787">
        <v>11115</v>
      </c>
      <c r="E33" s="765">
        <v>140</v>
      </c>
      <c r="F33" s="788">
        <f>+D33+E33</f>
        <v>11255</v>
      </c>
    </row>
    <row r="34" spans="1:6" ht="12" customHeight="1">
      <c r="A34" s="5" t="s">
        <v>81</v>
      </c>
      <c r="B34" s="972" t="s">
        <v>153</v>
      </c>
      <c r="C34" s="972"/>
      <c r="D34" s="783">
        <v>12333</v>
      </c>
      <c r="E34" s="706">
        <f t="shared" ref="E34" si="8">SUM(E29:E33)</f>
        <v>552</v>
      </c>
      <c r="F34" s="783">
        <f>SUM(F29:F33)</f>
        <v>12885</v>
      </c>
    </row>
    <row r="35" spans="1:6" ht="12" customHeight="1">
      <c r="A35" s="6" t="s">
        <v>82</v>
      </c>
      <c r="B35" s="969" t="s">
        <v>152</v>
      </c>
      <c r="C35" s="969"/>
      <c r="D35" s="791">
        <v>26088</v>
      </c>
      <c r="E35" s="703">
        <f t="shared" ref="E35:F35" si="9">+E34+E28+E25+E17+E14</f>
        <v>625</v>
      </c>
      <c r="F35" s="791">
        <f t="shared" si="9"/>
        <v>26713</v>
      </c>
    </row>
    <row r="36" spans="1:6" ht="12" customHeight="1">
      <c r="A36" s="7"/>
      <c r="B36" s="8"/>
      <c r="C36" s="8"/>
      <c r="D36" s="792"/>
      <c r="E36" s="704"/>
      <c r="F36" s="782"/>
    </row>
    <row r="37" spans="1:6" ht="12" hidden="1" customHeight="1">
      <c r="A37" s="3" t="s">
        <v>97</v>
      </c>
      <c r="B37" s="968" t="s">
        <v>96</v>
      </c>
      <c r="C37" s="968"/>
      <c r="D37" s="789"/>
      <c r="E37" s="765"/>
      <c r="F37" s="777"/>
    </row>
    <row r="38" spans="1:6" ht="12" hidden="1" customHeight="1">
      <c r="A38" s="3" t="s">
        <v>99</v>
      </c>
      <c r="B38" s="968" t="s">
        <v>182</v>
      </c>
      <c r="C38" s="968"/>
      <c r="D38" s="789"/>
      <c r="E38" s="765"/>
      <c r="F38" s="777"/>
    </row>
    <row r="39" spans="1:6" ht="12" hidden="1" customHeight="1">
      <c r="A39" s="3" t="s">
        <v>102</v>
      </c>
      <c r="B39" s="968" t="s">
        <v>166</v>
      </c>
      <c r="C39" s="968"/>
      <c r="D39" s="789"/>
      <c r="E39" s="765"/>
      <c r="F39" s="777"/>
    </row>
    <row r="40" spans="1:6" ht="12" hidden="1" customHeight="1">
      <c r="A40" s="3" t="s">
        <v>104</v>
      </c>
      <c r="B40" s="968" t="s">
        <v>181</v>
      </c>
      <c r="C40" s="968"/>
      <c r="D40" s="789"/>
      <c r="E40" s="765"/>
      <c r="F40" s="777"/>
    </row>
    <row r="41" spans="1:6" ht="12" hidden="1" customHeight="1">
      <c r="A41" s="3" t="s">
        <v>108</v>
      </c>
      <c r="B41" s="968" t="s">
        <v>165</v>
      </c>
      <c r="C41" s="968"/>
      <c r="D41" s="789"/>
      <c r="E41" s="765"/>
      <c r="F41" s="777"/>
    </row>
    <row r="42" spans="1:6" ht="12" hidden="1" customHeight="1">
      <c r="A42" s="3" t="s">
        <v>700</v>
      </c>
      <c r="B42" s="973" t="s">
        <v>107</v>
      </c>
      <c r="C42" s="973"/>
      <c r="D42" s="789"/>
      <c r="E42" s="765"/>
      <c r="F42" s="777"/>
    </row>
    <row r="43" spans="1:6" ht="12" customHeight="1">
      <c r="A43" s="6" t="s">
        <v>109</v>
      </c>
      <c r="B43" s="969" t="s">
        <v>164</v>
      </c>
      <c r="C43" s="969"/>
      <c r="D43" s="791"/>
      <c r="E43" s="707"/>
      <c r="F43" s="793"/>
    </row>
    <row r="44" spans="1:6" ht="12" customHeight="1">
      <c r="A44" s="7"/>
      <c r="B44" s="8"/>
      <c r="C44" s="8"/>
      <c r="D44" s="792"/>
      <c r="E44" s="704"/>
      <c r="F44" s="782"/>
    </row>
    <row r="45" spans="1:6" ht="12" hidden="1" customHeight="1">
      <c r="A45" s="12" t="s">
        <v>111</v>
      </c>
      <c r="B45" s="970" t="s">
        <v>110</v>
      </c>
      <c r="C45" s="970"/>
      <c r="D45" s="787"/>
      <c r="E45" s="705"/>
      <c r="F45" s="794"/>
    </row>
    <row r="46" spans="1:6" ht="12" hidden="1" customHeight="1">
      <c r="A46" s="3" t="s">
        <v>112</v>
      </c>
      <c r="B46" s="973" t="s">
        <v>163</v>
      </c>
      <c r="C46" s="973"/>
      <c r="D46" s="789"/>
      <c r="E46" s="765"/>
      <c r="F46" s="777"/>
    </row>
    <row r="47" spans="1:6" ht="12" hidden="1" customHeight="1">
      <c r="A47" s="3" t="s">
        <v>115</v>
      </c>
      <c r="B47" s="973" t="s">
        <v>114</v>
      </c>
      <c r="C47" s="973"/>
      <c r="D47" s="789"/>
      <c r="E47" s="765"/>
      <c r="F47" s="777"/>
    </row>
    <row r="48" spans="1:6" ht="12" hidden="1" customHeight="1">
      <c r="A48" s="3" t="s">
        <v>117</v>
      </c>
      <c r="B48" s="973" t="s">
        <v>116</v>
      </c>
      <c r="C48" s="973"/>
      <c r="D48" s="789"/>
      <c r="E48" s="765"/>
      <c r="F48" s="777"/>
    </row>
    <row r="49" spans="1:6" ht="12" hidden="1" customHeight="1">
      <c r="A49" s="3" t="s">
        <v>119</v>
      </c>
      <c r="B49" s="973" t="s">
        <v>118</v>
      </c>
      <c r="C49" s="973"/>
      <c r="D49" s="789"/>
      <c r="E49" s="765"/>
      <c r="F49" s="777"/>
    </row>
    <row r="50" spans="1:6" ht="12" hidden="1" customHeight="1">
      <c r="A50" s="3" t="s">
        <v>121</v>
      </c>
      <c r="B50" s="973" t="s">
        <v>120</v>
      </c>
      <c r="C50" s="973"/>
      <c r="D50" s="789"/>
      <c r="E50" s="765"/>
      <c r="F50" s="777"/>
    </row>
    <row r="51" spans="1:6" ht="12" hidden="1" customHeight="1">
      <c r="A51" s="3" t="s">
        <v>123</v>
      </c>
      <c r="B51" s="973" t="s">
        <v>122</v>
      </c>
      <c r="C51" s="973"/>
      <c r="D51" s="789"/>
      <c r="E51" s="765"/>
      <c r="F51" s="777"/>
    </row>
    <row r="52" spans="1:6" ht="12" customHeight="1">
      <c r="A52" s="6" t="s">
        <v>124</v>
      </c>
      <c r="B52" s="969" t="s">
        <v>162</v>
      </c>
      <c r="C52" s="969"/>
      <c r="D52" s="791">
        <v>0</v>
      </c>
      <c r="E52" s="707">
        <f>+E51+E50+E49+E48+E47+E46+E45</f>
        <v>0</v>
      </c>
      <c r="F52" s="793">
        <f>+F51+F50+F49+F48+F47+F46+F45</f>
        <v>0</v>
      </c>
    </row>
    <row r="53" spans="1:6" ht="12" customHeight="1">
      <c r="A53" s="7"/>
      <c r="B53" s="8"/>
      <c r="C53" s="8"/>
      <c r="D53" s="792"/>
      <c r="E53" s="704"/>
      <c r="F53" s="782"/>
    </row>
    <row r="54" spans="1:6" ht="12" hidden="1" customHeight="1">
      <c r="A54" s="12" t="s">
        <v>126</v>
      </c>
      <c r="B54" s="970" t="s">
        <v>125</v>
      </c>
      <c r="C54" s="970"/>
      <c r="D54" s="787"/>
      <c r="E54" s="705"/>
      <c r="F54" s="794"/>
    </row>
    <row r="55" spans="1:6" ht="12" hidden="1" customHeight="1">
      <c r="A55" s="3" t="s">
        <v>128</v>
      </c>
      <c r="B55" s="973" t="s">
        <v>127</v>
      </c>
      <c r="C55" s="973"/>
      <c r="D55" s="789"/>
      <c r="E55" s="765"/>
      <c r="F55" s="777"/>
    </row>
    <row r="56" spans="1:6" ht="12" hidden="1" customHeight="1">
      <c r="A56" s="3" t="s">
        <v>130</v>
      </c>
      <c r="B56" s="973" t="s">
        <v>129</v>
      </c>
      <c r="C56" s="973"/>
      <c r="D56" s="789"/>
      <c r="E56" s="765"/>
      <c r="F56" s="777"/>
    </row>
    <row r="57" spans="1:6" ht="12" hidden="1" customHeight="1">
      <c r="A57" s="3" t="s">
        <v>132</v>
      </c>
      <c r="B57" s="973" t="s">
        <v>131</v>
      </c>
      <c r="C57" s="973"/>
      <c r="D57" s="789"/>
      <c r="E57" s="765"/>
      <c r="F57" s="777"/>
    </row>
    <row r="58" spans="1:6" ht="12" customHeight="1">
      <c r="A58" s="5" t="s">
        <v>133</v>
      </c>
      <c r="B58" s="972" t="s">
        <v>161</v>
      </c>
      <c r="C58" s="972"/>
      <c r="D58" s="789"/>
      <c r="E58" s="765"/>
      <c r="F58" s="777"/>
    </row>
    <row r="59" spans="1:6" ht="12" customHeight="1">
      <c r="A59" s="7"/>
      <c r="B59" s="16"/>
      <c r="C59" s="16"/>
      <c r="D59" s="792"/>
      <c r="E59" s="704"/>
      <c r="F59" s="782"/>
    </row>
    <row r="60" spans="1:6" ht="12" hidden="1" customHeight="1">
      <c r="A60" s="186" t="s">
        <v>385</v>
      </c>
      <c r="B60" s="970" t="s">
        <v>386</v>
      </c>
      <c r="C60" s="970"/>
      <c r="D60" s="789"/>
      <c r="E60" s="765"/>
      <c r="F60" s="777"/>
    </row>
    <row r="61" spans="1:6" ht="12" hidden="1" customHeight="1">
      <c r="A61" s="186" t="s">
        <v>400</v>
      </c>
      <c r="B61" s="976" t="s">
        <v>401</v>
      </c>
      <c r="C61" s="977"/>
      <c r="D61" s="787"/>
      <c r="E61" s="705"/>
      <c r="F61" s="794"/>
    </row>
    <row r="62" spans="1:6" ht="12" hidden="1" customHeight="1">
      <c r="A62" s="12" t="s">
        <v>701</v>
      </c>
      <c r="B62" s="970" t="s">
        <v>160</v>
      </c>
      <c r="C62" s="970"/>
      <c r="D62" s="787"/>
      <c r="E62" s="705"/>
      <c r="F62" s="794"/>
    </row>
    <row r="63" spans="1:6" ht="12" customHeight="1">
      <c r="A63" s="15" t="s">
        <v>135</v>
      </c>
      <c r="B63" s="974" t="s">
        <v>159</v>
      </c>
      <c r="C63" s="974"/>
      <c r="D63" s="783"/>
      <c r="E63" s="702"/>
      <c r="F63" s="795"/>
    </row>
    <row r="64" spans="1:6" ht="12" customHeight="1" thickBot="1">
      <c r="A64" s="51"/>
      <c r="B64" s="52"/>
      <c r="C64" s="52"/>
      <c r="D64" s="796"/>
      <c r="E64" s="763"/>
      <c r="F64" s="797"/>
    </row>
    <row r="65" spans="1:6" ht="12" customHeight="1" thickBot="1">
      <c r="A65" s="54" t="s">
        <v>136</v>
      </c>
      <c r="B65" s="975" t="s">
        <v>158</v>
      </c>
      <c r="C65" s="975"/>
      <c r="D65" s="798">
        <v>50801</v>
      </c>
      <c r="E65" s="760">
        <f t="shared" ref="E65:F65" si="10">+E63+E58+E52+E43+E35+E9+E7</f>
        <v>822</v>
      </c>
      <c r="F65" s="799">
        <f t="shared" si="10"/>
        <v>51623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88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2016.
Önkormányzati jogalkotás kormányzati funkció&amp;R&amp;"Times New Roman,Félkövér"&amp;12 
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J66"/>
  <sheetViews>
    <sheetView workbookViewId="0">
      <pane xSplit="3" ySplit="4" topLeftCell="D2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Z48" sqref="Z48"/>
    </sheetView>
  </sheetViews>
  <sheetFormatPr defaultColWidth="9.109375" defaultRowHeight="13.2"/>
  <cols>
    <col min="1" max="1" width="8.109375" style="442" customWidth="1"/>
    <col min="2" max="2" width="7.109375" style="28" customWidth="1"/>
    <col min="3" max="3" width="31" style="28" customWidth="1"/>
    <col min="4" max="4" width="8.109375" style="19" customWidth="1"/>
    <col min="5" max="5" width="8.44140625" style="19" customWidth="1"/>
    <col min="6" max="6" width="8.109375" style="19" customWidth="1"/>
    <col min="7" max="7" width="7.5546875" style="19" customWidth="1"/>
    <col min="8" max="8" width="7.109375" style="19" customWidth="1"/>
    <col min="9" max="9" width="8.109375" style="19" customWidth="1"/>
    <col min="10" max="10" width="7.88671875" style="19" customWidth="1"/>
    <col min="11" max="11" width="7.6640625" style="19" customWidth="1"/>
    <col min="12" max="13" width="7.88671875" style="19" customWidth="1"/>
    <col min="14" max="14" width="7.6640625" style="19" customWidth="1"/>
    <col min="15" max="15" width="7.88671875" style="19" customWidth="1"/>
    <col min="16" max="16" width="7.109375" style="19" customWidth="1"/>
    <col min="17" max="17" width="8" style="19" customWidth="1"/>
    <col min="18" max="18" width="7.5546875" style="19" customWidth="1"/>
    <col min="19" max="19" width="7.109375" style="19" customWidth="1"/>
    <col min="20" max="20" width="8" style="19" customWidth="1"/>
    <col min="21" max="21" width="7.5546875" style="19" customWidth="1"/>
    <col min="22" max="22" width="7.109375" style="19" customWidth="1"/>
    <col min="23" max="23" width="8" style="19" customWidth="1"/>
    <col min="24" max="24" width="7.5546875" style="19" customWidth="1"/>
    <col min="25" max="25" width="7.109375" style="19" customWidth="1"/>
    <col min="26" max="26" width="8" style="19" customWidth="1"/>
    <col min="27" max="27" width="7.5546875" style="19" customWidth="1"/>
    <col min="28" max="28" width="7.109375" style="19" customWidth="1"/>
    <col min="29" max="29" width="8" style="19" customWidth="1"/>
    <col min="30" max="30" width="7.5546875" style="19" customWidth="1"/>
    <col min="31" max="31" width="8" style="19" customWidth="1"/>
    <col min="32" max="32" width="7.88671875" style="19" customWidth="1"/>
    <col min="33" max="33" width="7.33203125" style="19" customWidth="1"/>
    <col min="34" max="34" width="8" style="19" customWidth="1"/>
    <col min="35" max="35" width="7.88671875" style="19" customWidth="1"/>
    <col min="36" max="36" width="7.33203125" style="19" customWidth="1"/>
    <col min="37" max="16384" width="9.109375" style="19"/>
  </cols>
  <sheetData>
    <row r="1" spans="1:36" s="1" customFormat="1" ht="13.2" customHeight="1">
      <c r="A1" s="442"/>
      <c r="B1" s="28"/>
      <c r="C1" s="28"/>
      <c r="AE1" s="990"/>
      <c r="AF1" s="990"/>
      <c r="AG1" s="990"/>
      <c r="AH1" s="990" t="s">
        <v>399</v>
      </c>
      <c r="AI1" s="990"/>
      <c r="AJ1" s="990"/>
    </row>
    <row r="2" spans="1:36" s="34" customFormat="1" ht="28.5" customHeight="1">
      <c r="A2" s="971" t="s">
        <v>0</v>
      </c>
      <c r="B2" s="971" t="s">
        <v>180</v>
      </c>
      <c r="C2" s="971"/>
      <c r="D2" s="989" t="s">
        <v>178</v>
      </c>
      <c r="E2" s="989"/>
      <c r="F2" s="989"/>
      <c r="G2" s="989" t="s">
        <v>595</v>
      </c>
      <c r="H2" s="989"/>
      <c r="I2" s="989"/>
      <c r="J2" s="986" t="s">
        <v>177</v>
      </c>
      <c r="K2" s="987"/>
      <c r="L2" s="988"/>
      <c r="M2" s="989" t="s">
        <v>738</v>
      </c>
      <c r="N2" s="989"/>
      <c r="O2" s="989"/>
      <c r="P2" s="989" t="s">
        <v>822</v>
      </c>
      <c r="Q2" s="989"/>
      <c r="R2" s="989"/>
      <c r="S2" s="989" t="s">
        <v>739</v>
      </c>
      <c r="T2" s="989"/>
      <c r="U2" s="989"/>
      <c r="V2" s="989" t="s">
        <v>825</v>
      </c>
      <c r="W2" s="989"/>
      <c r="X2" s="989"/>
      <c r="Y2" s="989" t="s">
        <v>826</v>
      </c>
      <c r="Z2" s="989"/>
      <c r="AA2" s="989"/>
      <c r="AB2" s="991" t="s">
        <v>190</v>
      </c>
      <c r="AC2" s="992"/>
      <c r="AD2" s="993"/>
      <c r="AE2" s="991" t="s">
        <v>524</v>
      </c>
      <c r="AF2" s="992"/>
      <c r="AG2" s="993"/>
      <c r="AH2" s="991" t="s">
        <v>1003</v>
      </c>
      <c r="AI2" s="992"/>
      <c r="AJ2" s="993"/>
    </row>
    <row r="3" spans="1:36" s="34" customFormat="1" ht="12.75" customHeight="1">
      <c r="A3" s="971"/>
      <c r="B3" s="971"/>
      <c r="C3" s="971"/>
      <c r="D3" s="989"/>
      <c r="E3" s="989"/>
      <c r="F3" s="989"/>
      <c r="G3" s="989" t="s">
        <v>187</v>
      </c>
      <c r="H3" s="989"/>
      <c r="I3" s="989"/>
      <c r="J3" s="989" t="s">
        <v>187</v>
      </c>
      <c r="K3" s="989"/>
      <c r="L3" s="989"/>
      <c r="M3" s="989" t="s">
        <v>187</v>
      </c>
      <c r="N3" s="989"/>
      <c r="O3" s="989"/>
      <c r="P3" s="989" t="s">
        <v>187</v>
      </c>
      <c r="Q3" s="989"/>
      <c r="R3" s="989"/>
      <c r="S3" s="989" t="s">
        <v>187</v>
      </c>
      <c r="T3" s="989"/>
      <c r="U3" s="989"/>
      <c r="V3" s="989" t="s">
        <v>187</v>
      </c>
      <c r="W3" s="989"/>
      <c r="X3" s="989"/>
      <c r="Y3" s="989" t="s">
        <v>187</v>
      </c>
      <c r="Z3" s="989"/>
      <c r="AA3" s="989"/>
      <c r="AB3" s="989" t="s">
        <v>187</v>
      </c>
      <c r="AC3" s="989"/>
      <c r="AD3" s="989"/>
      <c r="AE3" s="989" t="s">
        <v>187</v>
      </c>
      <c r="AF3" s="989"/>
      <c r="AG3" s="989"/>
      <c r="AH3" s="989" t="s">
        <v>187</v>
      </c>
      <c r="AI3" s="989"/>
      <c r="AJ3" s="989"/>
    </row>
    <row r="4" spans="1:36" s="18" customFormat="1" ht="26.4">
      <c r="A4" s="971"/>
      <c r="B4" s="971"/>
      <c r="C4" s="971"/>
      <c r="D4" s="828" t="s">
        <v>870</v>
      </c>
      <c r="E4" s="619" t="s">
        <v>732</v>
      </c>
      <c r="F4" s="828" t="s">
        <v>947</v>
      </c>
      <c r="G4" s="828" t="s">
        <v>870</v>
      </c>
      <c r="H4" s="828" t="s">
        <v>732</v>
      </c>
      <c r="I4" s="828" t="s">
        <v>947</v>
      </c>
      <c r="J4" s="828" t="s">
        <v>870</v>
      </c>
      <c r="K4" s="828" t="s">
        <v>732</v>
      </c>
      <c r="L4" s="828" t="s">
        <v>947</v>
      </c>
      <c r="M4" s="828" t="s">
        <v>870</v>
      </c>
      <c r="N4" s="828" t="s">
        <v>732</v>
      </c>
      <c r="O4" s="828" t="s">
        <v>947</v>
      </c>
      <c r="P4" s="828" t="s">
        <v>870</v>
      </c>
      <c r="Q4" s="828" t="s">
        <v>732</v>
      </c>
      <c r="R4" s="828" t="s">
        <v>947</v>
      </c>
      <c r="S4" s="828" t="s">
        <v>870</v>
      </c>
      <c r="T4" s="828" t="s">
        <v>732</v>
      </c>
      <c r="U4" s="828" t="s">
        <v>947</v>
      </c>
      <c r="V4" s="828" t="s">
        <v>870</v>
      </c>
      <c r="W4" s="828" t="s">
        <v>732</v>
      </c>
      <c r="X4" s="828" t="s">
        <v>947</v>
      </c>
      <c r="Y4" s="828" t="s">
        <v>870</v>
      </c>
      <c r="Z4" s="828" t="s">
        <v>732</v>
      </c>
      <c r="AA4" s="828" t="s">
        <v>947</v>
      </c>
      <c r="AB4" s="828" t="s">
        <v>870</v>
      </c>
      <c r="AC4" s="828" t="s">
        <v>732</v>
      </c>
      <c r="AD4" s="828" t="s">
        <v>947</v>
      </c>
      <c r="AE4" s="828" t="s">
        <v>870</v>
      </c>
      <c r="AF4" s="828" t="s">
        <v>732</v>
      </c>
      <c r="AG4" s="828" t="s">
        <v>947</v>
      </c>
      <c r="AH4" s="847" t="s">
        <v>870</v>
      </c>
      <c r="AI4" s="847" t="s">
        <v>732</v>
      </c>
      <c r="AJ4" s="847" t="s">
        <v>947</v>
      </c>
    </row>
    <row r="5" spans="1:36" s="47" customFormat="1" ht="12.75" customHeight="1">
      <c r="A5" s="5" t="s">
        <v>27</v>
      </c>
      <c r="B5" s="972" t="s">
        <v>175</v>
      </c>
      <c r="C5" s="972"/>
      <c r="D5" s="105">
        <f t="shared" ref="D5:D9" si="0">+G5+M5+Y5+AE5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>
        <f>+Y5+Z5</f>
        <v>0</v>
      </c>
      <c r="AB5" s="62"/>
      <c r="AC5" s="62"/>
      <c r="AD5" s="62"/>
      <c r="AE5" s="62"/>
      <c r="AF5" s="62"/>
      <c r="AG5" s="62"/>
      <c r="AH5" s="62"/>
      <c r="AI5" s="62"/>
      <c r="AJ5" s="62"/>
    </row>
    <row r="6" spans="1:36" s="47" customFormat="1" ht="12.75" customHeight="1">
      <c r="A6" s="5" t="s">
        <v>34</v>
      </c>
      <c r="B6" s="972" t="s">
        <v>174</v>
      </c>
      <c r="C6" s="972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>
        <f t="shared" ref="AA6:AA9" si="1">+Y6+Z6</f>
        <v>0</v>
      </c>
      <c r="AB6" s="62"/>
      <c r="AC6" s="62"/>
      <c r="AD6" s="62"/>
      <c r="AE6" s="62"/>
      <c r="AF6" s="62"/>
      <c r="AG6" s="62"/>
      <c r="AH6" s="62"/>
      <c r="AI6" s="62"/>
      <c r="AJ6" s="62"/>
    </row>
    <row r="7" spans="1:36" s="47" customFormat="1" ht="12.75" customHeight="1">
      <c r="A7" s="6" t="s">
        <v>35</v>
      </c>
      <c r="B7" s="969" t="s">
        <v>173</v>
      </c>
      <c r="C7" s="969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62">
        <f t="shared" si="1"/>
        <v>0</v>
      </c>
      <c r="AB7" s="59"/>
      <c r="AC7" s="59"/>
      <c r="AD7" s="59"/>
      <c r="AE7" s="59"/>
      <c r="AF7" s="59"/>
      <c r="AG7" s="59"/>
      <c r="AH7" s="59"/>
      <c r="AI7" s="59"/>
      <c r="AJ7" s="59"/>
    </row>
    <row r="8" spans="1:36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2"/>
      <c r="N8" s="31"/>
      <c r="O8" s="32"/>
      <c r="P8" s="31"/>
      <c r="Q8" s="31"/>
      <c r="R8" s="32"/>
      <c r="S8" s="31"/>
      <c r="T8" s="31"/>
      <c r="U8" s="32"/>
      <c r="V8" s="31"/>
      <c r="W8" s="31"/>
      <c r="X8" s="32"/>
      <c r="Y8" s="32"/>
      <c r="Z8" s="31"/>
      <c r="AA8" s="62">
        <f t="shared" si="1"/>
        <v>0</v>
      </c>
      <c r="AB8" s="31"/>
      <c r="AC8" s="31"/>
      <c r="AD8" s="32"/>
      <c r="AE8" s="31"/>
      <c r="AF8" s="31"/>
      <c r="AG8" s="31"/>
      <c r="AH8" s="31"/>
      <c r="AI8" s="31"/>
      <c r="AJ8" s="31"/>
    </row>
    <row r="9" spans="1:36" s="47" customFormat="1" ht="12.75" customHeight="1">
      <c r="A9" s="5" t="s">
        <v>36</v>
      </c>
      <c r="B9" s="972" t="s">
        <v>172</v>
      </c>
      <c r="C9" s="972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62">
        <f t="shared" si="1"/>
        <v>0</v>
      </c>
      <c r="AB9" s="58"/>
      <c r="AC9" s="58"/>
      <c r="AD9" s="58"/>
      <c r="AE9" s="58"/>
      <c r="AF9" s="58"/>
      <c r="AG9" s="58"/>
      <c r="AH9" s="58"/>
      <c r="AI9" s="58"/>
      <c r="AJ9" s="58"/>
    </row>
    <row r="10" spans="1:36" ht="11.25" customHeight="1">
      <c r="A10" s="186"/>
      <c r="B10" s="26"/>
      <c r="C10" s="11"/>
      <c r="D10" s="323"/>
      <c r="E10" s="31"/>
      <c r="F10" s="32"/>
      <c r="G10" s="31"/>
      <c r="H10" s="31"/>
      <c r="I10" s="32"/>
      <c r="J10" s="31"/>
      <c r="K10" s="31"/>
      <c r="L10" s="32"/>
      <c r="M10" s="32"/>
      <c r="N10" s="31"/>
      <c r="O10" s="32"/>
      <c r="P10" s="31"/>
      <c r="Q10" s="31"/>
      <c r="R10" s="32"/>
      <c r="S10" s="31"/>
      <c r="T10" s="31"/>
      <c r="U10" s="32"/>
      <c r="V10" s="31"/>
      <c r="W10" s="31"/>
      <c r="X10" s="32"/>
      <c r="Y10" s="32"/>
      <c r="Z10" s="31"/>
      <c r="AA10" s="32"/>
      <c r="AB10" s="31"/>
      <c r="AC10" s="31"/>
      <c r="AD10" s="32"/>
      <c r="AE10" s="31"/>
      <c r="AF10" s="31"/>
      <c r="AG10" s="31"/>
      <c r="AH10" s="31"/>
      <c r="AI10" s="31"/>
      <c r="AJ10" s="31"/>
    </row>
    <row r="11" spans="1:36" ht="12.75" hidden="1" customHeight="1">
      <c r="A11" s="12" t="s">
        <v>43</v>
      </c>
      <c r="B11" s="970" t="s">
        <v>42</v>
      </c>
      <c r="C11" s="970"/>
      <c r="D11" s="29">
        <f t="shared" ref="D11:D28" si="2">+G11+M11+Y11+AE11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</row>
    <row r="12" spans="1:36" ht="12.75" hidden="1" customHeight="1">
      <c r="A12" s="3" t="s">
        <v>45</v>
      </c>
      <c r="B12" s="973" t="s">
        <v>44</v>
      </c>
      <c r="C12" s="973"/>
      <c r="D12" s="29">
        <f t="shared" si="2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</row>
    <row r="13" spans="1:36" ht="12.75" hidden="1" customHeight="1">
      <c r="A13" s="3" t="s">
        <v>47</v>
      </c>
      <c r="B13" s="973" t="s">
        <v>46</v>
      </c>
      <c r="C13" s="973"/>
      <c r="D13" s="29">
        <f t="shared" si="2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6" s="47" customFormat="1" ht="12.75" customHeight="1">
      <c r="A14" s="5" t="s">
        <v>48</v>
      </c>
      <c r="B14" s="972" t="s">
        <v>171</v>
      </c>
      <c r="C14" s="972"/>
      <c r="D14" s="105">
        <f t="shared" si="2"/>
        <v>0</v>
      </c>
      <c r="E14" s="62">
        <f>SUM(E11:E13)</f>
        <v>0</v>
      </c>
      <c r="F14" s="62">
        <f>SUM(F11:F13)</f>
        <v>0</v>
      </c>
      <c r="G14" s="62">
        <v>0</v>
      </c>
      <c r="H14" s="62">
        <f t="shared" ref="H14:Z14" si="3">SUM(H11:H13)</f>
        <v>0</v>
      </c>
      <c r="I14" s="62">
        <f t="shared" si="3"/>
        <v>0</v>
      </c>
      <c r="J14" s="62">
        <v>0</v>
      </c>
      <c r="K14" s="62">
        <f t="shared" ref="K14:L14" si="4">SUM(K11:K13)</f>
        <v>0</v>
      </c>
      <c r="L14" s="62">
        <f t="shared" si="4"/>
        <v>0</v>
      </c>
      <c r="M14" s="62">
        <v>0</v>
      </c>
      <c r="N14" s="62">
        <f t="shared" si="3"/>
        <v>0</v>
      </c>
      <c r="O14" s="62">
        <f t="shared" si="3"/>
        <v>0</v>
      </c>
      <c r="P14" s="62">
        <v>0</v>
      </c>
      <c r="Q14" s="62">
        <f t="shared" ref="Q14:X14" si="5">SUM(Q11:Q13)</f>
        <v>0</v>
      </c>
      <c r="R14" s="62">
        <f t="shared" si="5"/>
        <v>0</v>
      </c>
      <c r="S14" s="62">
        <v>0</v>
      </c>
      <c r="T14" s="62">
        <f t="shared" si="5"/>
        <v>0</v>
      </c>
      <c r="U14" s="62">
        <f t="shared" si="5"/>
        <v>0</v>
      </c>
      <c r="V14" s="62">
        <v>0</v>
      </c>
      <c r="W14" s="62">
        <f t="shared" si="5"/>
        <v>0</v>
      </c>
      <c r="X14" s="62">
        <f t="shared" si="5"/>
        <v>0</v>
      </c>
      <c r="Y14" s="62">
        <v>0</v>
      </c>
      <c r="Z14" s="62">
        <f t="shared" si="3"/>
        <v>0</v>
      </c>
      <c r="AA14" s="62">
        <f>+Y14+Z14</f>
        <v>0</v>
      </c>
      <c r="AB14" s="62">
        <v>0</v>
      </c>
      <c r="AC14" s="62">
        <f t="shared" ref="AC14:AD14" si="6">SUM(AC11:AC13)</f>
        <v>0</v>
      </c>
      <c r="AD14" s="62">
        <f t="shared" si="6"/>
        <v>0</v>
      </c>
      <c r="AE14" s="62">
        <v>0</v>
      </c>
      <c r="AF14" s="62">
        <f>SUM(AF11:AF13)</f>
        <v>0</v>
      </c>
      <c r="AG14" s="62">
        <f>SUM(AG11:AG13)</f>
        <v>0</v>
      </c>
      <c r="AH14" s="62">
        <v>0</v>
      </c>
      <c r="AI14" s="62">
        <f>SUM(AI11:AI13)</f>
        <v>0</v>
      </c>
      <c r="AJ14" s="62">
        <f>SUM(AJ11:AJ13)</f>
        <v>0</v>
      </c>
    </row>
    <row r="15" spans="1:36" ht="12.75" hidden="1" customHeight="1">
      <c r="A15" s="3" t="s">
        <v>50</v>
      </c>
      <c r="B15" s="973" t="s">
        <v>49</v>
      </c>
      <c r="C15" s="973"/>
      <c r="D15" s="29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62">
        <f t="shared" ref="AA15:AA35" si="7">+Y15+Z15</f>
        <v>0</v>
      </c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36" ht="12.75" hidden="1" customHeight="1">
      <c r="A16" s="3" t="s">
        <v>52</v>
      </c>
      <c r="B16" s="973" t="s">
        <v>51</v>
      </c>
      <c r="C16" s="973"/>
      <c r="D16" s="29">
        <f t="shared" si="2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62">
        <f t="shared" si="7"/>
        <v>0</v>
      </c>
      <c r="AB16" s="30"/>
      <c r="AC16" s="30"/>
      <c r="AD16" s="30"/>
      <c r="AE16" s="30"/>
      <c r="AF16" s="30"/>
      <c r="AG16" s="30"/>
      <c r="AH16" s="30"/>
      <c r="AI16" s="30"/>
      <c r="AJ16" s="30"/>
    </row>
    <row r="17" spans="1:36" s="47" customFormat="1" ht="12.75" customHeight="1">
      <c r="A17" s="5" t="s">
        <v>53</v>
      </c>
      <c r="B17" s="972" t="s">
        <v>170</v>
      </c>
      <c r="C17" s="972"/>
      <c r="D17" s="105">
        <f t="shared" si="2"/>
        <v>0</v>
      </c>
      <c r="E17" s="62">
        <f>+E15+E16</f>
        <v>0</v>
      </c>
      <c r="F17" s="62">
        <f>+F15+F16</f>
        <v>0</v>
      </c>
      <c r="G17" s="62">
        <v>0</v>
      </c>
      <c r="H17" s="62">
        <f t="shared" ref="H17:Z17" si="8">+H15+H16</f>
        <v>0</v>
      </c>
      <c r="I17" s="62">
        <f t="shared" si="8"/>
        <v>0</v>
      </c>
      <c r="J17" s="62">
        <v>0</v>
      </c>
      <c r="K17" s="62">
        <f t="shared" ref="K17:L17" si="9">+K15+K16</f>
        <v>0</v>
      </c>
      <c r="L17" s="62">
        <f t="shared" si="9"/>
        <v>0</v>
      </c>
      <c r="M17" s="62">
        <v>0</v>
      </c>
      <c r="N17" s="62">
        <f t="shared" si="8"/>
        <v>0</v>
      </c>
      <c r="O17" s="62">
        <f t="shared" si="8"/>
        <v>0</v>
      </c>
      <c r="P17" s="62">
        <v>0</v>
      </c>
      <c r="Q17" s="62">
        <f t="shared" ref="Q17:X17" si="10">+Q15+Q16</f>
        <v>0</v>
      </c>
      <c r="R17" s="62">
        <f t="shared" si="10"/>
        <v>0</v>
      </c>
      <c r="S17" s="62">
        <v>0</v>
      </c>
      <c r="T17" s="62">
        <f t="shared" si="10"/>
        <v>0</v>
      </c>
      <c r="U17" s="62">
        <f t="shared" si="10"/>
        <v>0</v>
      </c>
      <c r="V17" s="62">
        <v>0</v>
      </c>
      <c r="W17" s="62">
        <f t="shared" si="10"/>
        <v>0</v>
      </c>
      <c r="X17" s="62">
        <f t="shared" si="10"/>
        <v>0</v>
      </c>
      <c r="Y17" s="62">
        <v>0</v>
      </c>
      <c r="Z17" s="62">
        <f t="shared" si="8"/>
        <v>0</v>
      </c>
      <c r="AA17" s="62">
        <f t="shared" si="7"/>
        <v>0</v>
      </c>
      <c r="AB17" s="62">
        <v>0</v>
      </c>
      <c r="AC17" s="62">
        <f t="shared" ref="AC17:AD17" si="11">+AC15+AC16</f>
        <v>0</v>
      </c>
      <c r="AD17" s="62">
        <f t="shared" si="11"/>
        <v>0</v>
      </c>
      <c r="AE17" s="62">
        <v>0</v>
      </c>
      <c r="AF17" s="62">
        <f>+AF15+AF16</f>
        <v>0</v>
      </c>
      <c r="AG17" s="62">
        <f>+AG15+AG16</f>
        <v>0</v>
      </c>
      <c r="AH17" s="62">
        <v>0</v>
      </c>
      <c r="AI17" s="62">
        <f>+AI15+AI16</f>
        <v>0</v>
      </c>
      <c r="AJ17" s="62">
        <f>+AJ15+AJ16</f>
        <v>0</v>
      </c>
    </row>
    <row r="18" spans="1:36" ht="12.75" customHeight="1">
      <c r="A18" s="3" t="s">
        <v>55</v>
      </c>
      <c r="B18" s="973" t="s">
        <v>54</v>
      </c>
      <c r="C18" s="973"/>
      <c r="D18" s="29">
        <f>+G18+M18+Y18+AE18+P18+S18+V18+AB18</f>
        <v>0</v>
      </c>
      <c r="E18" s="29">
        <f t="shared" ref="E18:F18" si="12">+H18+N18+Z18+AF18+Q18+T18+W18+AC18</f>
        <v>0</v>
      </c>
      <c r="F18" s="29">
        <f t="shared" si="12"/>
        <v>0</v>
      </c>
      <c r="G18" s="30"/>
      <c r="H18" s="30"/>
      <c r="I18" s="30">
        <f>+G18+H18</f>
        <v>0</v>
      </c>
      <c r="J18" s="30"/>
      <c r="K18" s="30"/>
      <c r="L18" s="30"/>
      <c r="M18" s="30"/>
      <c r="N18" s="30"/>
      <c r="O18" s="30"/>
      <c r="P18" s="30"/>
      <c r="Q18" s="30"/>
      <c r="R18" s="30">
        <f>+P18+Q18</f>
        <v>0</v>
      </c>
      <c r="S18" s="30"/>
      <c r="T18" s="30"/>
      <c r="U18" s="30"/>
      <c r="V18" s="30"/>
      <c r="W18" s="30"/>
      <c r="X18" s="30"/>
      <c r="Y18" s="30"/>
      <c r="Z18" s="30"/>
      <c r="AA18" s="62">
        <f t="shared" si="7"/>
        <v>0</v>
      </c>
      <c r="AB18" s="30"/>
      <c r="AC18" s="30"/>
      <c r="AD18" s="30">
        <f>+AB18+AC18</f>
        <v>0</v>
      </c>
      <c r="AE18" s="30"/>
      <c r="AF18" s="30"/>
      <c r="AG18" s="30"/>
      <c r="AH18" s="30"/>
      <c r="AI18" s="30"/>
      <c r="AJ18" s="30"/>
    </row>
    <row r="19" spans="1:36" ht="12.75" customHeight="1">
      <c r="A19" s="3" t="s">
        <v>57</v>
      </c>
      <c r="B19" s="973" t="s">
        <v>56</v>
      </c>
      <c r="C19" s="973"/>
      <c r="D19" s="29">
        <f t="shared" ref="D19:D24" si="13">+G19+M19+Y19+AE19+P19+S19+V19+AB19</f>
        <v>0</v>
      </c>
      <c r="E19" s="29">
        <f t="shared" ref="E19:E24" si="14">+H19+N19+Z19+AF19+Q19+T19+W19+AC19</f>
        <v>0</v>
      </c>
      <c r="F19" s="29">
        <f t="shared" ref="F19:F24" si="15">+I19+O19+AA19+AG19+R19+U19+X19+AD19</f>
        <v>0</v>
      </c>
      <c r="G19" s="30"/>
      <c r="H19" s="30"/>
      <c r="I19" s="30">
        <f t="shared" ref="I19:I24" si="16">+G19+H19</f>
        <v>0</v>
      </c>
      <c r="J19" s="30"/>
      <c r="K19" s="30"/>
      <c r="L19" s="30"/>
      <c r="M19" s="30"/>
      <c r="N19" s="30"/>
      <c r="O19" s="30"/>
      <c r="P19" s="30"/>
      <c r="Q19" s="30"/>
      <c r="R19" s="30">
        <f t="shared" ref="R19:R24" si="17">+P19+Q19</f>
        <v>0</v>
      </c>
      <c r="S19" s="30"/>
      <c r="T19" s="30"/>
      <c r="U19" s="30"/>
      <c r="V19" s="30"/>
      <c r="W19" s="30"/>
      <c r="X19" s="30"/>
      <c r="Y19" s="30"/>
      <c r="Z19" s="30"/>
      <c r="AA19" s="62">
        <f t="shared" si="7"/>
        <v>0</v>
      </c>
      <c r="AB19" s="30"/>
      <c r="AC19" s="30"/>
      <c r="AD19" s="30">
        <f t="shared" ref="AD19:AD24" si="18">+AB19+AC19</f>
        <v>0</v>
      </c>
      <c r="AE19" s="30"/>
      <c r="AF19" s="30"/>
      <c r="AG19" s="30"/>
      <c r="AH19" s="30"/>
      <c r="AI19" s="30"/>
      <c r="AJ19" s="30"/>
    </row>
    <row r="20" spans="1:36" ht="12.75" customHeight="1">
      <c r="A20" s="3" t="s">
        <v>58</v>
      </c>
      <c r="B20" s="973" t="s">
        <v>168</v>
      </c>
      <c r="C20" s="973"/>
      <c r="D20" s="29">
        <f t="shared" si="13"/>
        <v>0</v>
      </c>
      <c r="E20" s="29">
        <f t="shared" si="14"/>
        <v>0</v>
      </c>
      <c r="F20" s="29">
        <f t="shared" si="15"/>
        <v>0</v>
      </c>
      <c r="G20" s="30"/>
      <c r="H20" s="30"/>
      <c r="I20" s="30">
        <f t="shared" si="16"/>
        <v>0</v>
      </c>
      <c r="J20" s="30"/>
      <c r="K20" s="30"/>
      <c r="L20" s="30"/>
      <c r="M20" s="30"/>
      <c r="N20" s="30"/>
      <c r="O20" s="30"/>
      <c r="P20" s="30"/>
      <c r="Q20" s="30"/>
      <c r="R20" s="30">
        <f t="shared" si="17"/>
        <v>0</v>
      </c>
      <c r="S20" s="30"/>
      <c r="T20" s="30"/>
      <c r="U20" s="30"/>
      <c r="V20" s="30"/>
      <c r="W20" s="30"/>
      <c r="X20" s="30"/>
      <c r="Y20" s="30"/>
      <c r="Z20" s="30"/>
      <c r="AA20" s="62">
        <f t="shared" si="7"/>
        <v>0</v>
      </c>
      <c r="AB20" s="30"/>
      <c r="AC20" s="30"/>
      <c r="AD20" s="30">
        <f t="shared" si="18"/>
        <v>0</v>
      </c>
      <c r="AE20" s="30"/>
      <c r="AF20" s="30"/>
      <c r="AG20" s="30"/>
      <c r="AH20" s="30"/>
      <c r="AI20" s="30"/>
      <c r="AJ20" s="30"/>
    </row>
    <row r="21" spans="1:36" ht="12.75" customHeight="1">
      <c r="A21" s="3" t="s">
        <v>60</v>
      </c>
      <c r="B21" s="973" t="s">
        <v>59</v>
      </c>
      <c r="C21" s="973"/>
      <c r="D21" s="29">
        <f t="shared" si="13"/>
        <v>0</v>
      </c>
      <c r="E21" s="29">
        <f t="shared" si="14"/>
        <v>4157</v>
      </c>
      <c r="F21" s="29">
        <f t="shared" si="15"/>
        <v>4157</v>
      </c>
      <c r="G21" s="30"/>
      <c r="H21" s="30"/>
      <c r="I21" s="30">
        <f t="shared" si="16"/>
        <v>0</v>
      </c>
      <c r="J21" s="30"/>
      <c r="K21" s="30"/>
      <c r="L21" s="30"/>
      <c r="M21" s="30"/>
      <c r="N21" s="30"/>
      <c r="O21" s="30"/>
      <c r="P21" s="30"/>
      <c r="Q21" s="30">
        <v>1103</v>
      </c>
      <c r="R21" s="30">
        <f t="shared" si="17"/>
        <v>1103</v>
      </c>
      <c r="S21" s="30"/>
      <c r="T21" s="30"/>
      <c r="U21" s="30"/>
      <c r="V21" s="30"/>
      <c r="W21" s="30"/>
      <c r="X21" s="30"/>
      <c r="Y21" s="30"/>
      <c r="Z21" s="30">
        <v>262</v>
      </c>
      <c r="AA21" s="62">
        <f t="shared" si="7"/>
        <v>262</v>
      </c>
      <c r="AB21" s="30"/>
      <c r="AC21" s="30">
        <v>2792</v>
      </c>
      <c r="AD21" s="30">
        <f t="shared" si="18"/>
        <v>2792</v>
      </c>
      <c r="AE21" s="30"/>
      <c r="AF21" s="30"/>
      <c r="AG21" s="30"/>
      <c r="AH21" s="30"/>
      <c r="AI21" s="30"/>
      <c r="AJ21" s="30"/>
    </row>
    <row r="22" spans="1:36" ht="12.75" customHeight="1">
      <c r="A22" s="3" t="s">
        <v>61</v>
      </c>
      <c r="B22" s="985" t="s">
        <v>167</v>
      </c>
      <c r="C22" s="985"/>
      <c r="D22" s="29">
        <f t="shared" si="13"/>
        <v>0</v>
      </c>
      <c r="E22" s="29">
        <f t="shared" si="14"/>
        <v>0</v>
      </c>
      <c r="F22" s="29">
        <f t="shared" si="15"/>
        <v>0</v>
      </c>
      <c r="G22" s="30"/>
      <c r="H22" s="30"/>
      <c r="I22" s="30">
        <f t="shared" si="16"/>
        <v>0</v>
      </c>
      <c r="J22" s="30"/>
      <c r="K22" s="30"/>
      <c r="L22" s="30"/>
      <c r="M22" s="30"/>
      <c r="N22" s="30"/>
      <c r="O22" s="30"/>
      <c r="P22" s="30"/>
      <c r="Q22" s="30"/>
      <c r="R22" s="30">
        <f t="shared" si="17"/>
        <v>0</v>
      </c>
      <c r="S22" s="30"/>
      <c r="T22" s="30"/>
      <c r="U22" s="30"/>
      <c r="V22" s="30"/>
      <c r="W22" s="30"/>
      <c r="X22" s="30"/>
      <c r="Y22" s="30"/>
      <c r="Z22" s="30"/>
      <c r="AA22" s="62">
        <f t="shared" si="7"/>
        <v>0</v>
      </c>
      <c r="AB22" s="30"/>
      <c r="AC22" s="30"/>
      <c r="AD22" s="30">
        <f t="shared" si="18"/>
        <v>0</v>
      </c>
      <c r="AE22" s="30"/>
      <c r="AF22" s="30"/>
      <c r="AG22" s="30"/>
      <c r="AH22" s="30"/>
      <c r="AI22" s="30"/>
      <c r="AJ22" s="30"/>
    </row>
    <row r="23" spans="1:36" ht="12.75" customHeight="1">
      <c r="A23" s="3" t="s">
        <v>64</v>
      </c>
      <c r="B23" s="970" t="s">
        <v>63</v>
      </c>
      <c r="C23" s="970"/>
      <c r="D23" s="29">
        <f t="shared" si="13"/>
        <v>0</v>
      </c>
      <c r="E23" s="29">
        <f t="shared" si="14"/>
        <v>0</v>
      </c>
      <c r="F23" s="29">
        <f t="shared" si="15"/>
        <v>0</v>
      </c>
      <c r="G23" s="30"/>
      <c r="H23" s="30"/>
      <c r="I23" s="30">
        <f t="shared" si="16"/>
        <v>0</v>
      </c>
      <c r="J23" s="30"/>
      <c r="K23" s="30"/>
      <c r="L23" s="30"/>
      <c r="M23" s="30"/>
      <c r="N23" s="30"/>
      <c r="O23" s="30"/>
      <c r="P23" s="30"/>
      <c r="Q23" s="30"/>
      <c r="R23" s="30">
        <f t="shared" si="17"/>
        <v>0</v>
      </c>
      <c r="S23" s="30"/>
      <c r="T23" s="30"/>
      <c r="U23" s="30"/>
      <c r="V23" s="30"/>
      <c r="W23" s="30"/>
      <c r="X23" s="30"/>
      <c r="Y23" s="30"/>
      <c r="Z23" s="30"/>
      <c r="AA23" s="62">
        <f t="shared" si="7"/>
        <v>0</v>
      </c>
      <c r="AB23" s="30"/>
      <c r="AC23" s="30"/>
      <c r="AD23" s="30">
        <f t="shared" si="18"/>
        <v>0</v>
      </c>
      <c r="AE23" s="30"/>
      <c r="AF23" s="30"/>
      <c r="AG23" s="30"/>
      <c r="AH23" s="30"/>
      <c r="AI23" s="30"/>
      <c r="AJ23" s="30"/>
    </row>
    <row r="24" spans="1:36" ht="12.75" customHeight="1">
      <c r="A24" s="3" t="s">
        <v>66</v>
      </c>
      <c r="B24" s="973" t="s">
        <v>65</v>
      </c>
      <c r="C24" s="973"/>
      <c r="D24" s="29">
        <f t="shared" si="13"/>
        <v>0</v>
      </c>
      <c r="E24" s="29">
        <f t="shared" si="14"/>
        <v>113</v>
      </c>
      <c r="F24" s="29">
        <f t="shared" si="15"/>
        <v>113</v>
      </c>
      <c r="G24" s="30"/>
      <c r="H24" s="30">
        <v>113</v>
      </c>
      <c r="I24" s="30">
        <f t="shared" si="16"/>
        <v>113</v>
      </c>
      <c r="J24" s="30"/>
      <c r="K24" s="30"/>
      <c r="L24" s="30"/>
      <c r="M24" s="30"/>
      <c r="N24" s="30"/>
      <c r="O24" s="30"/>
      <c r="P24" s="30"/>
      <c r="Q24" s="30"/>
      <c r="R24" s="30">
        <f t="shared" si="17"/>
        <v>0</v>
      </c>
      <c r="S24" s="30"/>
      <c r="T24" s="30"/>
      <c r="U24" s="30"/>
      <c r="V24" s="30"/>
      <c r="W24" s="30"/>
      <c r="X24" s="30"/>
      <c r="Y24" s="30"/>
      <c r="Z24" s="30"/>
      <c r="AA24" s="62">
        <f t="shared" si="7"/>
        <v>0</v>
      </c>
      <c r="AB24" s="30"/>
      <c r="AC24" s="30"/>
      <c r="AD24" s="30">
        <f t="shared" si="18"/>
        <v>0</v>
      </c>
      <c r="AE24" s="30"/>
      <c r="AF24" s="30"/>
      <c r="AG24" s="30"/>
      <c r="AH24" s="30"/>
      <c r="AI24" s="30"/>
      <c r="AJ24" s="30"/>
    </row>
    <row r="25" spans="1:36" s="47" customFormat="1" ht="12.75" customHeight="1">
      <c r="A25" s="5" t="s">
        <v>67</v>
      </c>
      <c r="B25" s="972" t="s">
        <v>157</v>
      </c>
      <c r="C25" s="972"/>
      <c r="D25" s="105">
        <f t="shared" si="2"/>
        <v>0</v>
      </c>
      <c r="E25" s="62">
        <f t="shared" ref="E25:AG25" si="19">+E24+E23+E22+E21+E20+E19+E18</f>
        <v>4270</v>
      </c>
      <c r="F25" s="62">
        <f t="shared" si="19"/>
        <v>4270</v>
      </c>
      <c r="G25" s="62">
        <v>0</v>
      </c>
      <c r="H25" s="62">
        <f t="shared" si="19"/>
        <v>113</v>
      </c>
      <c r="I25" s="62">
        <f t="shared" si="19"/>
        <v>113</v>
      </c>
      <c r="J25" s="62">
        <v>0</v>
      </c>
      <c r="K25" s="62">
        <f t="shared" ref="K25:L25" si="20">+K24+K23+K22+K21+K20+K19+K18</f>
        <v>0</v>
      </c>
      <c r="L25" s="62">
        <f t="shared" si="20"/>
        <v>0</v>
      </c>
      <c r="M25" s="62">
        <v>0</v>
      </c>
      <c r="N25" s="62">
        <f t="shared" si="19"/>
        <v>0</v>
      </c>
      <c r="O25" s="62">
        <f t="shared" si="19"/>
        <v>0</v>
      </c>
      <c r="P25" s="62">
        <v>0</v>
      </c>
      <c r="Q25" s="62">
        <f t="shared" ref="Q25:X25" si="21">+Q24+Q23+Q22+Q21+Q20+Q19+Q18</f>
        <v>1103</v>
      </c>
      <c r="R25" s="62">
        <f t="shared" si="21"/>
        <v>1103</v>
      </c>
      <c r="S25" s="62">
        <v>0</v>
      </c>
      <c r="T25" s="62">
        <f t="shared" si="21"/>
        <v>0</v>
      </c>
      <c r="U25" s="62">
        <f t="shared" si="21"/>
        <v>0</v>
      </c>
      <c r="V25" s="62">
        <v>0</v>
      </c>
      <c r="W25" s="62">
        <f t="shared" si="21"/>
        <v>0</v>
      </c>
      <c r="X25" s="62">
        <f t="shared" si="21"/>
        <v>0</v>
      </c>
      <c r="Y25" s="62">
        <v>0</v>
      </c>
      <c r="Z25" s="62">
        <f t="shared" si="19"/>
        <v>262</v>
      </c>
      <c r="AA25" s="62">
        <f t="shared" si="7"/>
        <v>262</v>
      </c>
      <c r="AB25" s="62">
        <v>0</v>
      </c>
      <c r="AC25" s="62">
        <f t="shared" ref="AC25:AD25" si="22">+AC24+AC23+AC22+AC21+AC20+AC19+AC18</f>
        <v>2792</v>
      </c>
      <c r="AD25" s="62">
        <f t="shared" si="22"/>
        <v>2792</v>
      </c>
      <c r="AE25" s="62">
        <v>0</v>
      </c>
      <c r="AF25" s="62">
        <f t="shared" si="19"/>
        <v>0</v>
      </c>
      <c r="AG25" s="62">
        <f t="shared" si="19"/>
        <v>0</v>
      </c>
      <c r="AH25" s="62">
        <v>0</v>
      </c>
      <c r="AI25" s="62">
        <f t="shared" ref="AI25:AJ25" si="23">+AI24+AI23+AI22+AI21+AI20+AI19+AI18</f>
        <v>0</v>
      </c>
      <c r="AJ25" s="62">
        <f t="shared" si="23"/>
        <v>0</v>
      </c>
    </row>
    <row r="26" spans="1:36" ht="12.75" hidden="1" customHeight="1">
      <c r="A26" s="3" t="s">
        <v>69</v>
      </c>
      <c r="B26" s="973" t="s">
        <v>68</v>
      </c>
      <c r="C26" s="973"/>
      <c r="D26" s="29">
        <f t="shared" si="2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62">
        <f t="shared" si="7"/>
        <v>0</v>
      </c>
      <c r="AB26" s="30"/>
      <c r="AC26" s="30"/>
      <c r="AD26" s="30"/>
      <c r="AE26" s="30"/>
      <c r="AF26" s="30"/>
      <c r="AG26" s="30"/>
      <c r="AH26" s="30"/>
      <c r="AI26" s="30"/>
      <c r="AJ26" s="30"/>
    </row>
    <row r="27" spans="1:36" ht="12.75" hidden="1" customHeight="1">
      <c r="A27" s="3" t="s">
        <v>71</v>
      </c>
      <c r="B27" s="973" t="s">
        <v>70</v>
      </c>
      <c r="C27" s="973"/>
      <c r="D27" s="29">
        <f t="shared" si="2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62">
        <f t="shared" si="7"/>
        <v>0</v>
      </c>
      <c r="AB27" s="30"/>
      <c r="AC27" s="30"/>
      <c r="AD27" s="30"/>
      <c r="AE27" s="30"/>
      <c r="AF27" s="30"/>
      <c r="AG27" s="30"/>
      <c r="AH27" s="30"/>
      <c r="AI27" s="30"/>
      <c r="AJ27" s="30"/>
    </row>
    <row r="28" spans="1:36" s="47" customFormat="1" ht="12.75" customHeight="1">
      <c r="A28" s="5" t="s">
        <v>72</v>
      </c>
      <c r="B28" s="972" t="s">
        <v>156</v>
      </c>
      <c r="C28" s="972"/>
      <c r="D28" s="105">
        <f t="shared" si="2"/>
        <v>0</v>
      </c>
      <c r="E28" s="62"/>
      <c r="F28" s="62"/>
      <c r="G28" s="62">
        <v>0</v>
      </c>
      <c r="H28" s="62">
        <f t="shared" ref="H28:Z28" si="24">SUM(H26:H27)</f>
        <v>0</v>
      </c>
      <c r="I28" s="62">
        <f t="shared" si="24"/>
        <v>0</v>
      </c>
      <c r="J28" s="62">
        <v>0</v>
      </c>
      <c r="K28" s="62">
        <f t="shared" ref="K28:L28" si="25">SUM(K26:K27)</f>
        <v>0</v>
      </c>
      <c r="L28" s="62">
        <f t="shared" si="25"/>
        <v>0</v>
      </c>
      <c r="M28" s="62">
        <v>0</v>
      </c>
      <c r="N28" s="62">
        <f t="shared" si="24"/>
        <v>0</v>
      </c>
      <c r="O28" s="62">
        <f t="shared" si="24"/>
        <v>0</v>
      </c>
      <c r="P28" s="62">
        <v>0</v>
      </c>
      <c r="Q28" s="62">
        <f t="shared" ref="Q28:X28" si="26">SUM(Q26:Q27)</f>
        <v>0</v>
      </c>
      <c r="R28" s="62">
        <f t="shared" si="26"/>
        <v>0</v>
      </c>
      <c r="S28" s="62">
        <v>0</v>
      </c>
      <c r="T28" s="62">
        <f t="shared" si="26"/>
        <v>0</v>
      </c>
      <c r="U28" s="62">
        <f t="shared" si="26"/>
        <v>0</v>
      </c>
      <c r="V28" s="62">
        <v>0</v>
      </c>
      <c r="W28" s="62">
        <f t="shared" si="26"/>
        <v>0</v>
      </c>
      <c r="X28" s="62">
        <f t="shared" si="26"/>
        <v>0</v>
      </c>
      <c r="Y28" s="62">
        <v>0</v>
      </c>
      <c r="Z28" s="62">
        <f t="shared" si="24"/>
        <v>0</v>
      </c>
      <c r="AA28" s="62">
        <f t="shared" si="7"/>
        <v>0</v>
      </c>
      <c r="AB28" s="62">
        <v>0</v>
      </c>
      <c r="AC28" s="62">
        <f t="shared" ref="AC28:AD28" si="27">SUM(AC26:AC27)</f>
        <v>0</v>
      </c>
      <c r="AD28" s="62">
        <f t="shared" si="27"/>
        <v>0</v>
      </c>
      <c r="AE28" s="62">
        <v>0</v>
      </c>
      <c r="AF28" s="62">
        <f>SUM(AF26:AF27)</f>
        <v>0</v>
      </c>
      <c r="AG28" s="62">
        <f>SUM(AG26:AG27)</f>
        <v>0</v>
      </c>
      <c r="AH28" s="62">
        <v>0</v>
      </c>
      <c r="AI28" s="62">
        <f>SUM(AI26:AI27)</f>
        <v>0</v>
      </c>
      <c r="AJ28" s="62">
        <f>SUM(AJ26:AJ27)</f>
        <v>0</v>
      </c>
    </row>
    <row r="29" spans="1:36" ht="12.75" customHeight="1">
      <c r="A29" s="3" t="s">
        <v>74</v>
      </c>
      <c r="B29" s="973" t="s">
        <v>73</v>
      </c>
      <c r="C29" s="973"/>
      <c r="D29" s="29">
        <f>+G29+M29+Y29+AE29+P29+J29+S29+V29+AB29</f>
        <v>0</v>
      </c>
      <c r="E29" s="29">
        <f>+H29+N29+Z29+AF29+Q29+K29+T29+W29+AC29</f>
        <v>978</v>
      </c>
      <c r="F29" s="29">
        <f t="shared" ref="F29" si="28">+I29+O29+AA29+AG29+R29+L29+U29+X29+AD29</f>
        <v>978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>
        <v>297</v>
      </c>
      <c r="R29" s="30">
        <f>+P29+Q29</f>
        <v>297</v>
      </c>
      <c r="S29" s="30"/>
      <c r="T29" s="30"/>
      <c r="U29" s="30"/>
      <c r="V29" s="30"/>
      <c r="W29" s="30"/>
      <c r="X29" s="30"/>
      <c r="Y29" s="30"/>
      <c r="Z29" s="30">
        <v>71</v>
      </c>
      <c r="AA29" s="62">
        <f t="shared" si="7"/>
        <v>71</v>
      </c>
      <c r="AB29" s="30"/>
      <c r="AC29" s="30">
        <v>610</v>
      </c>
      <c r="AD29" s="30">
        <f>+AB29+AC29</f>
        <v>610</v>
      </c>
      <c r="AE29" s="30"/>
      <c r="AF29" s="30"/>
      <c r="AG29" s="30"/>
      <c r="AH29" s="30"/>
      <c r="AI29" s="30"/>
      <c r="AJ29" s="30"/>
    </row>
    <row r="30" spans="1:36" ht="12.75" customHeight="1">
      <c r="A30" s="3" t="s">
        <v>76</v>
      </c>
      <c r="B30" s="973" t="s">
        <v>75</v>
      </c>
      <c r="C30" s="973"/>
      <c r="D30" s="29">
        <f t="shared" ref="D30" si="29">+G30+M30+Y30+AE30+P30+J30+S30+V30+AB30</f>
        <v>13061</v>
      </c>
      <c r="E30" s="29">
        <f t="shared" ref="E30" si="30">+H30+N30+Z30+AF30+Q30+K30+T30+W30+AC30</f>
        <v>5407</v>
      </c>
      <c r="F30" s="29">
        <f t="shared" ref="F30" si="31">+I30+O30+AA30+AG30+R30+L30+U30+X30+AD30</f>
        <v>18468</v>
      </c>
      <c r="G30" s="30"/>
      <c r="H30" s="30"/>
      <c r="I30" s="30"/>
      <c r="J30" s="30"/>
      <c r="K30" s="30"/>
      <c r="L30" s="30"/>
      <c r="M30" s="30"/>
      <c r="N30" s="30"/>
      <c r="O30" s="30"/>
      <c r="P30" s="30">
        <v>2696</v>
      </c>
      <c r="Q30" s="30"/>
      <c r="R30" s="33">
        <f>+P30+Q30</f>
        <v>2696</v>
      </c>
      <c r="S30" s="30">
        <f>10365</f>
        <v>10365</v>
      </c>
      <c r="T30" s="30">
        <v>5407</v>
      </c>
      <c r="U30" s="30">
        <f>+S30+T30</f>
        <v>15772</v>
      </c>
      <c r="V30" s="30"/>
      <c r="W30" s="30"/>
      <c r="X30" s="30"/>
      <c r="Y30" s="30"/>
      <c r="Z30" s="30"/>
      <c r="AA30" s="62">
        <f t="shared" si="7"/>
        <v>0</v>
      </c>
      <c r="AB30" s="30"/>
      <c r="AC30" s="30"/>
      <c r="AD30" s="30">
        <f t="shared" ref="AD30:AD33" si="32">+AB30+AC30</f>
        <v>0</v>
      </c>
      <c r="AE30" s="30"/>
      <c r="AF30" s="30"/>
      <c r="AG30" s="30"/>
      <c r="AH30" s="30"/>
      <c r="AI30" s="30"/>
      <c r="AJ30" s="30"/>
    </row>
    <row r="31" spans="1:36" ht="12.75" customHeight="1">
      <c r="A31" s="3" t="s">
        <v>77</v>
      </c>
      <c r="B31" s="973" t="s">
        <v>155</v>
      </c>
      <c r="C31" s="973"/>
      <c r="D31" s="29">
        <f t="shared" ref="D31:D34" si="33">+G31+M31+Y31+AE31+P31+J31+S31+V31+AB31</f>
        <v>0</v>
      </c>
      <c r="E31" s="29">
        <f t="shared" ref="E31:E34" si="34">+H31+N31+Z31+AF31+Q31+K31+T31+W31+AC31</f>
        <v>0</v>
      </c>
      <c r="F31" s="29">
        <f t="shared" ref="F31:F34" si="35">+I31+O31+AA31+AG31+R31+L31+U31+X31+AD31</f>
        <v>0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62">
        <f t="shared" si="7"/>
        <v>0</v>
      </c>
      <c r="AB31" s="30"/>
      <c r="AC31" s="30"/>
      <c r="AD31" s="30">
        <f t="shared" si="32"/>
        <v>0</v>
      </c>
      <c r="AE31" s="30"/>
      <c r="AF31" s="30"/>
      <c r="AG31" s="30"/>
      <c r="AH31" s="30"/>
      <c r="AI31" s="30"/>
      <c r="AJ31" s="30"/>
    </row>
    <row r="32" spans="1:36" ht="12.75" customHeight="1">
      <c r="A32" s="3" t="s">
        <v>78</v>
      </c>
      <c r="B32" s="973" t="s">
        <v>154</v>
      </c>
      <c r="C32" s="973"/>
      <c r="D32" s="29">
        <f t="shared" si="33"/>
        <v>0</v>
      </c>
      <c r="E32" s="29">
        <f t="shared" si="34"/>
        <v>0</v>
      </c>
      <c r="F32" s="29">
        <f t="shared" si="35"/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62">
        <f t="shared" si="7"/>
        <v>0</v>
      </c>
      <c r="AB32" s="30"/>
      <c r="AC32" s="30"/>
      <c r="AD32" s="30">
        <f t="shared" si="32"/>
        <v>0</v>
      </c>
      <c r="AE32" s="30"/>
      <c r="AF32" s="30"/>
      <c r="AG32" s="30"/>
      <c r="AH32" s="30"/>
      <c r="AI32" s="30"/>
      <c r="AJ32" s="30"/>
    </row>
    <row r="33" spans="1:36" ht="12.75" customHeight="1">
      <c r="A33" s="3" t="s">
        <v>80</v>
      </c>
      <c r="B33" s="973" t="s">
        <v>79</v>
      </c>
      <c r="C33" s="973"/>
      <c r="D33" s="29">
        <f t="shared" si="33"/>
        <v>0</v>
      </c>
      <c r="E33" s="29">
        <f t="shared" si="34"/>
        <v>0</v>
      </c>
      <c r="F33" s="29">
        <f t="shared" si="35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62">
        <f t="shared" si="7"/>
        <v>0</v>
      </c>
      <c r="AB33" s="30"/>
      <c r="AC33" s="30"/>
      <c r="AD33" s="30">
        <f t="shared" si="32"/>
        <v>0</v>
      </c>
      <c r="AE33" s="30"/>
      <c r="AF33" s="30"/>
      <c r="AG33" s="30"/>
      <c r="AH33" s="30"/>
      <c r="AI33" s="30"/>
      <c r="AJ33" s="30"/>
    </row>
    <row r="34" spans="1:36" s="47" customFormat="1" ht="12.75" customHeight="1">
      <c r="A34" s="5" t="s">
        <v>81</v>
      </c>
      <c r="B34" s="972" t="s">
        <v>153</v>
      </c>
      <c r="C34" s="972"/>
      <c r="D34" s="105">
        <f t="shared" si="33"/>
        <v>13061</v>
      </c>
      <c r="E34" s="105">
        <f t="shared" si="34"/>
        <v>6385</v>
      </c>
      <c r="F34" s="105">
        <f t="shared" si="35"/>
        <v>19446</v>
      </c>
      <c r="G34" s="62">
        <v>0</v>
      </c>
      <c r="H34" s="62">
        <f t="shared" ref="H34:Z34" si="36">SUM(H29:H33)</f>
        <v>0</v>
      </c>
      <c r="I34" s="62">
        <f t="shared" si="36"/>
        <v>0</v>
      </c>
      <c r="J34" s="62">
        <v>0</v>
      </c>
      <c r="K34" s="62">
        <f t="shared" ref="K34:L34" si="37">SUM(K29:K33)</f>
        <v>0</v>
      </c>
      <c r="L34" s="62">
        <f t="shared" si="37"/>
        <v>0</v>
      </c>
      <c r="M34" s="62">
        <v>0</v>
      </c>
      <c r="N34" s="62">
        <f t="shared" si="36"/>
        <v>0</v>
      </c>
      <c r="O34" s="62">
        <f t="shared" si="36"/>
        <v>0</v>
      </c>
      <c r="P34" s="62">
        <v>2696</v>
      </c>
      <c r="Q34" s="62">
        <f t="shared" ref="Q34:X34" si="38">SUM(Q29:Q33)</f>
        <v>297</v>
      </c>
      <c r="R34" s="62">
        <f t="shared" si="38"/>
        <v>2993</v>
      </c>
      <c r="S34" s="62">
        <f>SUM(S29:S33)</f>
        <v>10365</v>
      </c>
      <c r="T34" s="62">
        <f>SUM(T29:T33)</f>
        <v>5407</v>
      </c>
      <c r="U34" s="62">
        <f>SUM(U29:U33)</f>
        <v>15772</v>
      </c>
      <c r="V34" s="62">
        <v>0</v>
      </c>
      <c r="W34" s="62">
        <f t="shared" si="38"/>
        <v>0</v>
      </c>
      <c r="X34" s="62">
        <f t="shared" si="38"/>
        <v>0</v>
      </c>
      <c r="Y34" s="62">
        <v>0</v>
      </c>
      <c r="Z34" s="62">
        <f t="shared" si="36"/>
        <v>71</v>
      </c>
      <c r="AA34" s="62">
        <f t="shared" si="7"/>
        <v>71</v>
      </c>
      <c r="AB34" s="62">
        <v>0</v>
      </c>
      <c r="AC34" s="62">
        <f t="shared" ref="AC34:AD34" si="39">SUM(AC29:AC33)</f>
        <v>610</v>
      </c>
      <c r="AD34" s="62">
        <f t="shared" si="39"/>
        <v>610</v>
      </c>
      <c r="AE34" s="62">
        <v>0</v>
      </c>
      <c r="AF34" s="62">
        <f>SUM(AF29:AF33)</f>
        <v>0</v>
      </c>
      <c r="AG34" s="62">
        <f>SUM(AG29:AG33)</f>
        <v>0</v>
      </c>
      <c r="AH34" s="62">
        <v>0</v>
      </c>
      <c r="AI34" s="62">
        <f>SUM(AI29:AI33)</f>
        <v>0</v>
      </c>
      <c r="AJ34" s="62">
        <f>SUM(AJ29:AJ33)</f>
        <v>0</v>
      </c>
    </row>
    <row r="35" spans="1:36" s="47" customFormat="1" ht="12.75" customHeight="1">
      <c r="A35" s="6" t="s">
        <v>82</v>
      </c>
      <c r="B35" s="969" t="s">
        <v>152</v>
      </c>
      <c r="C35" s="969"/>
      <c r="D35" s="105">
        <f>+D34+D28+D25+D17+D14</f>
        <v>13061</v>
      </c>
      <c r="E35" s="105">
        <f t="shared" ref="E35:F35" si="40">+E34+E28+E25+E17+E14</f>
        <v>10655</v>
      </c>
      <c r="F35" s="105">
        <f t="shared" si="40"/>
        <v>23716</v>
      </c>
      <c r="G35" s="59">
        <v>0</v>
      </c>
      <c r="H35" s="59">
        <f t="shared" ref="H35:AG35" si="41">+H34+H28+H25+H17+H14</f>
        <v>113</v>
      </c>
      <c r="I35" s="59">
        <f t="shared" si="41"/>
        <v>113</v>
      </c>
      <c r="J35" s="59">
        <v>0</v>
      </c>
      <c r="K35" s="59">
        <f t="shared" ref="K35:L35" si="42">+K34+K28+K25+K17+K14</f>
        <v>0</v>
      </c>
      <c r="L35" s="59">
        <f t="shared" si="42"/>
        <v>0</v>
      </c>
      <c r="M35" s="59">
        <v>0</v>
      </c>
      <c r="N35" s="59">
        <f t="shared" si="41"/>
        <v>0</v>
      </c>
      <c r="O35" s="59">
        <f t="shared" si="41"/>
        <v>0</v>
      </c>
      <c r="P35" s="59">
        <v>2696</v>
      </c>
      <c r="Q35" s="59">
        <f t="shared" ref="Q35:X35" si="43">+Q34+Q28+Q25+Q17+Q14</f>
        <v>1400</v>
      </c>
      <c r="R35" s="59">
        <f t="shared" si="43"/>
        <v>4096</v>
      </c>
      <c r="S35" s="59">
        <f>+S34+S28+S25+S17+S14</f>
        <v>10365</v>
      </c>
      <c r="T35" s="59">
        <f t="shared" si="43"/>
        <v>5407</v>
      </c>
      <c r="U35" s="59">
        <f t="shared" si="43"/>
        <v>15772</v>
      </c>
      <c r="V35" s="59">
        <v>0</v>
      </c>
      <c r="W35" s="59">
        <f t="shared" si="43"/>
        <v>0</v>
      </c>
      <c r="X35" s="59">
        <f t="shared" si="43"/>
        <v>0</v>
      </c>
      <c r="Y35" s="59">
        <v>0</v>
      </c>
      <c r="Z35" s="59">
        <f t="shared" si="41"/>
        <v>333</v>
      </c>
      <c r="AA35" s="62">
        <f t="shared" si="7"/>
        <v>333</v>
      </c>
      <c r="AB35" s="59">
        <v>0</v>
      </c>
      <c r="AC35" s="59">
        <f t="shared" ref="AC35:AD35" si="44">+AC34+AC28+AC25+AC17+AC14</f>
        <v>3402</v>
      </c>
      <c r="AD35" s="59">
        <f t="shared" si="44"/>
        <v>3402</v>
      </c>
      <c r="AE35" s="59">
        <v>0</v>
      </c>
      <c r="AF35" s="59">
        <f t="shared" si="41"/>
        <v>0</v>
      </c>
      <c r="AG35" s="59">
        <f t="shared" si="41"/>
        <v>0</v>
      </c>
      <c r="AH35" s="59">
        <v>0</v>
      </c>
      <c r="AI35" s="59">
        <f t="shared" ref="AI35:AJ35" si="45">+AI34+AI28+AI25+AI17+AI14</f>
        <v>0</v>
      </c>
      <c r="AJ35" s="59">
        <f t="shared" si="45"/>
        <v>0</v>
      </c>
    </row>
    <row r="36" spans="1:36" ht="11.25" customHeight="1">
      <c r="A36" s="324"/>
      <c r="B36" s="325"/>
      <c r="C36" s="325"/>
      <c r="D36" s="326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</row>
    <row r="37" spans="1:36" ht="12" customHeight="1">
      <c r="A37" s="7"/>
      <c r="B37" s="983"/>
      <c r="C37" s="983"/>
      <c r="D37" s="29"/>
      <c r="E37" s="31"/>
      <c r="F37" s="32"/>
      <c r="G37" s="31"/>
      <c r="H37" s="31"/>
      <c r="I37" s="32"/>
      <c r="J37" s="31"/>
      <c r="K37" s="31"/>
      <c r="L37" s="32"/>
      <c r="M37" s="32"/>
      <c r="N37" s="31"/>
      <c r="O37" s="32"/>
      <c r="P37" s="31"/>
      <c r="Q37" s="31"/>
      <c r="R37" s="32"/>
      <c r="S37" s="31"/>
      <c r="T37" s="31"/>
      <c r="U37" s="32"/>
      <c r="V37" s="31"/>
      <c r="W37" s="31"/>
      <c r="X37" s="32"/>
      <c r="Y37" s="32"/>
      <c r="Z37" s="31"/>
      <c r="AA37" s="32"/>
      <c r="AB37" s="31"/>
      <c r="AC37" s="31"/>
      <c r="AD37" s="32"/>
      <c r="AE37" s="31"/>
      <c r="AF37" s="31"/>
      <c r="AG37" s="31"/>
      <c r="AH37" s="31"/>
      <c r="AI37" s="31"/>
      <c r="AJ37" s="31"/>
    </row>
    <row r="38" spans="1:36" ht="12.75" hidden="1" customHeight="1">
      <c r="A38" s="3" t="s">
        <v>97</v>
      </c>
      <c r="B38" s="968" t="s">
        <v>96</v>
      </c>
      <c r="C38" s="968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 ht="12.75" hidden="1" customHeight="1">
      <c r="A39" s="3" t="s">
        <v>99</v>
      </c>
      <c r="B39" s="968" t="s">
        <v>98</v>
      </c>
      <c r="C39" s="968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ht="23.25" hidden="1" customHeight="1">
      <c r="A40" s="3" t="s">
        <v>102</v>
      </c>
      <c r="B40" s="968" t="s">
        <v>166</v>
      </c>
      <c r="C40" s="968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ht="25.5" hidden="1" customHeight="1">
      <c r="A41" s="3" t="s">
        <v>104</v>
      </c>
      <c r="B41" s="968" t="s">
        <v>103</v>
      </c>
      <c r="C41" s="968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36" ht="27" hidden="1" customHeight="1">
      <c r="A42" s="3" t="s">
        <v>108</v>
      </c>
      <c r="B42" s="968" t="s">
        <v>165</v>
      </c>
      <c r="C42" s="968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36" ht="12.75" hidden="1" customHeight="1">
      <c r="A43" s="3" t="s">
        <v>700</v>
      </c>
      <c r="B43" s="973" t="s">
        <v>107</v>
      </c>
      <c r="C43" s="973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s="47" customFormat="1" ht="12.75" customHeight="1">
      <c r="A44" s="5" t="s">
        <v>109</v>
      </c>
      <c r="B44" s="972" t="s">
        <v>164</v>
      </c>
      <c r="C44" s="972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>
        <f>+Y44+Z44</f>
        <v>0</v>
      </c>
      <c r="AB44" s="62"/>
      <c r="AC44" s="62"/>
      <c r="AD44" s="62"/>
      <c r="AE44" s="62"/>
      <c r="AF44" s="62"/>
      <c r="AG44" s="62"/>
      <c r="AH44" s="62"/>
      <c r="AI44" s="62"/>
      <c r="AJ44" s="62"/>
    </row>
    <row r="45" spans="1:36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2"/>
      <c r="N45" s="31"/>
      <c r="O45" s="32"/>
      <c r="P45" s="31"/>
      <c r="Q45" s="31"/>
      <c r="R45" s="32"/>
      <c r="S45" s="31"/>
      <c r="T45" s="31"/>
      <c r="U45" s="32"/>
      <c r="V45" s="31"/>
      <c r="W45" s="31"/>
      <c r="X45" s="32"/>
      <c r="Y45" s="32"/>
      <c r="Z45" s="31"/>
      <c r="AA45" s="32"/>
      <c r="AB45" s="31"/>
      <c r="AC45" s="31"/>
      <c r="AD45" s="32"/>
      <c r="AE45" s="31"/>
      <c r="AF45" s="31"/>
      <c r="AG45" s="31"/>
      <c r="AH45" s="31"/>
      <c r="AI45" s="31"/>
      <c r="AJ45" s="31"/>
    </row>
    <row r="46" spans="1:36" ht="12.75" customHeight="1">
      <c r="A46" s="12" t="s">
        <v>111</v>
      </c>
      <c r="B46" s="970" t="s">
        <v>110</v>
      </c>
      <c r="C46" s="970"/>
      <c r="D46" s="29">
        <f>+G46+M46+Y46+AE46+P46+J46+S46+V46+AB46+AH46</f>
        <v>40278</v>
      </c>
      <c r="E46" s="29">
        <f t="shared" ref="E46:F46" si="46">+H46+N46+Z46+AF46+Q46+K46+T46+W46+AC46+AI46</f>
        <v>-24638</v>
      </c>
      <c r="F46" s="29">
        <f t="shared" si="46"/>
        <v>15640</v>
      </c>
      <c r="G46" s="33">
        <v>750</v>
      </c>
      <c r="H46" s="33"/>
      <c r="I46" s="33">
        <f>+G46+H46</f>
        <v>750</v>
      </c>
      <c r="J46" s="33">
        <v>1000</v>
      </c>
      <c r="K46" s="33"/>
      <c r="L46" s="33">
        <f>+J46+K46</f>
        <v>1000</v>
      </c>
      <c r="M46" s="33">
        <v>0</v>
      </c>
      <c r="N46" s="33"/>
      <c r="O46" s="33">
        <f>+M46+N46</f>
        <v>0</v>
      </c>
      <c r="P46" s="33">
        <v>1700</v>
      </c>
      <c r="Q46" s="33">
        <f>2000-965</f>
        <v>1035</v>
      </c>
      <c r="R46" s="33">
        <f>+P46+Q46</f>
        <v>2735</v>
      </c>
      <c r="S46" s="33">
        <v>9975</v>
      </c>
      <c r="T46" s="33">
        <v>-5315</v>
      </c>
      <c r="U46" s="33">
        <f>+S46+T46</f>
        <v>4660</v>
      </c>
      <c r="V46" s="33">
        <v>1180</v>
      </c>
      <c r="W46" s="33">
        <v>5315</v>
      </c>
      <c r="X46" s="33">
        <f>+V46+W46</f>
        <v>6495</v>
      </c>
      <c r="Y46" s="33">
        <v>25673</v>
      </c>
      <c r="Z46" s="33">
        <v>-25673</v>
      </c>
      <c r="AA46" s="33">
        <f>+Y46+Z46</f>
        <v>0</v>
      </c>
      <c r="AB46" s="33">
        <v>0</v>
      </c>
      <c r="AC46" s="33"/>
      <c r="AD46" s="33">
        <f>+AB46+AC46</f>
        <v>0</v>
      </c>
      <c r="AE46" s="33">
        <v>0</v>
      </c>
      <c r="AF46" s="33"/>
      <c r="AG46" s="33">
        <f>+AE46+AF46</f>
        <v>0</v>
      </c>
      <c r="AH46" s="33">
        <v>0</v>
      </c>
      <c r="AI46" s="33"/>
      <c r="AJ46" s="33">
        <f>+AH46+AI46</f>
        <v>0</v>
      </c>
    </row>
    <row r="47" spans="1:36" ht="12.75" customHeight="1">
      <c r="A47" s="3" t="s">
        <v>112</v>
      </c>
      <c r="B47" s="973" t="s">
        <v>163</v>
      </c>
      <c r="C47" s="973"/>
      <c r="D47" s="29">
        <f t="shared" ref="D47:D52" si="47">+G47+M47+Y47+AE47+P47+J47+S47+V47+AB47+AH47</f>
        <v>84964</v>
      </c>
      <c r="E47" s="29">
        <f t="shared" ref="E47:E52" si="48">+H47+N47+Z47+AF47+Q47+K47+T47+W47+AC47+AI47</f>
        <v>32053</v>
      </c>
      <c r="F47" s="29">
        <f t="shared" ref="F47:F52" si="49">+I47+O47+AA47+AG47+R47+L47+U47+X47+AD47+AJ47</f>
        <v>117017</v>
      </c>
      <c r="G47" s="33">
        <v>24106</v>
      </c>
      <c r="H47" s="30"/>
      <c r="I47" s="33">
        <f t="shared" ref="I47:I52" si="50">+G47+H47</f>
        <v>24106</v>
      </c>
      <c r="J47" s="33">
        <v>0</v>
      </c>
      <c r="K47" s="30"/>
      <c r="L47" s="33">
        <f t="shared" ref="L47:L52" si="51">+J47+K47</f>
        <v>0</v>
      </c>
      <c r="M47" s="33">
        <v>2480</v>
      </c>
      <c r="N47" s="30"/>
      <c r="O47" s="33">
        <f t="shared" ref="O47:O52" si="52">+M47+N47</f>
        <v>2480</v>
      </c>
      <c r="P47" s="33">
        <v>19261</v>
      </c>
      <c r="Q47" s="30">
        <v>500</v>
      </c>
      <c r="R47" s="33">
        <f t="shared" ref="R47:R52" si="53">+P47+Q47</f>
        <v>19761</v>
      </c>
      <c r="S47" s="33">
        <v>38759</v>
      </c>
      <c r="T47" s="30">
        <v>-33018</v>
      </c>
      <c r="U47" s="33">
        <f t="shared" ref="U47:U52" si="54">+S47+T47</f>
        <v>5741</v>
      </c>
      <c r="V47" s="33">
        <v>0</v>
      </c>
      <c r="W47" s="30"/>
      <c r="X47" s="33">
        <f t="shared" ref="X47:X52" si="55">+V47+W47</f>
        <v>0</v>
      </c>
      <c r="Y47" s="33">
        <v>358</v>
      </c>
      <c r="Z47" s="30">
        <f>26344+4</f>
        <v>26348</v>
      </c>
      <c r="AA47" s="33">
        <f t="shared" ref="AA47:AA53" si="56">+Y47+Z47</f>
        <v>26706</v>
      </c>
      <c r="AB47" s="33">
        <v>0</v>
      </c>
      <c r="AC47" s="30"/>
      <c r="AD47" s="33">
        <f t="shared" ref="AD47:AD52" si="57">+AB47+AC47</f>
        <v>0</v>
      </c>
      <c r="AE47" s="33">
        <v>0</v>
      </c>
      <c r="AF47" s="33">
        <v>33466</v>
      </c>
      <c r="AG47" s="33">
        <f t="shared" ref="AG47:AG52" si="58">+AE47+AF47</f>
        <v>33466</v>
      </c>
      <c r="AH47" s="33">
        <v>0</v>
      </c>
      <c r="AI47" s="33">
        <v>4757</v>
      </c>
      <c r="AJ47" s="33">
        <f t="shared" ref="AJ47:AJ52" si="59">+AH47+AI47</f>
        <v>4757</v>
      </c>
    </row>
    <row r="48" spans="1:36" ht="12.75" customHeight="1">
      <c r="A48" s="3" t="s">
        <v>115</v>
      </c>
      <c r="B48" s="973" t="s">
        <v>114</v>
      </c>
      <c r="C48" s="973"/>
      <c r="D48" s="29">
        <f t="shared" si="47"/>
        <v>388</v>
      </c>
      <c r="E48" s="29">
        <f t="shared" si="48"/>
        <v>0</v>
      </c>
      <c r="F48" s="29">
        <f t="shared" si="49"/>
        <v>388</v>
      </c>
      <c r="G48" s="33">
        <v>0</v>
      </c>
      <c r="H48" s="30"/>
      <c r="I48" s="33">
        <f t="shared" si="50"/>
        <v>0</v>
      </c>
      <c r="J48" s="33">
        <v>388</v>
      </c>
      <c r="K48" s="30"/>
      <c r="L48" s="33">
        <f t="shared" si="51"/>
        <v>388</v>
      </c>
      <c r="M48" s="33">
        <v>0</v>
      </c>
      <c r="N48" s="30"/>
      <c r="O48" s="33">
        <f t="shared" si="52"/>
        <v>0</v>
      </c>
      <c r="P48" s="33">
        <v>0</v>
      </c>
      <c r="Q48" s="30"/>
      <c r="R48" s="33">
        <f t="shared" si="53"/>
        <v>0</v>
      </c>
      <c r="S48" s="33">
        <v>0</v>
      </c>
      <c r="T48" s="30"/>
      <c r="U48" s="33">
        <f t="shared" si="54"/>
        <v>0</v>
      </c>
      <c r="V48" s="33">
        <v>0</v>
      </c>
      <c r="W48" s="30"/>
      <c r="X48" s="33">
        <f t="shared" si="55"/>
        <v>0</v>
      </c>
      <c r="Y48" s="33">
        <v>0</v>
      </c>
      <c r="Z48" s="30"/>
      <c r="AA48" s="33">
        <f t="shared" si="56"/>
        <v>0</v>
      </c>
      <c r="AB48" s="33">
        <v>0</v>
      </c>
      <c r="AC48" s="30"/>
      <c r="AD48" s="33">
        <f t="shared" si="57"/>
        <v>0</v>
      </c>
      <c r="AE48" s="33">
        <v>0</v>
      </c>
      <c r="AF48" s="33"/>
      <c r="AG48" s="33">
        <f t="shared" si="58"/>
        <v>0</v>
      </c>
      <c r="AH48" s="33">
        <v>0</v>
      </c>
      <c r="AI48" s="33"/>
      <c r="AJ48" s="33">
        <f t="shared" si="59"/>
        <v>0</v>
      </c>
    </row>
    <row r="49" spans="1:36" ht="12.75" customHeight="1">
      <c r="A49" s="3" t="s">
        <v>117</v>
      </c>
      <c r="B49" s="973" t="s">
        <v>116</v>
      </c>
      <c r="C49" s="973"/>
      <c r="D49" s="29">
        <f t="shared" si="47"/>
        <v>6256</v>
      </c>
      <c r="E49" s="29">
        <f t="shared" si="48"/>
        <v>3864</v>
      </c>
      <c r="F49" s="29">
        <f t="shared" si="49"/>
        <v>10120</v>
      </c>
      <c r="G49" s="33">
        <v>0</v>
      </c>
      <c r="H49" s="30"/>
      <c r="I49" s="33">
        <f t="shared" si="50"/>
        <v>0</v>
      </c>
      <c r="J49" s="33">
        <v>520</v>
      </c>
      <c r="K49" s="30"/>
      <c r="L49" s="33">
        <f t="shared" si="51"/>
        <v>520</v>
      </c>
      <c r="M49" s="33">
        <v>0</v>
      </c>
      <c r="N49" s="30"/>
      <c r="O49" s="33">
        <f t="shared" si="52"/>
        <v>0</v>
      </c>
      <c r="P49" s="33">
        <v>0</v>
      </c>
      <c r="Q49" s="30"/>
      <c r="R49" s="33">
        <f t="shared" si="53"/>
        <v>0</v>
      </c>
      <c r="S49" s="33">
        <v>2585</v>
      </c>
      <c r="T49" s="30"/>
      <c r="U49" s="33">
        <f t="shared" si="54"/>
        <v>2585</v>
      </c>
      <c r="V49" s="33">
        <v>0</v>
      </c>
      <c r="W49" s="30"/>
      <c r="X49" s="33">
        <f t="shared" si="55"/>
        <v>0</v>
      </c>
      <c r="Y49" s="33">
        <v>0</v>
      </c>
      <c r="Z49" s="30">
        <v>2233</v>
      </c>
      <c r="AA49" s="33">
        <f t="shared" si="56"/>
        <v>2233</v>
      </c>
      <c r="AB49" s="33">
        <v>944</v>
      </c>
      <c r="AC49" s="30">
        <v>247</v>
      </c>
      <c r="AD49" s="33">
        <f t="shared" si="57"/>
        <v>1191</v>
      </c>
      <c r="AE49" s="33">
        <v>2207</v>
      </c>
      <c r="AF49" s="33">
        <f>1030+354</f>
        <v>1384</v>
      </c>
      <c r="AG49" s="33">
        <f t="shared" si="58"/>
        <v>3591</v>
      </c>
      <c r="AH49" s="33">
        <v>0</v>
      </c>
      <c r="AI49" s="33"/>
      <c r="AJ49" s="33">
        <f t="shared" si="59"/>
        <v>0</v>
      </c>
    </row>
    <row r="50" spans="1:36" ht="12.75" customHeight="1">
      <c r="A50" s="3" t="s">
        <v>119</v>
      </c>
      <c r="B50" s="973" t="s">
        <v>118</v>
      </c>
      <c r="C50" s="973"/>
      <c r="D50" s="29">
        <f t="shared" si="47"/>
        <v>30000</v>
      </c>
      <c r="E50" s="29">
        <f t="shared" si="48"/>
        <v>0</v>
      </c>
      <c r="F50" s="29">
        <f t="shared" si="49"/>
        <v>30000</v>
      </c>
      <c r="G50" s="33">
        <v>0</v>
      </c>
      <c r="H50" s="30"/>
      <c r="I50" s="33">
        <f t="shared" si="50"/>
        <v>0</v>
      </c>
      <c r="J50" s="33">
        <v>30000</v>
      </c>
      <c r="K50" s="30"/>
      <c r="L50" s="33">
        <f t="shared" si="51"/>
        <v>30000</v>
      </c>
      <c r="M50" s="33">
        <v>0</v>
      </c>
      <c r="N50" s="30"/>
      <c r="O50" s="33">
        <f t="shared" si="52"/>
        <v>0</v>
      </c>
      <c r="P50" s="33">
        <v>0</v>
      </c>
      <c r="Q50" s="30"/>
      <c r="R50" s="33">
        <f t="shared" si="53"/>
        <v>0</v>
      </c>
      <c r="S50" s="33">
        <v>0</v>
      </c>
      <c r="T50" s="30"/>
      <c r="U50" s="33">
        <f t="shared" si="54"/>
        <v>0</v>
      </c>
      <c r="V50" s="33">
        <v>0</v>
      </c>
      <c r="W50" s="30"/>
      <c r="X50" s="33">
        <f t="shared" si="55"/>
        <v>0</v>
      </c>
      <c r="Y50" s="33">
        <v>0</v>
      </c>
      <c r="Z50" s="30"/>
      <c r="AA50" s="33">
        <f t="shared" si="56"/>
        <v>0</v>
      </c>
      <c r="AB50" s="33">
        <v>0</v>
      </c>
      <c r="AC50" s="30"/>
      <c r="AD50" s="33">
        <f t="shared" si="57"/>
        <v>0</v>
      </c>
      <c r="AE50" s="33">
        <v>0</v>
      </c>
      <c r="AF50" s="33"/>
      <c r="AG50" s="33">
        <f t="shared" si="58"/>
        <v>0</v>
      </c>
      <c r="AH50" s="33">
        <v>0</v>
      </c>
      <c r="AI50" s="33"/>
      <c r="AJ50" s="33">
        <f t="shared" si="59"/>
        <v>0</v>
      </c>
    </row>
    <row r="51" spans="1:36" ht="12.75" customHeight="1">
      <c r="A51" s="3" t="s">
        <v>121</v>
      </c>
      <c r="B51" s="973" t="s">
        <v>120</v>
      </c>
      <c r="C51" s="973"/>
      <c r="D51" s="29">
        <f t="shared" si="47"/>
        <v>0</v>
      </c>
      <c r="E51" s="29">
        <f t="shared" si="48"/>
        <v>0</v>
      </c>
      <c r="F51" s="29">
        <f t="shared" si="49"/>
        <v>0</v>
      </c>
      <c r="G51" s="33">
        <v>0</v>
      </c>
      <c r="H51" s="30"/>
      <c r="I51" s="33">
        <f t="shared" si="50"/>
        <v>0</v>
      </c>
      <c r="J51" s="33">
        <v>0</v>
      </c>
      <c r="K51" s="30"/>
      <c r="L51" s="33">
        <f t="shared" si="51"/>
        <v>0</v>
      </c>
      <c r="M51" s="33">
        <v>0</v>
      </c>
      <c r="N51" s="30"/>
      <c r="O51" s="33">
        <f t="shared" si="52"/>
        <v>0</v>
      </c>
      <c r="P51" s="33">
        <v>0</v>
      </c>
      <c r="Q51" s="30"/>
      <c r="R51" s="33">
        <f t="shared" si="53"/>
        <v>0</v>
      </c>
      <c r="S51" s="33">
        <v>0</v>
      </c>
      <c r="T51" s="30"/>
      <c r="U51" s="33">
        <f t="shared" si="54"/>
        <v>0</v>
      </c>
      <c r="V51" s="33">
        <v>0</v>
      </c>
      <c r="W51" s="30"/>
      <c r="X51" s="33">
        <f t="shared" si="55"/>
        <v>0</v>
      </c>
      <c r="Y51" s="33">
        <v>0</v>
      </c>
      <c r="Z51" s="30"/>
      <c r="AA51" s="33">
        <f t="shared" si="56"/>
        <v>0</v>
      </c>
      <c r="AB51" s="33">
        <v>0</v>
      </c>
      <c r="AC51" s="30"/>
      <c r="AD51" s="33">
        <f t="shared" si="57"/>
        <v>0</v>
      </c>
      <c r="AE51" s="33">
        <v>0</v>
      </c>
      <c r="AF51" s="33"/>
      <c r="AG51" s="33">
        <f t="shared" si="58"/>
        <v>0</v>
      </c>
      <c r="AH51" s="33">
        <v>0</v>
      </c>
      <c r="AI51" s="33"/>
      <c r="AJ51" s="33">
        <f t="shared" si="59"/>
        <v>0</v>
      </c>
    </row>
    <row r="52" spans="1:36" ht="12.75" customHeight="1">
      <c r="A52" s="3" t="s">
        <v>123</v>
      </c>
      <c r="B52" s="973" t="s">
        <v>122</v>
      </c>
      <c r="C52" s="973"/>
      <c r="D52" s="29">
        <f t="shared" si="47"/>
        <v>17886</v>
      </c>
      <c r="E52" s="29">
        <f t="shared" si="48"/>
        <v>3191</v>
      </c>
      <c r="F52" s="29">
        <f t="shared" si="49"/>
        <v>21077</v>
      </c>
      <c r="G52" s="33">
        <v>746</v>
      </c>
      <c r="H52" s="30"/>
      <c r="I52" s="33">
        <f t="shared" si="50"/>
        <v>746</v>
      </c>
      <c r="J52" s="33">
        <v>516</v>
      </c>
      <c r="K52" s="30"/>
      <c r="L52" s="33">
        <f t="shared" si="51"/>
        <v>516</v>
      </c>
      <c r="M52" s="33">
        <v>670</v>
      </c>
      <c r="N52" s="30"/>
      <c r="O52" s="33">
        <f t="shared" si="52"/>
        <v>670</v>
      </c>
      <c r="P52" s="33">
        <v>2948</v>
      </c>
      <c r="Q52" s="30">
        <v>675</v>
      </c>
      <c r="R52" s="33">
        <f t="shared" si="53"/>
        <v>3623</v>
      </c>
      <c r="S52" s="33">
        <v>4808</v>
      </c>
      <c r="T52" s="30">
        <v>-1347</v>
      </c>
      <c r="U52" s="33">
        <f t="shared" si="54"/>
        <v>3461</v>
      </c>
      <c r="V52" s="33">
        <v>319</v>
      </c>
      <c r="W52" s="30">
        <v>1435</v>
      </c>
      <c r="X52" s="33">
        <f t="shared" si="55"/>
        <v>1754</v>
      </c>
      <c r="Y52" s="33">
        <v>7028</v>
      </c>
      <c r="Z52" s="30">
        <f>784-6</f>
        <v>778</v>
      </c>
      <c r="AA52" s="33">
        <f t="shared" si="56"/>
        <v>7806</v>
      </c>
      <c r="AB52" s="33">
        <v>255</v>
      </c>
      <c r="AC52" s="30">
        <v>67</v>
      </c>
      <c r="AD52" s="33">
        <f t="shared" si="57"/>
        <v>322</v>
      </c>
      <c r="AE52" s="33">
        <v>596</v>
      </c>
      <c r="AF52" s="33">
        <v>299</v>
      </c>
      <c r="AG52" s="33">
        <f t="shared" si="58"/>
        <v>895</v>
      </c>
      <c r="AH52" s="33">
        <v>0</v>
      </c>
      <c r="AI52" s="33">
        <v>1284</v>
      </c>
      <c r="AJ52" s="33">
        <f t="shared" si="59"/>
        <v>1284</v>
      </c>
    </row>
    <row r="53" spans="1:36" s="47" customFormat="1" ht="12.75" customHeight="1">
      <c r="A53" s="6" t="s">
        <v>124</v>
      </c>
      <c r="B53" s="969" t="s">
        <v>162</v>
      </c>
      <c r="C53" s="969"/>
      <c r="D53" s="59">
        <f>SUM(D46:D52)</f>
        <v>179772</v>
      </c>
      <c r="E53" s="59">
        <f t="shared" ref="E53:I53" si="60">SUM(E46:E52)</f>
        <v>14470</v>
      </c>
      <c r="F53" s="59">
        <f t="shared" si="60"/>
        <v>194242</v>
      </c>
      <c r="G53" s="59">
        <v>25602</v>
      </c>
      <c r="H53" s="59">
        <f t="shared" si="60"/>
        <v>0</v>
      </c>
      <c r="I53" s="59">
        <f t="shared" si="60"/>
        <v>25602</v>
      </c>
      <c r="J53" s="59">
        <v>32424</v>
      </c>
      <c r="K53" s="59">
        <f t="shared" ref="K53:L53" si="61">+K52+K51+K50+K49+K48+K47+K46</f>
        <v>0</v>
      </c>
      <c r="L53" s="59">
        <f t="shared" si="61"/>
        <v>32424</v>
      </c>
      <c r="M53" s="59">
        <v>3150</v>
      </c>
      <c r="N53" s="59">
        <f t="shared" ref="N53:AG53" si="62">+N52+N51+N50+N49+N48+N47+N46</f>
        <v>0</v>
      </c>
      <c r="O53" s="59">
        <f t="shared" si="62"/>
        <v>3150</v>
      </c>
      <c r="P53" s="59">
        <v>23909</v>
      </c>
      <c r="Q53" s="59">
        <f t="shared" ref="Q53:X53" si="63">+Q52+Q51+Q50+Q49+Q48+Q47+Q46</f>
        <v>2210</v>
      </c>
      <c r="R53" s="59">
        <f t="shared" si="63"/>
        <v>26119</v>
      </c>
      <c r="S53" s="59">
        <v>56127</v>
      </c>
      <c r="T53" s="59">
        <f t="shared" si="63"/>
        <v>-39680</v>
      </c>
      <c r="U53" s="59">
        <f t="shared" si="63"/>
        <v>16447</v>
      </c>
      <c r="V53" s="59">
        <v>1499</v>
      </c>
      <c r="W53" s="59">
        <f t="shared" si="63"/>
        <v>6750</v>
      </c>
      <c r="X53" s="59">
        <f t="shared" si="63"/>
        <v>8249</v>
      </c>
      <c r="Y53" s="59">
        <v>33059</v>
      </c>
      <c r="Z53" s="59">
        <f t="shared" si="62"/>
        <v>3686</v>
      </c>
      <c r="AA53" s="59">
        <f t="shared" si="56"/>
        <v>36745</v>
      </c>
      <c r="AB53" s="59">
        <v>1199</v>
      </c>
      <c r="AC53" s="59">
        <f t="shared" ref="AC53" si="64">+AC52+AC51+AC50+AC49+AC48+AC47+AC46</f>
        <v>314</v>
      </c>
      <c r="AD53" s="59">
        <f t="shared" ref="AD53" si="65">+AD52+AD51+AD50+AD49+AD48+AD47+AD46</f>
        <v>1513</v>
      </c>
      <c r="AE53" s="59">
        <v>2803</v>
      </c>
      <c r="AF53" s="59">
        <f t="shared" si="62"/>
        <v>35149</v>
      </c>
      <c r="AG53" s="59">
        <f t="shared" si="62"/>
        <v>37952</v>
      </c>
      <c r="AH53" s="59">
        <f>SUM(AH46:AH52)</f>
        <v>0</v>
      </c>
      <c r="AI53" s="59">
        <f t="shared" ref="AI53:AJ53" si="66">+AI52+AI51+AI50+AI49+AI48+AI47+AI46</f>
        <v>6041</v>
      </c>
      <c r="AJ53" s="59">
        <f t="shared" si="66"/>
        <v>6041</v>
      </c>
    </row>
    <row r="54" spans="1:36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2"/>
      <c r="N54" s="31"/>
      <c r="O54" s="32"/>
      <c r="P54" s="31"/>
      <c r="Q54" s="31"/>
      <c r="R54" s="32"/>
      <c r="S54" s="31"/>
      <c r="T54" s="31"/>
      <c r="U54" s="32"/>
      <c r="V54" s="31"/>
      <c r="W54" s="31"/>
      <c r="X54" s="32"/>
      <c r="Y54" s="32"/>
      <c r="Z54" s="31"/>
      <c r="AA54" s="32"/>
      <c r="AB54" s="31"/>
      <c r="AC54" s="31"/>
      <c r="AD54" s="32"/>
      <c r="AE54" s="31"/>
      <c r="AF54" s="31"/>
      <c r="AG54" s="31"/>
      <c r="AH54" s="31"/>
      <c r="AI54" s="31"/>
      <c r="AJ54" s="31"/>
    </row>
    <row r="55" spans="1:36" ht="12.75" customHeight="1">
      <c r="A55" s="3" t="s">
        <v>126</v>
      </c>
      <c r="B55" s="973" t="s">
        <v>125</v>
      </c>
      <c r="C55" s="973"/>
      <c r="D55" s="29">
        <f t="shared" ref="D55:D58" si="67">+G55+M55+Y55+AE55+P55+J55+S55+V55+AB55</f>
        <v>29519</v>
      </c>
      <c r="E55" s="29">
        <f t="shared" ref="E55:E58" si="68">+H55+N55+Z55+AF55+Q55+K55+T55+W55+AC55</f>
        <v>13022</v>
      </c>
      <c r="F55" s="29">
        <f t="shared" ref="F55:F58" si="69">+I55+O55+AA55+AG55+R55+L55+U55+X55+AD55</f>
        <v>42541</v>
      </c>
      <c r="G55" s="33">
        <v>193</v>
      </c>
      <c r="H55" s="30"/>
      <c r="I55" s="33">
        <f t="shared" ref="I55:I58" si="70">+G55+H55</f>
        <v>193</v>
      </c>
      <c r="J55" s="33">
        <v>0</v>
      </c>
      <c r="K55" s="30"/>
      <c r="L55" s="33">
        <f t="shared" ref="L55:L58" si="71">+J55+K55</f>
        <v>0</v>
      </c>
      <c r="M55" s="33">
        <v>4266</v>
      </c>
      <c r="N55" s="30"/>
      <c r="O55" s="33">
        <f t="shared" ref="O55:O58" si="72">+M55+N55</f>
        <v>4266</v>
      </c>
      <c r="P55" s="30">
        <v>24677</v>
      </c>
      <c r="Q55" s="30">
        <v>6819</v>
      </c>
      <c r="R55" s="33">
        <f t="shared" ref="R55:R58" si="73">+P55+Q55</f>
        <v>31496</v>
      </c>
      <c r="S55" s="33">
        <v>0</v>
      </c>
      <c r="T55" s="30"/>
      <c r="U55" s="33">
        <f t="shared" ref="U55:U58" si="74">+S55+T55</f>
        <v>0</v>
      </c>
      <c r="V55" s="33">
        <v>0</v>
      </c>
      <c r="W55" s="30"/>
      <c r="X55" s="33">
        <f t="shared" ref="X55:X58" si="75">+V55+W55</f>
        <v>0</v>
      </c>
      <c r="Y55" s="33">
        <v>0</v>
      </c>
      <c r="Z55" s="30"/>
      <c r="AA55" s="33">
        <f>+Y55+Z55</f>
        <v>0</v>
      </c>
      <c r="AB55" s="33">
        <v>383</v>
      </c>
      <c r="AC55" s="30">
        <v>6203</v>
      </c>
      <c r="AD55" s="33">
        <f t="shared" ref="AD55:AD58" si="76">+AB55+AC55</f>
        <v>6586</v>
      </c>
      <c r="AE55" s="30">
        <v>0</v>
      </c>
      <c r="AF55" s="30"/>
      <c r="AG55" s="33">
        <f t="shared" ref="AG55:AG58" si="77">+AE55+AF55</f>
        <v>0</v>
      </c>
      <c r="AH55" s="30">
        <v>0</v>
      </c>
      <c r="AI55" s="30"/>
      <c r="AJ55" s="33">
        <f t="shared" ref="AJ55:AJ58" si="78">+AH55+AI55</f>
        <v>0</v>
      </c>
    </row>
    <row r="56" spans="1:36" ht="12.75" customHeight="1">
      <c r="A56" s="3" t="s">
        <v>128</v>
      </c>
      <c r="B56" s="973" t="s">
        <v>127</v>
      </c>
      <c r="C56" s="973"/>
      <c r="D56" s="29">
        <f t="shared" si="67"/>
        <v>0</v>
      </c>
      <c r="E56" s="29">
        <f t="shared" si="68"/>
        <v>0</v>
      </c>
      <c r="F56" s="29">
        <f t="shared" si="69"/>
        <v>0</v>
      </c>
      <c r="G56" s="33">
        <v>0</v>
      </c>
      <c r="H56" s="30"/>
      <c r="I56" s="33">
        <f t="shared" si="70"/>
        <v>0</v>
      </c>
      <c r="J56" s="33">
        <v>0</v>
      </c>
      <c r="K56" s="30"/>
      <c r="L56" s="33">
        <f t="shared" si="71"/>
        <v>0</v>
      </c>
      <c r="M56" s="33">
        <v>0</v>
      </c>
      <c r="N56" s="30"/>
      <c r="O56" s="33">
        <f t="shared" si="72"/>
        <v>0</v>
      </c>
      <c r="P56" s="30">
        <v>0</v>
      </c>
      <c r="Q56" s="30"/>
      <c r="R56" s="33">
        <f t="shared" si="73"/>
        <v>0</v>
      </c>
      <c r="S56" s="33">
        <v>0</v>
      </c>
      <c r="T56" s="30"/>
      <c r="U56" s="33">
        <f t="shared" si="74"/>
        <v>0</v>
      </c>
      <c r="V56" s="33">
        <v>0</v>
      </c>
      <c r="W56" s="30"/>
      <c r="X56" s="33">
        <f t="shared" si="75"/>
        <v>0</v>
      </c>
      <c r="Y56" s="33">
        <v>0</v>
      </c>
      <c r="Z56" s="30"/>
      <c r="AA56" s="33">
        <f t="shared" ref="AA56:AA59" si="79">+Y56+Z56</f>
        <v>0</v>
      </c>
      <c r="AB56" s="33">
        <v>0</v>
      </c>
      <c r="AC56" s="30"/>
      <c r="AD56" s="33">
        <f t="shared" si="76"/>
        <v>0</v>
      </c>
      <c r="AE56" s="30">
        <v>0</v>
      </c>
      <c r="AF56" s="30"/>
      <c r="AG56" s="33">
        <f t="shared" si="77"/>
        <v>0</v>
      </c>
      <c r="AH56" s="30">
        <v>0</v>
      </c>
      <c r="AI56" s="30"/>
      <c r="AJ56" s="33">
        <f t="shared" si="78"/>
        <v>0</v>
      </c>
    </row>
    <row r="57" spans="1:36" ht="12.75" customHeight="1">
      <c r="A57" s="3" t="s">
        <v>130</v>
      </c>
      <c r="B57" s="973" t="s">
        <v>129</v>
      </c>
      <c r="C57" s="973"/>
      <c r="D57" s="29">
        <f t="shared" si="67"/>
        <v>0</v>
      </c>
      <c r="E57" s="29">
        <f t="shared" si="68"/>
        <v>0</v>
      </c>
      <c r="F57" s="29">
        <f t="shared" si="69"/>
        <v>0</v>
      </c>
      <c r="G57" s="33">
        <v>0</v>
      </c>
      <c r="H57" s="30"/>
      <c r="I57" s="33">
        <f t="shared" si="70"/>
        <v>0</v>
      </c>
      <c r="J57" s="33">
        <v>0</v>
      </c>
      <c r="K57" s="30"/>
      <c r="L57" s="33">
        <f t="shared" si="71"/>
        <v>0</v>
      </c>
      <c r="M57" s="33">
        <v>0</v>
      </c>
      <c r="N57" s="30"/>
      <c r="O57" s="33">
        <f t="shared" si="72"/>
        <v>0</v>
      </c>
      <c r="P57" s="30">
        <v>0</v>
      </c>
      <c r="Q57" s="30"/>
      <c r="R57" s="33">
        <f t="shared" si="73"/>
        <v>0</v>
      </c>
      <c r="S57" s="33">
        <v>0</v>
      </c>
      <c r="T57" s="30"/>
      <c r="U57" s="33">
        <f t="shared" si="74"/>
        <v>0</v>
      </c>
      <c r="V57" s="33">
        <v>0</v>
      </c>
      <c r="W57" s="30"/>
      <c r="X57" s="33">
        <f t="shared" si="75"/>
        <v>0</v>
      </c>
      <c r="Y57" s="33">
        <v>0</v>
      </c>
      <c r="Z57" s="30"/>
      <c r="AA57" s="33">
        <f t="shared" si="79"/>
        <v>0</v>
      </c>
      <c r="AB57" s="33">
        <v>0</v>
      </c>
      <c r="AC57" s="30"/>
      <c r="AD57" s="33">
        <f t="shared" si="76"/>
        <v>0</v>
      </c>
      <c r="AE57" s="30">
        <v>0</v>
      </c>
      <c r="AF57" s="30"/>
      <c r="AG57" s="33">
        <f t="shared" si="77"/>
        <v>0</v>
      </c>
      <c r="AH57" s="30">
        <v>0</v>
      </c>
      <c r="AI57" s="30"/>
      <c r="AJ57" s="33">
        <f t="shared" si="78"/>
        <v>0</v>
      </c>
    </row>
    <row r="58" spans="1:36" ht="12.75" customHeight="1">
      <c r="A58" s="3" t="s">
        <v>132</v>
      </c>
      <c r="B58" s="973" t="s">
        <v>131</v>
      </c>
      <c r="C58" s="973"/>
      <c r="D58" s="29">
        <f t="shared" si="67"/>
        <v>7970</v>
      </c>
      <c r="E58" s="29">
        <f t="shared" si="68"/>
        <v>3516</v>
      </c>
      <c r="F58" s="29">
        <f t="shared" si="69"/>
        <v>11486</v>
      </c>
      <c r="G58" s="33">
        <v>52</v>
      </c>
      <c r="H58" s="30"/>
      <c r="I58" s="33">
        <f t="shared" si="70"/>
        <v>52</v>
      </c>
      <c r="J58" s="33">
        <v>0</v>
      </c>
      <c r="K58" s="30"/>
      <c r="L58" s="33">
        <f t="shared" si="71"/>
        <v>0</v>
      </c>
      <c r="M58" s="33">
        <v>1152</v>
      </c>
      <c r="N58" s="30"/>
      <c r="O58" s="33">
        <f t="shared" si="72"/>
        <v>1152</v>
      </c>
      <c r="P58" s="30">
        <v>6663</v>
      </c>
      <c r="Q58" s="30">
        <v>1841</v>
      </c>
      <c r="R58" s="33">
        <f t="shared" si="73"/>
        <v>8504</v>
      </c>
      <c r="S58" s="33">
        <v>0</v>
      </c>
      <c r="T58" s="30"/>
      <c r="U58" s="33">
        <f t="shared" si="74"/>
        <v>0</v>
      </c>
      <c r="V58" s="33">
        <v>0</v>
      </c>
      <c r="W58" s="30"/>
      <c r="X58" s="33">
        <f t="shared" si="75"/>
        <v>0</v>
      </c>
      <c r="Y58" s="33">
        <v>0</v>
      </c>
      <c r="Z58" s="30"/>
      <c r="AA58" s="33">
        <f t="shared" si="79"/>
        <v>0</v>
      </c>
      <c r="AB58" s="33">
        <v>103</v>
      </c>
      <c r="AC58" s="30">
        <v>1675</v>
      </c>
      <c r="AD58" s="33">
        <f t="shared" si="76"/>
        <v>1778</v>
      </c>
      <c r="AE58" s="30">
        <v>0</v>
      </c>
      <c r="AF58" s="30"/>
      <c r="AG58" s="33">
        <f t="shared" si="77"/>
        <v>0</v>
      </c>
      <c r="AH58" s="30">
        <v>0</v>
      </c>
      <c r="AI58" s="30"/>
      <c r="AJ58" s="33">
        <f t="shared" si="78"/>
        <v>0</v>
      </c>
    </row>
    <row r="59" spans="1:36" s="47" customFormat="1" ht="12.75" customHeight="1">
      <c r="A59" s="6" t="s">
        <v>133</v>
      </c>
      <c r="B59" s="969" t="s">
        <v>161</v>
      </c>
      <c r="C59" s="969"/>
      <c r="D59" s="59">
        <f>SUM(D55:D58)</f>
        <v>37489</v>
      </c>
      <c r="E59" s="59">
        <f t="shared" ref="E59:AG59" si="80">SUM(E55:E58)</f>
        <v>16538</v>
      </c>
      <c r="F59" s="59">
        <f t="shared" si="80"/>
        <v>54027</v>
      </c>
      <c r="G59" s="59">
        <v>245</v>
      </c>
      <c r="H59" s="59">
        <f t="shared" si="80"/>
        <v>0</v>
      </c>
      <c r="I59" s="59">
        <f t="shared" si="80"/>
        <v>245</v>
      </c>
      <c r="J59" s="59">
        <v>0</v>
      </c>
      <c r="K59" s="59">
        <f t="shared" ref="K59:L59" si="81">SUM(K55:K58)</f>
        <v>0</v>
      </c>
      <c r="L59" s="59">
        <f t="shared" si="81"/>
        <v>0</v>
      </c>
      <c r="M59" s="59">
        <v>5418</v>
      </c>
      <c r="N59" s="59">
        <f t="shared" si="80"/>
        <v>0</v>
      </c>
      <c r="O59" s="59">
        <f t="shared" si="80"/>
        <v>5418</v>
      </c>
      <c r="P59" s="59">
        <v>31340</v>
      </c>
      <c r="Q59" s="59">
        <f t="shared" ref="Q59:X59" si="82">SUM(Q55:Q58)</f>
        <v>8660</v>
      </c>
      <c r="R59" s="59">
        <f t="shared" si="82"/>
        <v>40000</v>
      </c>
      <c r="S59" s="59">
        <v>0</v>
      </c>
      <c r="T59" s="59">
        <f t="shared" si="82"/>
        <v>0</v>
      </c>
      <c r="U59" s="59">
        <f t="shared" si="82"/>
        <v>0</v>
      </c>
      <c r="V59" s="59">
        <v>0</v>
      </c>
      <c r="W59" s="59">
        <f t="shared" si="82"/>
        <v>0</v>
      </c>
      <c r="X59" s="59">
        <f t="shared" si="82"/>
        <v>0</v>
      </c>
      <c r="Y59" s="59">
        <v>0</v>
      </c>
      <c r="Z59" s="59">
        <f t="shared" si="80"/>
        <v>0</v>
      </c>
      <c r="AA59" s="58">
        <f t="shared" si="79"/>
        <v>0</v>
      </c>
      <c r="AB59" s="59">
        <v>486</v>
      </c>
      <c r="AC59" s="59">
        <f t="shared" ref="AC59:AD59" si="83">SUM(AC55:AC58)</f>
        <v>7878</v>
      </c>
      <c r="AD59" s="59">
        <f t="shared" si="83"/>
        <v>8364</v>
      </c>
      <c r="AE59" s="59">
        <v>0</v>
      </c>
      <c r="AF59" s="59">
        <f t="shared" si="80"/>
        <v>0</v>
      </c>
      <c r="AG59" s="59">
        <f t="shared" si="80"/>
        <v>0</v>
      </c>
      <c r="AH59" s="59">
        <v>0</v>
      </c>
      <c r="AI59" s="59">
        <f t="shared" ref="AI59:AJ59" si="84">SUM(AI55:AI58)</f>
        <v>0</v>
      </c>
      <c r="AJ59" s="59">
        <f t="shared" si="84"/>
        <v>0</v>
      </c>
    </row>
    <row r="60" spans="1:36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hidden="1">
      <c r="A61" s="186" t="s">
        <v>385</v>
      </c>
      <c r="B61" s="970" t="s">
        <v>386</v>
      </c>
      <c r="C61" s="970"/>
      <c r="D61" s="30">
        <f>+G61+M61+Y61+AE61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hidden="1">
      <c r="A62" s="186" t="s">
        <v>400</v>
      </c>
      <c r="B62" s="976" t="s">
        <v>401</v>
      </c>
      <c r="C62" s="977"/>
      <c r="D62" s="30">
        <f>+G62+M62+Y62+AE62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 ht="12.75" hidden="1" customHeight="1">
      <c r="A63" s="12" t="s">
        <v>701</v>
      </c>
      <c r="B63" s="970" t="s">
        <v>402</v>
      </c>
      <c r="C63" s="970"/>
      <c r="D63" s="30">
        <f>+G63+M63+Y63+AE63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1:36" s="47" customFormat="1" ht="12.75" customHeight="1">
      <c r="A64" s="15" t="s">
        <v>135</v>
      </c>
      <c r="B64" s="974" t="s">
        <v>159</v>
      </c>
      <c r="C64" s="974"/>
      <c r="D64" s="57">
        <f>+G64+J64+M64+P64+S64+V64+Y64+AB64+AE64+AH64</f>
        <v>0</v>
      </c>
      <c r="E64" s="57">
        <f>+H64+K64+N64+Q64+T64+W64+Z64+AC64+AF64+AI64</f>
        <v>2000</v>
      </c>
      <c r="F64" s="57">
        <f>+I64+L64+O64+R64+U64+X64+AA64+AD64+AG64+AJ64</f>
        <v>2000</v>
      </c>
      <c r="G64" s="57">
        <v>0</v>
      </c>
      <c r="H64" s="57">
        <f t="shared" ref="H64:AG64" si="85">SUM(H61:H63)</f>
        <v>0</v>
      </c>
      <c r="I64" s="57">
        <f t="shared" si="85"/>
        <v>0</v>
      </c>
      <c r="J64" s="57">
        <v>0</v>
      </c>
      <c r="K64" s="57">
        <f t="shared" ref="K64:L64" si="86">SUM(K61:K63)</f>
        <v>0</v>
      </c>
      <c r="L64" s="57">
        <f t="shared" si="86"/>
        <v>0</v>
      </c>
      <c r="M64" s="57">
        <v>0</v>
      </c>
      <c r="N64" s="57">
        <f t="shared" si="85"/>
        <v>0</v>
      </c>
      <c r="O64" s="57">
        <f t="shared" si="85"/>
        <v>0</v>
      </c>
      <c r="P64" s="57">
        <v>0</v>
      </c>
      <c r="Q64" s="57">
        <f t="shared" ref="Q64:X64" si="87">SUM(Q61:Q63)</f>
        <v>0</v>
      </c>
      <c r="R64" s="57">
        <f t="shared" si="87"/>
        <v>0</v>
      </c>
      <c r="S64" s="57">
        <v>0</v>
      </c>
      <c r="T64" s="57">
        <f t="shared" si="87"/>
        <v>0</v>
      </c>
      <c r="U64" s="57">
        <f t="shared" si="87"/>
        <v>0</v>
      </c>
      <c r="V64" s="57">
        <v>0</v>
      </c>
      <c r="W64" s="57">
        <f t="shared" si="87"/>
        <v>0</v>
      </c>
      <c r="X64" s="57">
        <f t="shared" si="87"/>
        <v>0</v>
      </c>
      <c r="Y64" s="57">
        <v>0</v>
      </c>
      <c r="Z64" s="57">
        <f t="shared" si="85"/>
        <v>0</v>
      </c>
      <c r="AA64" s="57">
        <v>0</v>
      </c>
      <c r="AB64" s="57">
        <v>0</v>
      </c>
      <c r="AC64" s="57">
        <f t="shared" ref="AC64:AD64" si="88">SUM(AC61:AC63)</f>
        <v>0</v>
      </c>
      <c r="AD64" s="57">
        <f t="shared" si="88"/>
        <v>0</v>
      </c>
      <c r="AE64" s="57">
        <v>0</v>
      </c>
      <c r="AF64" s="57">
        <f t="shared" si="85"/>
        <v>0</v>
      </c>
      <c r="AG64" s="57">
        <f t="shared" si="85"/>
        <v>0</v>
      </c>
      <c r="AH64" s="57">
        <v>0</v>
      </c>
      <c r="AI64" s="57">
        <v>2000</v>
      </c>
      <c r="AJ64" s="57">
        <f>+AH64+AI64</f>
        <v>2000</v>
      </c>
    </row>
    <row r="65" spans="1:36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2"/>
      <c r="N65" s="31"/>
      <c r="O65" s="32"/>
      <c r="P65" s="31"/>
      <c r="Q65" s="31"/>
      <c r="R65" s="32"/>
      <c r="S65" s="31"/>
      <c r="T65" s="31"/>
      <c r="U65" s="32"/>
      <c r="V65" s="31"/>
      <c r="W65" s="31"/>
      <c r="X65" s="32"/>
      <c r="Y65" s="32"/>
      <c r="Z65" s="31"/>
      <c r="AA65" s="32"/>
      <c r="AB65" s="31"/>
      <c r="AC65" s="31"/>
      <c r="AD65" s="32"/>
      <c r="AE65" s="31"/>
      <c r="AF65" s="31"/>
      <c r="AG65" s="31"/>
      <c r="AH65" s="31"/>
      <c r="AI65" s="31"/>
      <c r="AJ65" s="31"/>
    </row>
    <row r="66" spans="1:36" s="47" customFormat="1" ht="12.75" customHeight="1">
      <c r="A66" s="17" t="s">
        <v>136</v>
      </c>
      <c r="B66" s="984" t="s">
        <v>158</v>
      </c>
      <c r="C66" s="984"/>
      <c r="D66" s="105">
        <f>+G66+M66+Y66+AE66+P66+J66+S66+V66+AB66+AH66</f>
        <v>219957</v>
      </c>
      <c r="E66" s="105">
        <f t="shared" ref="E66:F66" si="89">+H66+N66+Z66+AF66+Q66+K66+T66+W66+AC66+AI66</f>
        <v>43663</v>
      </c>
      <c r="F66" s="105">
        <f t="shared" si="89"/>
        <v>273985</v>
      </c>
      <c r="G66" s="58">
        <v>25847</v>
      </c>
      <c r="H66" s="58">
        <f t="shared" ref="H66:AG66" si="90">+H64+H59+H53+H44+H35+H9+H7</f>
        <v>113</v>
      </c>
      <c r="I66" s="58">
        <f t="shared" si="90"/>
        <v>25960</v>
      </c>
      <c r="J66" s="58">
        <v>32424</v>
      </c>
      <c r="K66" s="58">
        <f t="shared" ref="K66:L66" si="91">+K64+K59+K53+K44+K35+K9+K7</f>
        <v>0</v>
      </c>
      <c r="L66" s="58">
        <f t="shared" si="91"/>
        <v>32424</v>
      </c>
      <c r="M66" s="58">
        <v>8568</v>
      </c>
      <c r="N66" s="58">
        <f t="shared" si="90"/>
        <v>0</v>
      </c>
      <c r="O66" s="58">
        <f t="shared" si="90"/>
        <v>8568</v>
      </c>
      <c r="P66" s="58">
        <v>57945</v>
      </c>
      <c r="Q66" s="58">
        <f t="shared" ref="Q66:X66" si="92">+Q64+Q59+Q53+Q44+Q35+Q9+Q7</f>
        <v>12270</v>
      </c>
      <c r="R66" s="58">
        <f t="shared" si="92"/>
        <v>70215</v>
      </c>
      <c r="S66" s="58">
        <v>56127</v>
      </c>
      <c r="T66" s="58">
        <f t="shared" si="92"/>
        <v>-34273</v>
      </c>
      <c r="U66" s="58">
        <f t="shared" si="92"/>
        <v>32219</v>
      </c>
      <c r="V66" s="58">
        <v>1499</v>
      </c>
      <c r="W66" s="58">
        <f t="shared" si="92"/>
        <v>6750</v>
      </c>
      <c r="X66" s="58">
        <f t="shared" si="92"/>
        <v>8249</v>
      </c>
      <c r="Y66" s="58">
        <v>33059</v>
      </c>
      <c r="Z66" s="58">
        <f t="shared" si="90"/>
        <v>4019</v>
      </c>
      <c r="AA66" s="58">
        <f>+AA64+AA59+AA53+AA44+AA35+AA9+AA7</f>
        <v>37078</v>
      </c>
      <c r="AB66" s="58">
        <v>1685</v>
      </c>
      <c r="AC66" s="58">
        <f t="shared" ref="AC66:AD66" si="93">+AC64+AC59+AC53+AC44+AC35+AC9+AC7</f>
        <v>11594</v>
      </c>
      <c r="AD66" s="58">
        <f t="shared" si="93"/>
        <v>13279</v>
      </c>
      <c r="AE66" s="58">
        <v>2803</v>
      </c>
      <c r="AF66" s="58">
        <f t="shared" si="90"/>
        <v>35149</v>
      </c>
      <c r="AG66" s="58">
        <f t="shared" si="90"/>
        <v>37952</v>
      </c>
      <c r="AH66" s="58"/>
      <c r="AI66" s="58">
        <f t="shared" ref="AI66:AJ66" si="94">+AI64+AI59+AI53+AI44+AI35+AI9+AI7</f>
        <v>8041</v>
      </c>
      <c r="AJ66" s="58">
        <f t="shared" si="94"/>
        <v>8041</v>
      </c>
    </row>
  </sheetData>
  <mergeCells count="81">
    <mergeCell ref="AH1:AJ1"/>
    <mergeCell ref="AH2:AJ2"/>
    <mergeCell ref="AH3:AJ3"/>
    <mergeCell ref="M2:O2"/>
    <mergeCell ref="Y2:AA2"/>
    <mergeCell ref="AE2:AG2"/>
    <mergeCell ref="M3:O3"/>
    <mergeCell ref="Y3:AA3"/>
    <mergeCell ref="AE3:AG3"/>
    <mergeCell ref="P2:R2"/>
    <mergeCell ref="P3:R3"/>
    <mergeCell ref="AB2:AD2"/>
    <mergeCell ref="AB3:AD3"/>
    <mergeCell ref="AE1:AG1"/>
    <mergeCell ref="B6:C6"/>
    <mergeCell ref="A2:A4"/>
    <mergeCell ref="B2:C4"/>
    <mergeCell ref="D2:F2"/>
    <mergeCell ref="G2:I2"/>
    <mergeCell ref="B5:C5"/>
    <mergeCell ref="D3:F3"/>
    <mergeCell ref="G3:I3"/>
    <mergeCell ref="J2:L2"/>
    <mergeCell ref="J3:L3"/>
    <mergeCell ref="S2:U2"/>
    <mergeCell ref="S3:U3"/>
    <mergeCell ref="V2:X2"/>
    <mergeCell ref="V3:X3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1:C61"/>
    <mergeCell ref="B62:C62"/>
    <mergeCell ref="B63:C63"/>
    <mergeCell ref="B64:C64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</mergeCells>
  <printOptions horizontalCentered="1"/>
  <pageMargins left="0.31496062992125984" right="0.31496062992125984" top="0.74803149606299213" bottom="0.55118110236220474" header="0.31496062992125984" footer="0.31496062992125984"/>
  <pageSetup paperSize="8" fitToWidth="2" orientation="landscape" cellComments="asDisplayed" r:id="rId1"/>
  <headerFooter>
    <oddHeader>&amp;C&amp;"Times New Roman,Félkövér"&amp;12Martonvásár Város Önkormányzatának kiadásai 2016.
Városfejlesztési feladatok saját forrásból&amp;R&amp;"Times New Roman,Félkövér"&amp;10 5/b. melléklet</oddHead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workbookViewId="0">
      <selection activeCell="P4" sqref="P4:R4"/>
    </sheetView>
  </sheetViews>
  <sheetFormatPr defaultColWidth="9.109375" defaultRowHeight="14.4"/>
  <cols>
    <col min="1" max="1" width="8.109375" style="27" customWidth="1"/>
    <col min="2" max="2" width="7.109375" style="28" customWidth="1"/>
    <col min="3" max="3" width="31" style="28" customWidth="1"/>
    <col min="4" max="4" width="8.109375" style="19" customWidth="1"/>
    <col min="5" max="5" width="8.44140625" style="19" customWidth="1"/>
    <col min="6" max="6" width="8.109375" style="19" customWidth="1"/>
    <col min="7" max="7" width="7.5546875" style="19" customWidth="1"/>
    <col min="8" max="8" width="7.109375" style="19" customWidth="1"/>
    <col min="9" max="9" width="8.109375" style="19" customWidth="1"/>
    <col min="10" max="10" width="7.88671875" style="19" customWidth="1"/>
    <col min="11" max="11" width="7.6640625" style="19" customWidth="1"/>
    <col min="12" max="12" width="7.88671875" style="19" customWidth="1"/>
    <col min="13" max="13" width="7.109375" style="19" customWidth="1"/>
    <col min="14" max="14" width="8" style="19" customWidth="1"/>
    <col min="15" max="15" width="7.5546875" style="19" customWidth="1"/>
    <col min="16" max="16" width="8" style="19" customWidth="1"/>
    <col min="17" max="17" width="7.88671875" style="19" customWidth="1"/>
    <col min="18" max="18" width="7.33203125" style="19" customWidth="1"/>
    <col min="19" max="21" width="8.88671875" customWidth="1"/>
    <col min="22" max="16384" width="9.109375" style="19"/>
  </cols>
  <sheetData>
    <row r="1" spans="1:18" s="1" customFormat="1" ht="12.75" customHeight="1">
      <c r="A1" s="27"/>
      <c r="B1" s="28"/>
      <c r="C1" s="28"/>
      <c r="P1" s="978" t="s">
        <v>399</v>
      </c>
      <c r="Q1" s="978"/>
      <c r="R1" s="978"/>
    </row>
    <row r="2" spans="1:18" s="34" customFormat="1" ht="28.5" customHeight="1">
      <c r="A2" s="971" t="s">
        <v>0</v>
      </c>
      <c r="B2" s="971" t="s">
        <v>180</v>
      </c>
      <c r="C2" s="971"/>
      <c r="D2" s="989" t="s">
        <v>178</v>
      </c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  <c r="R2" s="989"/>
    </row>
    <row r="3" spans="1:18" s="34" customFormat="1" ht="13.2">
      <c r="A3" s="971"/>
      <c r="B3" s="971"/>
      <c r="C3" s="971"/>
      <c r="D3" s="989"/>
      <c r="E3" s="989"/>
      <c r="F3" s="989"/>
      <c r="G3" s="989" t="s">
        <v>290</v>
      </c>
      <c r="H3" s="989"/>
      <c r="I3" s="989"/>
      <c r="J3" s="989" t="s">
        <v>290</v>
      </c>
      <c r="K3" s="989"/>
      <c r="L3" s="989"/>
      <c r="M3" s="989" t="s">
        <v>290</v>
      </c>
      <c r="N3" s="989"/>
      <c r="O3" s="989"/>
      <c r="P3" s="989" t="s">
        <v>290</v>
      </c>
      <c r="Q3" s="989"/>
      <c r="R3" s="989"/>
    </row>
    <row r="4" spans="1:18" s="18" customFormat="1" ht="26.4">
      <c r="A4" s="971"/>
      <c r="B4" s="971"/>
      <c r="C4" s="971"/>
      <c r="D4" s="828" t="s">
        <v>870</v>
      </c>
      <c r="E4" s="828" t="s">
        <v>732</v>
      </c>
      <c r="F4" s="828" t="s">
        <v>947</v>
      </c>
      <c r="G4" s="828" t="s">
        <v>870</v>
      </c>
      <c r="H4" s="828" t="s">
        <v>732</v>
      </c>
      <c r="I4" s="828" t="s">
        <v>947</v>
      </c>
      <c r="J4" s="828" t="s">
        <v>870</v>
      </c>
      <c r="K4" s="828" t="s">
        <v>732</v>
      </c>
      <c r="L4" s="828" t="s">
        <v>947</v>
      </c>
      <c r="M4" s="828" t="s">
        <v>870</v>
      </c>
      <c r="N4" s="828" t="s">
        <v>732</v>
      </c>
      <c r="O4" s="828" t="s">
        <v>947</v>
      </c>
      <c r="P4" s="828" t="s">
        <v>870</v>
      </c>
      <c r="Q4" s="828" t="s">
        <v>732</v>
      </c>
      <c r="R4" s="828" t="s">
        <v>947</v>
      </c>
    </row>
    <row r="5" spans="1:18" s="47" customFormat="1" ht="12.75" customHeight="1">
      <c r="A5" s="5" t="s">
        <v>27</v>
      </c>
      <c r="B5" s="972" t="s">
        <v>175</v>
      </c>
      <c r="C5" s="972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972" t="s">
        <v>174</v>
      </c>
      <c r="C6" s="972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969" t="s">
        <v>173</v>
      </c>
      <c r="C7" s="969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972" t="s">
        <v>172</v>
      </c>
      <c r="C9" s="972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86"/>
      <c r="B10" s="26"/>
      <c r="C10" s="11"/>
      <c r="D10" s="323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hidden="1" customHeight="1">
      <c r="A11" s="12" t="s">
        <v>43</v>
      </c>
      <c r="B11" s="970" t="s">
        <v>42</v>
      </c>
      <c r="C11" s="970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hidden="1" customHeight="1">
      <c r="A12" s="3" t="s">
        <v>45</v>
      </c>
      <c r="B12" s="973" t="s">
        <v>44</v>
      </c>
      <c r="C12" s="973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hidden="1" customHeight="1">
      <c r="A13" s="3" t="s">
        <v>47</v>
      </c>
      <c r="B13" s="973" t="s">
        <v>46</v>
      </c>
      <c r="C13" s="973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972" t="s">
        <v>171</v>
      </c>
      <c r="C14" s="972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hidden="1" customHeight="1">
      <c r="A15" s="3" t="s">
        <v>50</v>
      </c>
      <c r="B15" s="973" t="s">
        <v>49</v>
      </c>
      <c r="C15" s="973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hidden="1" customHeight="1">
      <c r="A16" s="3" t="s">
        <v>52</v>
      </c>
      <c r="B16" s="973" t="s">
        <v>51</v>
      </c>
      <c r="C16" s="973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972" t="s">
        <v>170</v>
      </c>
      <c r="C17" s="972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hidden="1" customHeight="1">
      <c r="A18" s="3" t="s">
        <v>55</v>
      </c>
      <c r="B18" s="973" t="s">
        <v>54</v>
      </c>
      <c r="C18" s="973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hidden="1" customHeight="1">
      <c r="A19" s="3" t="s">
        <v>57</v>
      </c>
      <c r="B19" s="973" t="s">
        <v>56</v>
      </c>
      <c r="C19" s="973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hidden="1" customHeight="1">
      <c r="A20" s="3" t="s">
        <v>58</v>
      </c>
      <c r="B20" s="973" t="s">
        <v>168</v>
      </c>
      <c r="C20" s="973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hidden="1" customHeight="1">
      <c r="A21" s="3" t="s">
        <v>60</v>
      </c>
      <c r="B21" s="973" t="s">
        <v>59</v>
      </c>
      <c r="C21" s="973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hidden="1" customHeight="1">
      <c r="A22" s="3" t="s">
        <v>61</v>
      </c>
      <c r="B22" s="973" t="s">
        <v>167</v>
      </c>
      <c r="C22" s="973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hidden="1" customHeight="1">
      <c r="A23" s="3" t="s">
        <v>64</v>
      </c>
      <c r="B23" s="973" t="s">
        <v>63</v>
      </c>
      <c r="C23" s="973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hidden="1" customHeight="1">
      <c r="A24" s="3" t="s">
        <v>66</v>
      </c>
      <c r="B24" s="973" t="s">
        <v>65</v>
      </c>
      <c r="C24" s="973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972" t="s">
        <v>157</v>
      </c>
      <c r="C25" s="972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hidden="1" customHeight="1">
      <c r="A26" s="3" t="s">
        <v>69</v>
      </c>
      <c r="B26" s="973" t="s">
        <v>68</v>
      </c>
      <c r="C26" s="973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hidden="1" customHeight="1">
      <c r="A27" s="3" t="s">
        <v>71</v>
      </c>
      <c r="B27" s="973" t="s">
        <v>70</v>
      </c>
      <c r="C27" s="973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972" t="s">
        <v>156</v>
      </c>
      <c r="C28" s="972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hidden="1" customHeight="1">
      <c r="A29" s="3" t="s">
        <v>74</v>
      </c>
      <c r="B29" s="973" t="s">
        <v>73</v>
      </c>
      <c r="C29" s="973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hidden="1" customHeight="1">
      <c r="A30" s="3" t="s">
        <v>76</v>
      </c>
      <c r="B30" s="973" t="s">
        <v>75</v>
      </c>
      <c r="C30" s="973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hidden="1" customHeight="1">
      <c r="A31" s="3" t="s">
        <v>77</v>
      </c>
      <c r="B31" s="973" t="s">
        <v>155</v>
      </c>
      <c r="C31" s="973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hidden="1" customHeight="1">
      <c r="A32" s="3" t="s">
        <v>78</v>
      </c>
      <c r="B32" s="973" t="s">
        <v>154</v>
      </c>
      <c r="C32" s="973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hidden="1" customHeight="1">
      <c r="A33" s="3" t="s">
        <v>80</v>
      </c>
      <c r="B33" s="973" t="s">
        <v>79</v>
      </c>
      <c r="C33" s="973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972" t="s">
        <v>153</v>
      </c>
      <c r="C34" s="972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969" t="s">
        <v>152</v>
      </c>
      <c r="C35" s="969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324"/>
      <c r="B36" s="325"/>
      <c r="C36" s="325"/>
      <c r="D36" s="326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</row>
    <row r="37" spans="1:18" ht="12" customHeight="1">
      <c r="A37" s="7"/>
      <c r="B37" s="983"/>
      <c r="C37" s="983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customHeight="1">
      <c r="A38" s="3" t="s">
        <v>97</v>
      </c>
      <c r="B38" s="968" t="s">
        <v>96</v>
      </c>
      <c r="C38" s="968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customHeight="1">
      <c r="A39" s="3" t="s">
        <v>99</v>
      </c>
      <c r="B39" s="968" t="s">
        <v>98</v>
      </c>
      <c r="C39" s="968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customHeight="1">
      <c r="A40" s="3" t="s">
        <v>102</v>
      </c>
      <c r="B40" s="968" t="s">
        <v>166</v>
      </c>
      <c r="C40" s="968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customHeight="1">
      <c r="A41" s="3" t="s">
        <v>104</v>
      </c>
      <c r="B41" s="968" t="s">
        <v>103</v>
      </c>
      <c r="C41" s="968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customHeight="1">
      <c r="A42" s="3" t="s">
        <v>108</v>
      </c>
      <c r="B42" s="968" t="s">
        <v>165</v>
      </c>
      <c r="C42" s="968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customHeight="1">
      <c r="A43" s="3" t="s">
        <v>700</v>
      </c>
      <c r="B43" s="973" t="s">
        <v>107</v>
      </c>
      <c r="C43" s="973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972" t="s">
        <v>164</v>
      </c>
      <c r="C44" s="972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970" t="s">
        <v>110</v>
      </c>
      <c r="C46" s="970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973" t="s">
        <v>163</v>
      </c>
      <c r="C47" s="973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973" t="s">
        <v>114</v>
      </c>
      <c r="C48" s="973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973" t="s">
        <v>116</v>
      </c>
      <c r="C49" s="973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973" t="s">
        <v>118</v>
      </c>
      <c r="C50" s="973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973" t="s">
        <v>120</v>
      </c>
      <c r="C51" s="973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973" t="s">
        <v>122</v>
      </c>
      <c r="C52" s="973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969" t="s">
        <v>162</v>
      </c>
      <c r="C53" s="969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973" t="s">
        <v>125</v>
      </c>
      <c r="C55" s="973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973" t="s">
        <v>127</v>
      </c>
      <c r="C56" s="97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973" t="s">
        <v>129</v>
      </c>
      <c r="C57" s="97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973" t="s">
        <v>131</v>
      </c>
      <c r="C58" s="973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969" t="s">
        <v>161</v>
      </c>
      <c r="C59" s="96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34"/>
    </row>
    <row r="61" spans="1:20" hidden="1">
      <c r="A61" s="186" t="s">
        <v>385</v>
      </c>
      <c r="B61" s="970" t="s">
        <v>386</v>
      </c>
      <c r="C61" s="970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86" t="s">
        <v>400</v>
      </c>
      <c r="B62" s="976" t="s">
        <v>401</v>
      </c>
      <c r="C62" s="977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970" t="s">
        <v>402</v>
      </c>
      <c r="C63" s="970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974" t="s">
        <v>159</v>
      </c>
      <c r="C64" s="974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984" t="s">
        <v>158</v>
      </c>
      <c r="C66" s="984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8">
    <mergeCell ref="P1:R1"/>
    <mergeCell ref="B55:C55"/>
    <mergeCell ref="B42:C42"/>
    <mergeCell ref="B43:C43"/>
    <mergeCell ref="B44:C44"/>
    <mergeCell ref="B46:C46"/>
    <mergeCell ref="B47:C47"/>
    <mergeCell ref="B48:C48"/>
    <mergeCell ref="B29:C29"/>
    <mergeCell ref="B32:C32"/>
    <mergeCell ref="B33:C33"/>
    <mergeCell ref="B34:C34"/>
    <mergeCell ref="B30:C30"/>
    <mergeCell ref="B31:C31"/>
    <mergeCell ref="B37:C37"/>
    <mergeCell ref="B52:C52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53:C53"/>
    <mergeCell ref="B41:C41"/>
    <mergeCell ref="B49:C49"/>
    <mergeCell ref="B50:C50"/>
    <mergeCell ref="B51:C51"/>
    <mergeCell ref="B40:C40"/>
    <mergeCell ref="B35:C35"/>
    <mergeCell ref="B25:C25"/>
    <mergeCell ref="B26:C26"/>
    <mergeCell ref="B27:C27"/>
    <mergeCell ref="B16:C16"/>
    <mergeCell ref="B17:C17"/>
    <mergeCell ref="B18:C18"/>
    <mergeCell ref="B38:C38"/>
    <mergeCell ref="B39:C39"/>
    <mergeCell ref="B24:C24"/>
    <mergeCell ref="B28:C28"/>
    <mergeCell ref="B19:C19"/>
    <mergeCell ref="B20:C20"/>
    <mergeCell ref="B21:C21"/>
    <mergeCell ref="B22:C22"/>
    <mergeCell ref="B23:C23"/>
    <mergeCell ref="B14:C14"/>
    <mergeCell ref="B15:C15"/>
    <mergeCell ref="M2:O2"/>
    <mergeCell ref="P2:R2"/>
    <mergeCell ref="G3:I3"/>
    <mergeCell ref="J3:L3"/>
    <mergeCell ref="M3:O3"/>
    <mergeCell ref="P3:R3"/>
    <mergeCell ref="D2:F2"/>
    <mergeCell ref="B13:C13"/>
    <mergeCell ref="B5:C5"/>
    <mergeCell ref="B6:C6"/>
    <mergeCell ref="B7:C7"/>
    <mergeCell ref="B9:C9"/>
    <mergeCell ref="B11:C11"/>
    <mergeCell ref="B12:C1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6" orientation="landscape" cellComments="asDisplayed" r:id="rId1"/>
  <headerFooter>
    <oddHeader>&amp;C&amp;"Times New Roman,Félkövér"&amp;12Martonvásár Város Önkormányzatának kiadásai 2016.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58"/>
  <sheetViews>
    <sheetView workbookViewId="0">
      <pane xSplit="3" ySplit="4" topLeftCell="D23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H12" sqref="H12"/>
    </sheetView>
  </sheetViews>
  <sheetFormatPr defaultColWidth="9.109375" defaultRowHeight="13.2"/>
  <cols>
    <col min="1" max="1" width="7.33203125" style="27" customWidth="1"/>
    <col min="2" max="2" width="7.109375" style="28" customWidth="1"/>
    <col min="3" max="3" width="32" style="28" customWidth="1"/>
    <col min="4" max="7" width="7.6640625" style="19" customWidth="1"/>
    <col min="8" max="8" width="6.6640625" style="19" customWidth="1"/>
    <col min="9" max="9" width="7.44140625" style="19" customWidth="1"/>
    <col min="10" max="10" width="7.33203125" style="19" customWidth="1"/>
    <col min="11" max="11" width="7.6640625" style="19" customWidth="1"/>
    <col min="12" max="12" width="7" style="19" customWidth="1"/>
    <col min="13" max="13" width="7.6640625" style="19" customWidth="1"/>
    <col min="14" max="14" width="7.44140625" style="19" customWidth="1"/>
    <col min="15" max="16" width="7.6640625" style="19" customWidth="1"/>
    <col min="17" max="17" width="6.6640625" style="19" customWidth="1"/>
    <col min="18" max="18" width="7.6640625" style="19" customWidth="1"/>
    <col min="19" max="16384" width="9.109375" style="19"/>
  </cols>
  <sheetData>
    <row r="1" spans="1:18" s="1" customFormat="1" ht="14.4">
      <c r="A1" s="27"/>
      <c r="B1" s="28"/>
      <c r="C1" s="28"/>
      <c r="P1" s="990" t="s">
        <v>399</v>
      </c>
      <c r="Q1" s="990"/>
      <c r="R1" s="990"/>
    </row>
    <row r="2" spans="1:18" s="34" customFormat="1" ht="33.75" customHeight="1">
      <c r="A2" s="971" t="s">
        <v>0</v>
      </c>
      <c r="B2" s="971" t="s">
        <v>180</v>
      </c>
      <c r="C2" s="971"/>
      <c r="D2" s="989" t="s">
        <v>178</v>
      </c>
      <c r="E2" s="989"/>
      <c r="F2" s="989"/>
      <c r="G2" s="989" t="s">
        <v>184</v>
      </c>
      <c r="H2" s="989"/>
      <c r="I2" s="989"/>
      <c r="J2" s="989" t="s">
        <v>185</v>
      </c>
      <c r="K2" s="989"/>
      <c r="L2" s="989"/>
      <c r="M2" s="994" t="s">
        <v>186</v>
      </c>
      <c r="N2" s="994"/>
      <c r="O2" s="994"/>
      <c r="P2" s="994" t="s">
        <v>189</v>
      </c>
      <c r="Q2" s="994"/>
      <c r="R2" s="994"/>
    </row>
    <row r="3" spans="1:18" s="34" customFormat="1" ht="12.75" customHeight="1">
      <c r="A3" s="971"/>
      <c r="B3" s="971"/>
      <c r="C3" s="971"/>
      <c r="D3" s="199"/>
      <c r="E3" s="199"/>
      <c r="F3" s="199"/>
      <c r="G3" s="989" t="s">
        <v>187</v>
      </c>
      <c r="H3" s="989"/>
      <c r="I3" s="989"/>
      <c r="J3" s="989" t="s">
        <v>187</v>
      </c>
      <c r="K3" s="989"/>
      <c r="L3" s="989"/>
      <c r="M3" s="989" t="s">
        <v>188</v>
      </c>
      <c r="N3" s="989"/>
      <c r="O3" s="989"/>
      <c r="P3" s="989" t="s">
        <v>188</v>
      </c>
      <c r="Q3" s="989"/>
      <c r="R3" s="989"/>
    </row>
    <row r="4" spans="1:18" s="18" customFormat="1" ht="26.4">
      <c r="A4" s="971"/>
      <c r="B4" s="971"/>
      <c r="C4" s="971"/>
      <c r="D4" s="828" t="s">
        <v>870</v>
      </c>
      <c r="E4" s="828" t="s">
        <v>732</v>
      </c>
      <c r="F4" s="828" t="s">
        <v>947</v>
      </c>
      <c r="G4" s="828" t="s">
        <v>870</v>
      </c>
      <c r="H4" s="828" t="s">
        <v>732</v>
      </c>
      <c r="I4" s="828" t="s">
        <v>947</v>
      </c>
      <c r="J4" s="828" t="s">
        <v>870</v>
      </c>
      <c r="K4" s="828" t="s">
        <v>732</v>
      </c>
      <c r="L4" s="828" t="s">
        <v>947</v>
      </c>
      <c r="M4" s="828" t="s">
        <v>870</v>
      </c>
      <c r="N4" s="828" t="s">
        <v>732</v>
      </c>
      <c r="O4" s="828" t="s">
        <v>947</v>
      </c>
      <c r="P4" s="828" t="s">
        <v>870</v>
      </c>
      <c r="Q4" s="828" t="s">
        <v>732</v>
      </c>
      <c r="R4" s="828" t="s">
        <v>947</v>
      </c>
    </row>
    <row r="5" spans="1:18" s="47" customFormat="1" ht="12" customHeight="1">
      <c r="A5" s="5" t="s">
        <v>27</v>
      </c>
      <c r="B5" s="972" t="s">
        <v>175</v>
      </c>
      <c r="C5" s="972"/>
      <c r="D5" s="62">
        <f>+G5+J5+M5+P5</f>
        <v>8634</v>
      </c>
      <c r="E5" s="62">
        <f t="shared" ref="E5:F5" si="0">+H5+K5+N5+Q5</f>
        <v>-910</v>
      </c>
      <c r="F5" s="62">
        <f t="shared" si="0"/>
        <v>7724</v>
      </c>
      <c r="G5" s="62">
        <v>7410</v>
      </c>
      <c r="H5" s="62">
        <v>151</v>
      </c>
      <c r="I5" s="62">
        <f>+G5+H5</f>
        <v>7561</v>
      </c>
      <c r="J5" s="62">
        <v>1224</v>
      </c>
      <c r="K5" s="62">
        <v>-1061</v>
      </c>
      <c r="L5" s="62">
        <f>+J5+K5</f>
        <v>163</v>
      </c>
      <c r="M5" s="62"/>
      <c r="N5" s="62"/>
      <c r="O5" s="62"/>
      <c r="P5" s="62"/>
      <c r="Q5" s="62"/>
      <c r="R5" s="62"/>
    </row>
    <row r="6" spans="1:18" s="47" customFormat="1" ht="12" customHeight="1">
      <c r="A6" s="5" t="s">
        <v>34</v>
      </c>
      <c r="B6" s="972" t="s">
        <v>174</v>
      </c>
      <c r="C6" s="972"/>
      <c r="D6" s="62">
        <f t="shared" ref="D6:D7" si="1">+G6+J6+M6+P6</f>
        <v>2303</v>
      </c>
      <c r="E6" s="62">
        <f t="shared" ref="E6:E7" si="2">+H6+K6+N6+Q6</f>
        <v>1421</v>
      </c>
      <c r="F6" s="62">
        <f t="shared" ref="F6:F7" si="3">+I6+L6+O6+R6</f>
        <v>3724</v>
      </c>
      <c r="G6" s="62">
        <v>0</v>
      </c>
      <c r="H6" s="62"/>
      <c r="I6" s="62">
        <f>+G6+H6</f>
        <v>0</v>
      </c>
      <c r="J6" s="62">
        <v>1450</v>
      </c>
      <c r="K6" s="62">
        <v>1399</v>
      </c>
      <c r="L6" s="62">
        <f>+J6+K6</f>
        <v>2849</v>
      </c>
      <c r="M6" s="62">
        <v>853</v>
      </c>
      <c r="N6" s="62">
        <v>22</v>
      </c>
      <c r="O6" s="62">
        <f>+M6+N6</f>
        <v>875</v>
      </c>
      <c r="P6" s="62"/>
      <c r="Q6" s="62"/>
      <c r="R6" s="62"/>
    </row>
    <row r="7" spans="1:18" s="47" customFormat="1" ht="12" customHeight="1">
      <c r="A7" s="6" t="s">
        <v>35</v>
      </c>
      <c r="B7" s="969" t="s">
        <v>173</v>
      </c>
      <c r="C7" s="969"/>
      <c r="D7" s="62">
        <f t="shared" si="1"/>
        <v>10937</v>
      </c>
      <c r="E7" s="62">
        <f t="shared" si="2"/>
        <v>511</v>
      </c>
      <c r="F7" s="62">
        <f t="shared" si="3"/>
        <v>11448</v>
      </c>
      <c r="G7" s="59">
        <v>7410</v>
      </c>
      <c r="H7" s="59">
        <f t="shared" ref="H7:R7" si="4">+H5+H6</f>
        <v>151</v>
      </c>
      <c r="I7" s="59">
        <f t="shared" si="4"/>
        <v>7561</v>
      </c>
      <c r="J7" s="59">
        <v>2674</v>
      </c>
      <c r="K7" s="59">
        <f t="shared" si="4"/>
        <v>338</v>
      </c>
      <c r="L7" s="59">
        <f t="shared" si="4"/>
        <v>3012</v>
      </c>
      <c r="M7" s="59">
        <f t="shared" si="4"/>
        <v>853</v>
      </c>
      <c r="N7" s="59">
        <f t="shared" si="4"/>
        <v>22</v>
      </c>
      <c r="O7" s="59">
        <f t="shared" si="4"/>
        <v>875</v>
      </c>
      <c r="P7" s="59">
        <f t="shared" si="4"/>
        <v>0</v>
      </c>
      <c r="Q7" s="59">
        <f t="shared" si="4"/>
        <v>0</v>
      </c>
      <c r="R7" s="59">
        <f t="shared" si="4"/>
        <v>0</v>
      </c>
    </row>
    <row r="8" spans="1:18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</row>
    <row r="9" spans="1:18" s="47" customFormat="1" ht="12" customHeight="1">
      <c r="A9" s="9" t="s">
        <v>36</v>
      </c>
      <c r="B9" s="969" t="s">
        <v>172</v>
      </c>
      <c r="C9" s="969"/>
      <c r="D9" s="29">
        <f>+G9+J9+M9+P9</f>
        <v>2971</v>
      </c>
      <c r="E9" s="29">
        <f t="shared" ref="E9:F9" si="5">+H9+K9+N9+Q9</f>
        <v>0</v>
      </c>
      <c r="F9" s="29">
        <f t="shared" si="5"/>
        <v>2971</v>
      </c>
      <c r="G9" s="58">
        <v>2013</v>
      </c>
      <c r="H9" s="58">
        <v>25</v>
      </c>
      <c r="I9" s="58">
        <f>+G9+H9</f>
        <v>2038</v>
      </c>
      <c r="J9" s="58">
        <v>728</v>
      </c>
      <c r="K9" s="58">
        <v>-25</v>
      </c>
      <c r="L9" s="62">
        <f>+J9+K9</f>
        <v>703</v>
      </c>
      <c r="M9" s="58">
        <v>230</v>
      </c>
      <c r="N9" s="58"/>
      <c r="O9" s="58">
        <f>+M9+N9</f>
        <v>230</v>
      </c>
      <c r="P9" s="58"/>
      <c r="Q9" s="58"/>
      <c r="R9" s="58"/>
    </row>
    <row r="10" spans="1:18" s="43" customFormat="1" ht="11.25" customHeight="1">
      <c r="A10" s="329"/>
      <c r="B10" s="330"/>
      <c r="C10" s="331"/>
      <c r="D10" s="326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</row>
    <row r="11" spans="1:18" ht="12" customHeight="1">
      <c r="A11" s="3" t="s">
        <v>43</v>
      </c>
      <c r="B11" s="973" t="s">
        <v>42</v>
      </c>
      <c r="C11" s="973"/>
      <c r="D11" s="30">
        <f>+G11+J11+M11+P11</f>
        <v>100</v>
      </c>
      <c r="E11" s="30">
        <f t="shared" ref="E11:F11" si="6">+H11+K11+N11+Q11</f>
        <v>-36</v>
      </c>
      <c r="F11" s="30">
        <f t="shared" si="6"/>
        <v>64</v>
      </c>
      <c r="G11" s="30">
        <v>100</v>
      </c>
      <c r="H11" s="30">
        <v>-36</v>
      </c>
      <c r="I11" s="30">
        <f>+G11+H11</f>
        <v>64</v>
      </c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12" customHeight="1">
      <c r="A12" s="3" t="s">
        <v>45</v>
      </c>
      <c r="B12" s="973" t="s">
        <v>44</v>
      </c>
      <c r="C12" s="973"/>
      <c r="D12" s="30">
        <f t="shared" ref="D12:D35" si="7">+G12+J12+M12+P12</f>
        <v>300</v>
      </c>
      <c r="E12" s="30">
        <f t="shared" ref="E12:E35" si="8">+H12+K12+N12+Q12</f>
        <v>-57</v>
      </c>
      <c r="F12" s="30">
        <f t="shared" ref="F12:F35" si="9">+I12+L12+O12+R12</f>
        <v>243</v>
      </c>
      <c r="G12" s="30">
        <v>100</v>
      </c>
      <c r="H12" s="30">
        <v>115</v>
      </c>
      <c r="I12" s="30">
        <f t="shared" ref="I12:I33" si="10">+G12+H12</f>
        <v>215</v>
      </c>
      <c r="J12" s="30"/>
      <c r="K12" s="30"/>
      <c r="L12" s="30"/>
      <c r="M12" s="30">
        <v>200</v>
      </c>
      <c r="N12" s="30">
        <v>-172</v>
      </c>
      <c r="O12" s="30">
        <f>+M12+N12</f>
        <v>28</v>
      </c>
      <c r="P12" s="30"/>
      <c r="Q12" s="30"/>
      <c r="R12" s="30"/>
    </row>
    <row r="13" spans="1:18" ht="12" customHeight="1">
      <c r="A13" s="3" t="s">
        <v>47</v>
      </c>
      <c r="B13" s="973" t="s">
        <v>46</v>
      </c>
      <c r="C13" s="973"/>
      <c r="D13" s="30">
        <f t="shared" si="7"/>
        <v>0</v>
      </c>
      <c r="E13" s="30">
        <f t="shared" si="8"/>
        <v>0</v>
      </c>
      <c r="F13" s="30">
        <f t="shared" si="9"/>
        <v>0</v>
      </c>
      <c r="G13" s="30">
        <v>0</v>
      </c>
      <c r="H13" s="30"/>
      <c r="I13" s="30">
        <f t="shared" si="10"/>
        <v>0</v>
      </c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" customHeight="1">
      <c r="A14" s="5" t="s">
        <v>48</v>
      </c>
      <c r="B14" s="972" t="s">
        <v>171</v>
      </c>
      <c r="C14" s="972"/>
      <c r="D14" s="62">
        <f t="shared" si="7"/>
        <v>400</v>
      </c>
      <c r="E14" s="62">
        <f t="shared" si="8"/>
        <v>-93</v>
      </c>
      <c r="F14" s="62">
        <f t="shared" si="9"/>
        <v>307</v>
      </c>
      <c r="G14" s="62">
        <v>200</v>
      </c>
      <c r="H14" s="62">
        <f t="shared" ref="H14:R14" si="11">SUM(H11:H13)</f>
        <v>79</v>
      </c>
      <c r="I14" s="62">
        <f t="shared" si="11"/>
        <v>279</v>
      </c>
      <c r="J14" s="62">
        <v>0</v>
      </c>
      <c r="K14" s="62">
        <f t="shared" si="11"/>
        <v>0</v>
      </c>
      <c r="L14" s="62">
        <f t="shared" si="11"/>
        <v>0</v>
      </c>
      <c r="M14" s="62">
        <f t="shared" si="11"/>
        <v>200</v>
      </c>
      <c r="N14" s="62">
        <f t="shared" si="11"/>
        <v>-172</v>
      </c>
      <c r="O14" s="62">
        <f t="shared" si="11"/>
        <v>28</v>
      </c>
      <c r="P14" s="62">
        <f t="shared" si="11"/>
        <v>0</v>
      </c>
      <c r="Q14" s="62">
        <f t="shared" si="11"/>
        <v>0</v>
      </c>
      <c r="R14" s="62">
        <f t="shared" si="11"/>
        <v>0</v>
      </c>
    </row>
    <row r="15" spans="1:18" ht="12" customHeight="1">
      <c r="A15" s="3" t="s">
        <v>50</v>
      </c>
      <c r="B15" s="973" t="s">
        <v>49</v>
      </c>
      <c r="C15" s="973"/>
      <c r="D15" s="30">
        <f t="shared" si="7"/>
        <v>75</v>
      </c>
      <c r="E15" s="30">
        <f t="shared" si="8"/>
        <v>-21</v>
      </c>
      <c r="F15" s="30">
        <f t="shared" si="9"/>
        <v>54</v>
      </c>
      <c r="G15" s="30">
        <v>0</v>
      </c>
      <c r="H15" s="30"/>
      <c r="I15" s="30">
        <f t="shared" si="10"/>
        <v>0</v>
      </c>
      <c r="J15" s="30"/>
      <c r="K15" s="30"/>
      <c r="L15" s="30"/>
      <c r="M15" s="30">
        <v>75</v>
      </c>
      <c r="N15" s="30">
        <v>-21</v>
      </c>
      <c r="O15" s="30">
        <f t="shared" ref="O15:O16" si="12">+M15+N15</f>
        <v>54</v>
      </c>
      <c r="P15" s="30"/>
      <c r="Q15" s="30"/>
      <c r="R15" s="30"/>
    </row>
    <row r="16" spans="1:18" ht="12" customHeight="1">
      <c r="A16" s="3" t="s">
        <v>52</v>
      </c>
      <c r="B16" s="973" t="s">
        <v>51</v>
      </c>
      <c r="C16" s="973"/>
      <c r="D16" s="30">
        <f t="shared" si="7"/>
        <v>165</v>
      </c>
      <c r="E16" s="30">
        <f t="shared" si="8"/>
        <v>11</v>
      </c>
      <c r="F16" s="30">
        <f t="shared" si="9"/>
        <v>176</v>
      </c>
      <c r="G16" s="30">
        <v>120</v>
      </c>
      <c r="H16" s="30">
        <v>21</v>
      </c>
      <c r="I16" s="30">
        <f t="shared" si="10"/>
        <v>141</v>
      </c>
      <c r="J16" s="30"/>
      <c r="K16" s="30"/>
      <c r="L16" s="30"/>
      <c r="M16" s="30">
        <v>45</v>
      </c>
      <c r="N16" s="30">
        <v>-10</v>
      </c>
      <c r="O16" s="30">
        <f t="shared" si="12"/>
        <v>35</v>
      </c>
      <c r="P16" s="30"/>
      <c r="Q16" s="30"/>
      <c r="R16" s="30"/>
    </row>
    <row r="17" spans="1:18" s="47" customFormat="1" ht="12" customHeight="1">
      <c r="A17" s="5" t="s">
        <v>53</v>
      </c>
      <c r="B17" s="972" t="s">
        <v>170</v>
      </c>
      <c r="C17" s="972"/>
      <c r="D17" s="62">
        <f t="shared" si="7"/>
        <v>240</v>
      </c>
      <c r="E17" s="62">
        <f t="shared" si="8"/>
        <v>-10</v>
      </c>
      <c r="F17" s="62">
        <f t="shared" si="9"/>
        <v>230</v>
      </c>
      <c r="G17" s="62">
        <v>120</v>
      </c>
      <c r="H17" s="62">
        <f t="shared" ref="H17:R17" si="13">+H15+H16</f>
        <v>21</v>
      </c>
      <c r="I17" s="62">
        <f t="shared" si="13"/>
        <v>141</v>
      </c>
      <c r="J17" s="62">
        <v>0</v>
      </c>
      <c r="K17" s="62">
        <f t="shared" si="13"/>
        <v>0</v>
      </c>
      <c r="L17" s="62">
        <f t="shared" si="13"/>
        <v>0</v>
      </c>
      <c r="M17" s="62">
        <f t="shared" si="13"/>
        <v>120</v>
      </c>
      <c r="N17" s="62">
        <f t="shared" si="13"/>
        <v>-31</v>
      </c>
      <c r="O17" s="62">
        <f t="shared" si="13"/>
        <v>89</v>
      </c>
      <c r="P17" s="62">
        <f t="shared" si="13"/>
        <v>0</v>
      </c>
      <c r="Q17" s="62">
        <f t="shared" si="13"/>
        <v>0</v>
      </c>
      <c r="R17" s="62">
        <f t="shared" si="13"/>
        <v>0</v>
      </c>
    </row>
    <row r="18" spans="1:18" ht="12" customHeight="1">
      <c r="A18" s="3" t="s">
        <v>55</v>
      </c>
      <c r="B18" s="973" t="s">
        <v>54</v>
      </c>
      <c r="C18" s="973"/>
      <c r="D18" s="30">
        <f t="shared" si="7"/>
        <v>0</v>
      </c>
      <c r="E18" s="30">
        <f t="shared" si="8"/>
        <v>0</v>
      </c>
      <c r="F18" s="30">
        <f t="shared" si="9"/>
        <v>0</v>
      </c>
      <c r="G18" s="30">
        <v>0</v>
      </c>
      <c r="H18" s="30"/>
      <c r="I18" s="30">
        <f t="shared" si="10"/>
        <v>0</v>
      </c>
      <c r="J18" s="30"/>
      <c r="K18" s="30"/>
      <c r="L18" s="30"/>
      <c r="M18" s="30"/>
      <c r="N18" s="30"/>
      <c r="O18" s="30">
        <f>+M18+N18</f>
        <v>0</v>
      </c>
      <c r="P18" s="30"/>
      <c r="Q18" s="30"/>
      <c r="R18" s="30"/>
    </row>
    <row r="19" spans="1:18" ht="12" customHeight="1">
      <c r="A19" s="3" t="s">
        <v>57</v>
      </c>
      <c r="B19" s="973" t="s">
        <v>56</v>
      </c>
      <c r="C19" s="973"/>
      <c r="D19" s="30">
        <f t="shared" si="7"/>
        <v>0</v>
      </c>
      <c r="E19" s="30">
        <f t="shared" si="8"/>
        <v>0</v>
      </c>
      <c r="F19" s="30">
        <f t="shared" si="9"/>
        <v>0</v>
      </c>
      <c r="G19" s="30">
        <v>0</v>
      </c>
      <c r="H19" s="30"/>
      <c r="I19" s="30">
        <f t="shared" si="10"/>
        <v>0</v>
      </c>
      <c r="J19" s="30"/>
      <c r="K19" s="30"/>
      <c r="L19" s="30"/>
      <c r="M19" s="30"/>
      <c r="N19" s="30"/>
      <c r="O19" s="30">
        <f t="shared" ref="O19:O24" si="14">+M19+N19</f>
        <v>0</v>
      </c>
      <c r="P19" s="30"/>
      <c r="Q19" s="30"/>
      <c r="R19" s="30"/>
    </row>
    <row r="20" spans="1:18" ht="12" customHeight="1">
      <c r="A20" s="3" t="s">
        <v>58</v>
      </c>
      <c r="B20" s="973" t="s">
        <v>168</v>
      </c>
      <c r="C20" s="973"/>
      <c r="D20" s="30">
        <f t="shared" si="7"/>
        <v>0</v>
      </c>
      <c r="E20" s="30">
        <f t="shared" si="8"/>
        <v>0</v>
      </c>
      <c r="F20" s="30">
        <f t="shared" si="9"/>
        <v>0</v>
      </c>
      <c r="G20" s="30">
        <v>0</v>
      </c>
      <c r="H20" s="30"/>
      <c r="I20" s="30">
        <f t="shared" si="10"/>
        <v>0</v>
      </c>
      <c r="J20" s="30"/>
      <c r="K20" s="30"/>
      <c r="L20" s="30"/>
      <c r="M20" s="30"/>
      <c r="N20" s="30"/>
      <c r="O20" s="30">
        <f t="shared" si="14"/>
        <v>0</v>
      </c>
      <c r="P20" s="30"/>
      <c r="Q20" s="30"/>
      <c r="R20" s="30"/>
    </row>
    <row r="21" spans="1:18" ht="12" customHeight="1">
      <c r="A21" s="3" t="s">
        <v>60</v>
      </c>
      <c r="B21" s="973" t="s">
        <v>59</v>
      </c>
      <c r="C21" s="973"/>
      <c r="D21" s="30">
        <f t="shared" si="7"/>
        <v>0</v>
      </c>
      <c r="E21" s="30">
        <f t="shared" si="8"/>
        <v>0</v>
      </c>
      <c r="F21" s="30">
        <f t="shared" si="9"/>
        <v>0</v>
      </c>
      <c r="G21" s="30">
        <v>0</v>
      </c>
      <c r="H21" s="30"/>
      <c r="I21" s="30">
        <f t="shared" si="10"/>
        <v>0</v>
      </c>
      <c r="J21" s="30"/>
      <c r="K21" s="30"/>
      <c r="L21" s="30"/>
      <c r="M21" s="30"/>
      <c r="N21" s="30"/>
      <c r="O21" s="30">
        <f t="shared" si="14"/>
        <v>0</v>
      </c>
      <c r="P21" s="30"/>
      <c r="Q21" s="30"/>
      <c r="R21" s="30"/>
    </row>
    <row r="22" spans="1:18" ht="12" customHeight="1">
      <c r="A22" s="3" t="s">
        <v>61</v>
      </c>
      <c r="B22" s="985" t="s">
        <v>167</v>
      </c>
      <c r="C22" s="985"/>
      <c r="D22" s="30">
        <f t="shared" si="7"/>
        <v>0</v>
      </c>
      <c r="E22" s="30">
        <f t="shared" si="8"/>
        <v>0</v>
      </c>
      <c r="F22" s="30">
        <f t="shared" si="9"/>
        <v>0</v>
      </c>
      <c r="G22" s="30">
        <v>0</v>
      </c>
      <c r="H22" s="30"/>
      <c r="I22" s="30">
        <f t="shared" si="10"/>
        <v>0</v>
      </c>
      <c r="J22" s="30"/>
      <c r="K22" s="30"/>
      <c r="L22" s="30"/>
      <c r="M22" s="30"/>
      <c r="N22" s="30"/>
      <c r="O22" s="30">
        <f t="shared" si="14"/>
        <v>0</v>
      </c>
      <c r="P22" s="30"/>
      <c r="Q22" s="30"/>
      <c r="R22" s="30"/>
    </row>
    <row r="23" spans="1:18" ht="12" customHeight="1">
      <c r="A23" s="3" t="s">
        <v>64</v>
      </c>
      <c r="B23" s="970" t="s">
        <v>63</v>
      </c>
      <c r="C23" s="970"/>
      <c r="D23" s="30">
        <f t="shared" si="7"/>
        <v>20</v>
      </c>
      <c r="E23" s="30">
        <f t="shared" si="8"/>
        <v>-10</v>
      </c>
      <c r="F23" s="30">
        <f t="shared" si="9"/>
        <v>10</v>
      </c>
      <c r="G23" s="30">
        <v>20</v>
      </c>
      <c r="H23" s="30">
        <v>-10</v>
      </c>
      <c r="I23" s="30">
        <f t="shared" si="10"/>
        <v>10</v>
      </c>
      <c r="J23" s="30"/>
      <c r="K23" s="30"/>
      <c r="L23" s="30"/>
      <c r="M23" s="30"/>
      <c r="N23" s="30"/>
      <c r="O23" s="30">
        <f t="shared" si="14"/>
        <v>0</v>
      </c>
      <c r="P23" s="30"/>
      <c r="Q23" s="30"/>
      <c r="R23" s="30"/>
    </row>
    <row r="24" spans="1:18" ht="12" customHeight="1">
      <c r="A24" s="3" t="s">
        <v>66</v>
      </c>
      <c r="B24" s="973" t="s">
        <v>65</v>
      </c>
      <c r="C24" s="973"/>
      <c r="D24" s="30">
        <f t="shared" si="7"/>
        <v>1060</v>
      </c>
      <c r="E24" s="30">
        <f t="shared" si="8"/>
        <v>-19</v>
      </c>
      <c r="F24" s="30">
        <f t="shared" si="9"/>
        <v>1041</v>
      </c>
      <c r="G24" s="30">
        <v>63</v>
      </c>
      <c r="H24" s="30">
        <v>-43</v>
      </c>
      <c r="I24" s="30">
        <f t="shared" si="10"/>
        <v>20</v>
      </c>
      <c r="J24" s="30">
        <v>497</v>
      </c>
      <c r="K24" s="30">
        <v>-32</v>
      </c>
      <c r="L24" s="30">
        <f>+J24+K24</f>
        <v>465</v>
      </c>
      <c r="M24" s="30"/>
      <c r="N24" s="30">
        <v>284</v>
      </c>
      <c r="O24" s="30">
        <f t="shared" si="14"/>
        <v>284</v>
      </c>
      <c r="P24" s="30">
        <v>500</v>
      </c>
      <c r="Q24" s="30">
        <v>-228</v>
      </c>
      <c r="R24" s="30">
        <f>+P24+Q24</f>
        <v>272</v>
      </c>
    </row>
    <row r="25" spans="1:18" s="47" customFormat="1" ht="12" customHeight="1">
      <c r="A25" s="5" t="s">
        <v>67</v>
      </c>
      <c r="B25" s="972" t="s">
        <v>157</v>
      </c>
      <c r="C25" s="972"/>
      <c r="D25" s="62">
        <f t="shared" si="7"/>
        <v>1080</v>
      </c>
      <c r="E25" s="62">
        <f t="shared" si="8"/>
        <v>-29</v>
      </c>
      <c r="F25" s="62">
        <f t="shared" si="9"/>
        <v>1051</v>
      </c>
      <c r="G25" s="62">
        <v>83</v>
      </c>
      <c r="H25" s="62">
        <f t="shared" ref="H25:R25" si="15">+H24+H23+H22+H21+H20+H19+H18</f>
        <v>-53</v>
      </c>
      <c r="I25" s="62">
        <f t="shared" si="15"/>
        <v>30</v>
      </c>
      <c r="J25" s="62">
        <v>497</v>
      </c>
      <c r="K25" s="62">
        <f t="shared" si="15"/>
        <v>-32</v>
      </c>
      <c r="L25" s="62">
        <f t="shared" si="15"/>
        <v>465</v>
      </c>
      <c r="M25" s="62">
        <f t="shared" si="15"/>
        <v>0</v>
      </c>
      <c r="N25" s="62">
        <f t="shared" si="15"/>
        <v>284</v>
      </c>
      <c r="O25" s="62">
        <f t="shared" si="15"/>
        <v>284</v>
      </c>
      <c r="P25" s="62">
        <f t="shared" si="15"/>
        <v>500</v>
      </c>
      <c r="Q25" s="62">
        <f t="shared" si="15"/>
        <v>-228</v>
      </c>
      <c r="R25" s="62">
        <f t="shared" si="15"/>
        <v>272</v>
      </c>
    </row>
    <row r="26" spans="1:18" ht="12" customHeight="1">
      <c r="A26" s="3" t="s">
        <v>69</v>
      </c>
      <c r="B26" s="973" t="s">
        <v>68</v>
      </c>
      <c r="C26" s="973"/>
      <c r="D26" s="30">
        <f t="shared" si="7"/>
        <v>180</v>
      </c>
      <c r="E26" s="30">
        <f t="shared" si="8"/>
        <v>-20</v>
      </c>
      <c r="F26" s="30">
        <f t="shared" si="9"/>
        <v>160</v>
      </c>
      <c r="G26" s="30">
        <v>180</v>
      </c>
      <c r="H26" s="30">
        <v>-20</v>
      </c>
      <c r="I26" s="30">
        <f t="shared" si="10"/>
        <v>160</v>
      </c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" customHeight="1">
      <c r="A27" s="3" t="s">
        <v>71</v>
      </c>
      <c r="B27" s="973" t="s">
        <v>70</v>
      </c>
      <c r="C27" s="973"/>
      <c r="D27" s="30">
        <f t="shared" si="7"/>
        <v>0</v>
      </c>
      <c r="E27" s="30">
        <f t="shared" si="8"/>
        <v>0</v>
      </c>
      <c r="F27" s="30">
        <f t="shared" si="9"/>
        <v>0</v>
      </c>
      <c r="G27" s="30">
        <v>0</v>
      </c>
      <c r="H27" s="30"/>
      <c r="I27" s="30">
        <f t="shared" si="10"/>
        <v>0</v>
      </c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" customHeight="1">
      <c r="A28" s="5" t="s">
        <v>72</v>
      </c>
      <c r="B28" s="972" t="s">
        <v>156</v>
      </c>
      <c r="C28" s="972"/>
      <c r="D28" s="62">
        <f t="shared" si="7"/>
        <v>180</v>
      </c>
      <c r="E28" s="62">
        <f t="shared" si="8"/>
        <v>-20</v>
      </c>
      <c r="F28" s="62">
        <f t="shared" si="9"/>
        <v>160</v>
      </c>
      <c r="G28" s="62">
        <v>180</v>
      </c>
      <c r="H28" s="62">
        <f t="shared" ref="H28:R28" si="16">+H26+H27</f>
        <v>-20</v>
      </c>
      <c r="I28" s="62">
        <f t="shared" si="16"/>
        <v>160</v>
      </c>
      <c r="J28" s="62">
        <v>0</v>
      </c>
      <c r="K28" s="62">
        <f t="shared" si="16"/>
        <v>0</v>
      </c>
      <c r="L28" s="62">
        <f t="shared" si="16"/>
        <v>0</v>
      </c>
      <c r="M28" s="62">
        <f t="shared" si="16"/>
        <v>0</v>
      </c>
      <c r="N28" s="62">
        <f t="shared" si="16"/>
        <v>0</v>
      </c>
      <c r="O28" s="62">
        <f t="shared" si="16"/>
        <v>0</v>
      </c>
      <c r="P28" s="62">
        <f t="shared" si="16"/>
        <v>0</v>
      </c>
      <c r="Q28" s="62">
        <f t="shared" si="16"/>
        <v>0</v>
      </c>
      <c r="R28" s="62">
        <f t="shared" si="16"/>
        <v>0</v>
      </c>
    </row>
    <row r="29" spans="1:18" ht="12" customHeight="1">
      <c r="A29" s="3" t="s">
        <v>74</v>
      </c>
      <c r="B29" s="973" t="s">
        <v>73</v>
      </c>
      <c r="C29" s="973"/>
      <c r="D29" s="30">
        <f t="shared" si="7"/>
        <v>175</v>
      </c>
      <c r="E29" s="30">
        <f t="shared" si="8"/>
        <v>-51</v>
      </c>
      <c r="F29" s="30">
        <f t="shared" si="9"/>
        <v>124</v>
      </c>
      <c r="G29" s="30">
        <v>86</v>
      </c>
      <c r="H29" s="30">
        <v>6</v>
      </c>
      <c r="I29" s="30">
        <f t="shared" si="10"/>
        <v>92</v>
      </c>
      <c r="J29" s="30"/>
      <c r="K29" s="30"/>
      <c r="L29" s="30"/>
      <c r="M29" s="30">
        <v>89</v>
      </c>
      <c r="N29" s="30">
        <v>-57</v>
      </c>
      <c r="O29" s="30">
        <f t="shared" ref="O29" si="17">+M29+N29</f>
        <v>32</v>
      </c>
      <c r="P29" s="30"/>
      <c r="Q29" s="30"/>
      <c r="R29" s="30"/>
    </row>
    <row r="30" spans="1:18" ht="12" customHeight="1">
      <c r="A30" s="3" t="s">
        <v>76</v>
      </c>
      <c r="B30" s="973" t="s">
        <v>75</v>
      </c>
      <c r="C30" s="973"/>
      <c r="D30" s="30">
        <f t="shared" si="7"/>
        <v>0</v>
      </c>
      <c r="E30" s="30">
        <f t="shared" si="8"/>
        <v>0</v>
      </c>
      <c r="F30" s="30">
        <f t="shared" si="9"/>
        <v>0</v>
      </c>
      <c r="G30" s="30">
        <v>0</v>
      </c>
      <c r="H30" s="30"/>
      <c r="I30" s="30">
        <f t="shared" si="10"/>
        <v>0</v>
      </c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" customHeight="1">
      <c r="A31" s="3" t="s">
        <v>77</v>
      </c>
      <c r="B31" s="973" t="s">
        <v>155</v>
      </c>
      <c r="C31" s="973"/>
      <c r="D31" s="30">
        <f t="shared" si="7"/>
        <v>0</v>
      </c>
      <c r="E31" s="30">
        <f t="shared" si="8"/>
        <v>0</v>
      </c>
      <c r="F31" s="30">
        <f t="shared" si="9"/>
        <v>0</v>
      </c>
      <c r="G31" s="30">
        <v>0</v>
      </c>
      <c r="H31" s="30"/>
      <c r="I31" s="30">
        <f t="shared" si="10"/>
        <v>0</v>
      </c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" customHeight="1">
      <c r="A32" s="3" t="s">
        <v>78</v>
      </c>
      <c r="B32" s="973" t="s">
        <v>154</v>
      </c>
      <c r="C32" s="973"/>
      <c r="D32" s="30">
        <f t="shared" si="7"/>
        <v>0</v>
      </c>
      <c r="E32" s="30">
        <f t="shared" si="8"/>
        <v>0</v>
      </c>
      <c r="F32" s="30">
        <f t="shared" si="9"/>
        <v>0</v>
      </c>
      <c r="G32" s="30">
        <v>0</v>
      </c>
      <c r="H32" s="30"/>
      <c r="I32" s="30">
        <f t="shared" si="10"/>
        <v>0</v>
      </c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" customHeight="1">
      <c r="A33" s="3" t="s">
        <v>80</v>
      </c>
      <c r="B33" s="973" t="s">
        <v>79</v>
      </c>
      <c r="C33" s="973"/>
      <c r="D33" s="30">
        <f t="shared" si="7"/>
        <v>0</v>
      </c>
      <c r="E33" s="30">
        <f t="shared" si="8"/>
        <v>0</v>
      </c>
      <c r="F33" s="30">
        <f t="shared" si="9"/>
        <v>0</v>
      </c>
      <c r="G33" s="30">
        <v>0</v>
      </c>
      <c r="H33" s="30"/>
      <c r="I33" s="30">
        <f t="shared" si="10"/>
        <v>0</v>
      </c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" customHeight="1">
      <c r="A34" s="5" t="s">
        <v>81</v>
      </c>
      <c r="B34" s="972" t="s">
        <v>153</v>
      </c>
      <c r="C34" s="972"/>
      <c r="D34" s="62">
        <f t="shared" si="7"/>
        <v>175</v>
      </c>
      <c r="E34" s="62">
        <f t="shared" si="8"/>
        <v>-51</v>
      </c>
      <c r="F34" s="62">
        <f t="shared" si="9"/>
        <v>124</v>
      </c>
      <c r="G34" s="62">
        <v>86</v>
      </c>
      <c r="H34" s="62">
        <f t="shared" ref="H34:R34" si="18">SUM(H29:H33)</f>
        <v>6</v>
      </c>
      <c r="I34" s="62">
        <f t="shared" si="18"/>
        <v>92</v>
      </c>
      <c r="J34" s="62">
        <v>0</v>
      </c>
      <c r="K34" s="62">
        <f t="shared" si="18"/>
        <v>0</v>
      </c>
      <c r="L34" s="62">
        <f t="shared" si="18"/>
        <v>0</v>
      </c>
      <c r="M34" s="62">
        <f t="shared" si="18"/>
        <v>89</v>
      </c>
      <c r="N34" s="62">
        <f t="shared" si="18"/>
        <v>-57</v>
      </c>
      <c r="O34" s="62">
        <f t="shared" si="18"/>
        <v>32</v>
      </c>
      <c r="P34" s="62">
        <f t="shared" si="18"/>
        <v>0</v>
      </c>
      <c r="Q34" s="62">
        <f t="shared" si="18"/>
        <v>0</v>
      </c>
      <c r="R34" s="62">
        <f t="shared" si="18"/>
        <v>0</v>
      </c>
    </row>
    <row r="35" spans="1:18" s="47" customFormat="1" ht="12" customHeight="1">
      <c r="A35" s="6" t="s">
        <v>82</v>
      </c>
      <c r="B35" s="969" t="s">
        <v>152</v>
      </c>
      <c r="C35" s="969"/>
      <c r="D35" s="62">
        <f t="shared" si="7"/>
        <v>2075</v>
      </c>
      <c r="E35" s="62">
        <f t="shared" si="8"/>
        <v>-203</v>
      </c>
      <c r="F35" s="62">
        <f t="shared" si="9"/>
        <v>1872</v>
      </c>
      <c r="G35" s="59">
        <v>669</v>
      </c>
      <c r="H35" s="59">
        <f t="shared" ref="H35:R35" si="19">+H34+H28+H25+H17+H14</f>
        <v>33</v>
      </c>
      <c r="I35" s="59">
        <f t="shared" si="19"/>
        <v>702</v>
      </c>
      <c r="J35" s="59">
        <v>497</v>
      </c>
      <c r="K35" s="59">
        <f t="shared" si="19"/>
        <v>-32</v>
      </c>
      <c r="L35" s="59">
        <f t="shared" si="19"/>
        <v>465</v>
      </c>
      <c r="M35" s="59">
        <f t="shared" si="19"/>
        <v>409</v>
      </c>
      <c r="N35" s="59">
        <f t="shared" si="19"/>
        <v>24</v>
      </c>
      <c r="O35" s="59">
        <f t="shared" si="19"/>
        <v>433</v>
      </c>
      <c r="P35" s="59">
        <f t="shared" si="19"/>
        <v>500</v>
      </c>
      <c r="Q35" s="59">
        <f t="shared" si="19"/>
        <v>-228</v>
      </c>
      <c r="R35" s="59">
        <f t="shared" si="19"/>
        <v>272</v>
      </c>
    </row>
    <row r="36" spans="1:18" ht="9.75" customHeight="1">
      <c r="A36" s="7"/>
      <c r="B36" s="8"/>
      <c r="C36" s="8"/>
      <c r="D36" s="31"/>
      <c r="E36" s="31"/>
      <c r="F36" s="31"/>
      <c r="G36" s="31"/>
      <c r="H36" s="31"/>
      <c r="I36" s="32"/>
      <c r="J36" s="31"/>
      <c r="K36" s="31"/>
      <c r="L36" s="32"/>
      <c r="M36" s="31"/>
      <c r="N36" s="31"/>
      <c r="O36" s="32"/>
      <c r="P36" s="31"/>
      <c r="Q36" s="31"/>
      <c r="R36" s="32"/>
    </row>
    <row r="37" spans="1:18" ht="12" customHeight="1">
      <c r="A37" s="12" t="s">
        <v>111</v>
      </c>
      <c r="B37" s="970" t="s">
        <v>110</v>
      </c>
      <c r="C37" s="970"/>
      <c r="D37" s="33">
        <f>+G37+J37+M37</f>
        <v>0</v>
      </c>
      <c r="E37" s="33">
        <f t="shared" ref="E37:F37" si="20">+H37+K37+N37</f>
        <v>0</v>
      </c>
      <c r="F37" s="33">
        <f t="shared" si="20"/>
        <v>0</v>
      </c>
      <c r="G37" s="33">
        <v>0</v>
      </c>
      <c r="H37" s="33"/>
      <c r="I37" s="30">
        <f t="shared" ref="I37:I44" si="21">+G37+H37</f>
        <v>0</v>
      </c>
      <c r="J37" s="33"/>
      <c r="K37" s="33"/>
      <c r="L37" s="33"/>
      <c r="M37" s="33"/>
      <c r="N37" s="33"/>
      <c r="O37" s="33"/>
      <c r="P37" s="33"/>
      <c r="Q37" s="33"/>
      <c r="R37" s="33"/>
    </row>
    <row r="38" spans="1:18" ht="12" customHeight="1">
      <c r="A38" s="3" t="s">
        <v>112</v>
      </c>
      <c r="B38" s="973" t="s">
        <v>163</v>
      </c>
      <c r="C38" s="973"/>
      <c r="D38" s="33">
        <f t="shared" ref="D38:D44" si="22">+G38+J38+M38</f>
        <v>0</v>
      </c>
      <c r="E38" s="33">
        <f t="shared" ref="E38:E44" si="23">+H38+K38+N38</f>
        <v>0</v>
      </c>
      <c r="F38" s="33">
        <f t="shared" ref="F38:F44" si="24">+I38+L38+O38</f>
        <v>0</v>
      </c>
      <c r="G38" s="30">
        <v>0</v>
      </c>
      <c r="H38" s="30"/>
      <c r="I38" s="30">
        <f t="shared" si="21"/>
        <v>0</v>
      </c>
      <c r="J38" s="30"/>
      <c r="K38" s="30"/>
      <c r="L38" s="30"/>
      <c r="M38" s="30"/>
      <c r="N38" s="30"/>
      <c r="O38" s="30"/>
      <c r="P38" s="30"/>
      <c r="Q38" s="30"/>
      <c r="R38" s="30"/>
    </row>
    <row r="39" spans="1:18" s="43" customFormat="1" ht="12" customHeight="1">
      <c r="A39" s="39" t="s">
        <v>112</v>
      </c>
      <c r="B39" s="42"/>
      <c r="C39" s="45" t="s">
        <v>113</v>
      </c>
      <c r="D39" s="33">
        <f t="shared" si="22"/>
        <v>0</v>
      </c>
      <c r="E39" s="33">
        <f t="shared" si="23"/>
        <v>0</v>
      </c>
      <c r="F39" s="33">
        <f t="shared" si="24"/>
        <v>0</v>
      </c>
      <c r="G39" s="56">
        <v>0</v>
      </c>
      <c r="H39" s="56"/>
      <c r="I39" s="30">
        <f t="shared" si="21"/>
        <v>0</v>
      </c>
      <c r="J39" s="56"/>
      <c r="K39" s="56"/>
      <c r="L39" s="56"/>
      <c r="M39" s="56"/>
      <c r="N39" s="56"/>
      <c r="O39" s="56"/>
      <c r="P39" s="56"/>
      <c r="Q39" s="56"/>
      <c r="R39" s="56"/>
    </row>
    <row r="40" spans="1:18" ht="12" customHeight="1">
      <c r="A40" s="3" t="s">
        <v>115</v>
      </c>
      <c r="B40" s="973" t="s">
        <v>114</v>
      </c>
      <c r="C40" s="973"/>
      <c r="D40" s="33">
        <f t="shared" si="22"/>
        <v>157</v>
      </c>
      <c r="E40" s="33">
        <f t="shared" si="23"/>
        <v>-8</v>
      </c>
      <c r="F40" s="33">
        <f t="shared" si="24"/>
        <v>149</v>
      </c>
      <c r="G40" s="30">
        <v>157</v>
      </c>
      <c r="H40" s="30">
        <v>-8</v>
      </c>
      <c r="I40" s="30">
        <f t="shared" si="21"/>
        <v>149</v>
      </c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12" customHeight="1">
      <c r="A41" s="3" t="s">
        <v>117</v>
      </c>
      <c r="B41" s="973" t="s">
        <v>116</v>
      </c>
      <c r="C41" s="973"/>
      <c r="D41" s="33">
        <f t="shared" si="22"/>
        <v>95</v>
      </c>
      <c r="E41" s="33">
        <f t="shared" si="23"/>
        <v>0</v>
      </c>
      <c r="F41" s="33">
        <f t="shared" si="24"/>
        <v>95</v>
      </c>
      <c r="G41" s="30">
        <v>95</v>
      </c>
      <c r="H41" s="30"/>
      <c r="I41" s="30">
        <f t="shared" si="21"/>
        <v>95</v>
      </c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12" customHeight="1">
      <c r="A42" s="3" t="s">
        <v>119</v>
      </c>
      <c r="B42" s="973" t="s">
        <v>118</v>
      </c>
      <c r="C42" s="973"/>
      <c r="D42" s="33">
        <f t="shared" si="22"/>
        <v>0</v>
      </c>
      <c r="E42" s="33">
        <f t="shared" si="23"/>
        <v>0</v>
      </c>
      <c r="F42" s="33">
        <f t="shared" si="24"/>
        <v>0</v>
      </c>
      <c r="G42" s="30">
        <v>0</v>
      </c>
      <c r="H42" s="30"/>
      <c r="I42" s="30">
        <f t="shared" si="21"/>
        <v>0</v>
      </c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" customHeight="1">
      <c r="A43" s="3" t="s">
        <v>121</v>
      </c>
      <c r="B43" s="973" t="s">
        <v>120</v>
      </c>
      <c r="C43" s="973"/>
      <c r="D43" s="33">
        <f t="shared" si="22"/>
        <v>0</v>
      </c>
      <c r="E43" s="33">
        <f t="shared" si="23"/>
        <v>0</v>
      </c>
      <c r="F43" s="33">
        <f t="shared" si="24"/>
        <v>0</v>
      </c>
      <c r="G43" s="30">
        <v>0</v>
      </c>
      <c r="H43" s="30"/>
      <c r="I43" s="30">
        <f t="shared" si="21"/>
        <v>0</v>
      </c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12" customHeight="1">
      <c r="A44" s="3" t="s">
        <v>123</v>
      </c>
      <c r="B44" s="973" t="s">
        <v>122</v>
      </c>
      <c r="C44" s="973"/>
      <c r="D44" s="33">
        <f t="shared" si="22"/>
        <v>68</v>
      </c>
      <c r="E44" s="33">
        <f t="shared" si="23"/>
        <v>0</v>
      </c>
      <c r="F44" s="33">
        <f t="shared" si="24"/>
        <v>68</v>
      </c>
      <c r="G44" s="30">
        <v>68</v>
      </c>
      <c r="H44" s="30"/>
      <c r="I44" s="30">
        <f t="shared" si="21"/>
        <v>68</v>
      </c>
      <c r="J44" s="30"/>
      <c r="K44" s="30"/>
      <c r="L44" s="30"/>
      <c r="M44" s="30"/>
      <c r="N44" s="30"/>
      <c r="O44" s="30"/>
      <c r="P44" s="30"/>
      <c r="Q44" s="30"/>
      <c r="R44" s="30"/>
    </row>
    <row r="45" spans="1:18" s="47" customFormat="1" ht="12" customHeight="1">
      <c r="A45" s="6" t="s">
        <v>124</v>
      </c>
      <c r="B45" s="969" t="s">
        <v>162</v>
      </c>
      <c r="C45" s="969"/>
      <c r="D45" s="59">
        <f>+D44+D43+D42+D41+D40+D38+D37</f>
        <v>320</v>
      </c>
      <c r="E45" s="59">
        <f t="shared" ref="E45:F45" si="25">+E44+E43+E42+E41+E40+E38+E37</f>
        <v>-8</v>
      </c>
      <c r="F45" s="59">
        <f t="shared" si="25"/>
        <v>312</v>
      </c>
      <c r="G45" s="59">
        <v>320</v>
      </c>
      <c r="H45" s="59">
        <f t="shared" ref="H45:R45" si="26">+H44+H43+H42+H41+H40+H38+H37</f>
        <v>-8</v>
      </c>
      <c r="I45" s="59">
        <f t="shared" si="26"/>
        <v>312</v>
      </c>
      <c r="J45" s="59">
        <v>0</v>
      </c>
      <c r="K45" s="59">
        <f t="shared" si="26"/>
        <v>0</v>
      </c>
      <c r="L45" s="59">
        <f t="shared" si="26"/>
        <v>0</v>
      </c>
      <c r="M45" s="59">
        <f t="shared" si="26"/>
        <v>0</v>
      </c>
      <c r="N45" s="59">
        <f t="shared" si="26"/>
        <v>0</v>
      </c>
      <c r="O45" s="59">
        <f t="shared" si="26"/>
        <v>0</v>
      </c>
      <c r="P45" s="59">
        <f t="shared" si="26"/>
        <v>0</v>
      </c>
      <c r="Q45" s="59">
        <f t="shared" si="26"/>
        <v>0</v>
      </c>
      <c r="R45" s="59">
        <f t="shared" si="26"/>
        <v>0</v>
      </c>
    </row>
    <row r="46" spans="1:18" ht="9" customHeight="1">
      <c r="A46" s="7"/>
      <c r="B46" s="8"/>
      <c r="C46" s="8"/>
      <c r="D46" s="31"/>
      <c r="E46" s="31"/>
      <c r="F46" s="31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</row>
    <row r="47" spans="1:18" ht="12" hidden="1" customHeight="1">
      <c r="A47" s="3" t="s">
        <v>126</v>
      </c>
      <c r="B47" s="973" t="s">
        <v>125</v>
      </c>
      <c r="C47" s="973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ht="12" hidden="1" customHeight="1">
      <c r="A48" s="3" t="s">
        <v>128</v>
      </c>
      <c r="B48" s="973" t="s">
        <v>127</v>
      </c>
      <c r="C48" s="973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ht="12" hidden="1" customHeight="1">
      <c r="A49" s="3" t="s">
        <v>130</v>
      </c>
      <c r="B49" s="973" t="s">
        <v>129</v>
      </c>
      <c r="C49" s="973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ht="15" hidden="1" customHeight="1">
      <c r="A50" s="3" t="s">
        <v>132</v>
      </c>
      <c r="B50" s="973" t="s">
        <v>131</v>
      </c>
      <c r="C50" s="973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s="47" customFormat="1" ht="12" customHeight="1">
      <c r="A51" s="6" t="s">
        <v>133</v>
      </c>
      <c r="B51" s="969" t="s">
        <v>161</v>
      </c>
      <c r="C51" s="96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1:18" ht="7.5" customHeight="1">
      <c r="A52" s="7"/>
      <c r="B52" s="8"/>
      <c r="C52" s="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12" hidden="1" customHeight="1">
      <c r="A53" s="186" t="s">
        <v>385</v>
      </c>
      <c r="B53" s="970" t="s">
        <v>386</v>
      </c>
      <c r="C53" s="970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</row>
    <row r="54" spans="1:18" ht="12" hidden="1" customHeight="1">
      <c r="A54" s="186" t="s">
        <v>400</v>
      </c>
      <c r="B54" s="976" t="s">
        <v>401</v>
      </c>
      <c r="C54" s="97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</row>
    <row r="55" spans="1:18" ht="12" hidden="1" customHeight="1">
      <c r="A55" s="12" t="s">
        <v>701</v>
      </c>
      <c r="B55" s="970" t="s">
        <v>160</v>
      </c>
      <c r="C55" s="970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s="47" customFormat="1" ht="12" customHeight="1">
      <c r="A56" s="15" t="s">
        <v>135</v>
      </c>
      <c r="B56" s="974" t="s">
        <v>159</v>
      </c>
      <c r="C56" s="974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1:18" ht="12" customHeight="1">
      <c r="A57" s="7"/>
      <c r="B57" s="16"/>
      <c r="C57" s="16"/>
      <c r="D57" s="31"/>
      <c r="E57" s="31"/>
      <c r="F57" s="31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</row>
    <row r="58" spans="1:18" s="47" customFormat="1" ht="12" customHeight="1">
      <c r="A58" s="17" t="s">
        <v>136</v>
      </c>
      <c r="B58" s="984" t="s">
        <v>158</v>
      </c>
      <c r="C58" s="984"/>
      <c r="D58" s="58">
        <f t="shared" ref="D58:R58" si="27">+D56+D51+D45+D35+D9+D7</f>
        <v>16303</v>
      </c>
      <c r="E58" s="58">
        <f t="shared" ref="E58:F58" si="28">+E56+E51+E45+E35+E9+E7</f>
        <v>300</v>
      </c>
      <c r="F58" s="58">
        <f t="shared" si="28"/>
        <v>16603</v>
      </c>
      <c r="G58" s="58">
        <v>10412</v>
      </c>
      <c r="H58" s="58">
        <f t="shared" si="27"/>
        <v>201</v>
      </c>
      <c r="I58" s="58">
        <f t="shared" si="27"/>
        <v>10613</v>
      </c>
      <c r="J58" s="58">
        <v>3899</v>
      </c>
      <c r="K58" s="58">
        <f t="shared" si="27"/>
        <v>281</v>
      </c>
      <c r="L58" s="58">
        <f t="shared" si="27"/>
        <v>4180</v>
      </c>
      <c r="M58" s="58">
        <f t="shared" si="27"/>
        <v>1492</v>
      </c>
      <c r="N58" s="58">
        <f t="shared" si="27"/>
        <v>46</v>
      </c>
      <c r="O58" s="58">
        <f t="shared" si="27"/>
        <v>1538</v>
      </c>
      <c r="P58" s="58">
        <f t="shared" si="27"/>
        <v>500</v>
      </c>
      <c r="Q58" s="58">
        <f t="shared" si="27"/>
        <v>-228</v>
      </c>
      <c r="R58" s="58">
        <f t="shared" si="27"/>
        <v>272</v>
      </c>
    </row>
  </sheetData>
  <mergeCells count="59">
    <mergeCell ref="B54:C54"/>
    <mergeCell ref="B20:C20"/>
    <mergeCell ref="B21:C21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5:C5"/>
    <mergeCell ref="G2:I2"/>
    <mergeCell ref="J2:L2"/>
    <mergeCell ref="P3:R3"/>
    <mergeCell ref="M3:O3"/>
    <mergeCell ref="M2:O2"/>
    <mergeCell ref="P2:R2"/>
    <mergeCell ref="B16:C16"/>
    <mergeCell ref="B17:C17"/>
    <mergeCell ref="B18:C18"/>
    <mergeCell ref="A2:A4"/>
    <mergeCell ref="B2:C4"/>
    <mergeCell ref="P1:R1"/>
    <mergeCell ref="B31:C31"/>
    <mergeCell ref="B41:C41"/>
    <mergeCell ref="B45:C45"/>
    <mergeCell ref="B47:C47"/>
    <mergeCell ref="B34:C34"/>
    <mergeCell ref="B35:C3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23622047244094491" right="0.27559055118110237" top="0.74803149606299213" bottom="0.15748031496062992" header="0.31496062992125984" footer="0.31496062992125984"/>
  <pageSetup paperSize="8" orientation="landscape" r:id="rId1"/>
  <headerFooter>
    <oddHeader>&amp;C&amp;"Times New Roman,Félkövér"&amp;12Martonvásár Város Önkormányzatának kiadásai 2016.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workbookViewId="0">
      <selection activeCell="D7" sqref="D7"/>
    </sheetView>
  </sheetViews>
  <sheetFormatPr defaultColWidth="9.109375" defaultRowHeight="13.2"/>
  <cols>
    <col min="1" max="1" width="7.5546875" style="436" customWidth="1"/>
    <col min="2" max="2" width="25.44140625" style="435" customWidth="1"/>
    <col min="3" max="3" width="7.44140625" style="435" customWidth="1"/>
    <col min="4" max="4" width="6.5546875" style="435" customWidth="1"/>
    <col min="5" max="5" width="6.6640625" style="435" customWidth="1"/>
    <col min="6" max="16384" width="9.109375" style="435"/>
  </cols>
  <sheetData>
    <row r="1" spans="1:14" ht="12" customHeight="1">
      <c r="C1" s="990" t="s">
        <v>399</v>
      </c>
      <c r="D1" s="990"/>
      <c r="E1" s="990"/>
    </row>
    <row r="2" spans="1:14" s="439" customFormat="1" ht="28.5" customHeight="1">
      <c r="A2" s="1000" t="s">
        <v>279</v>
      </c>
      <c r="B2" s="1001"/>
      <c r="C2" s="999" t="s">
        <v>514</v>
      </c>
      <c r="D2" s="999"/>
      <c r="E2" s="999"/>
      <c r="F2" s="435"/>
      <c r="G2" s="435"/>
      <c r="H2" s="435"/>
      <c r="I2" s="435"/>
      <c r="J2" s="435"/>
      <c r="K2" s="435"/>
      <c r="L2" s="435"/>
      <c r="M2" s="435"/>
      <c r="N2" s="435"/>
    </row>
    <row r="3" spans="1:14" s="439" customFormat="1" ht="26.4">
      <c r="A3" s="995" t="s">
        <v>512</v>
      </c>
      <c r="B3" s="996"/>
      <c r="C3" s="828" t="s">
        <v>870</v>
      </c>
      <c r="D3" s="828" t="s">
        <v>732</v>
      </c>
      <c r="E3" s="828" t="s">
        <v>947</v>
      </c>
      <c r="F3" s="435"/>
      <c r="G3" s="435"/>
      <c r="H3" s="435"/>
      <c r="I3" s="435"/>
      <c r="J3" s="435"/>
      <c r="K3" s="435"/>
      <c r="L3" s="435"/>
      <c r="M3" s="435"/>
      <c r="N3" s="435"/>
    </row>
    <row r="4" spans="1:14" s="439" customFormat="1">
      <c r="A4" s="606" t="s">
        <v>515</v>
      </c>
      <c r="B4" s="438" t="s">
        <v>717</v>
      </c>
      <c r="C4" s="449">
        <v>500</v>
      </c>
      <c r="D4" s="605"/>
      <c r="E4" s="568">
        <f>+C4+D4</f>
        <v>500</v>
      </c>
      <c r="F4" s="435"/>
      <c r="G4" s="435"/>
      <c r="H4" s="435"/>
      <c r="I4" s="435"/>
      <c r="J4" s="435"/>
      <c r="K4" s="435"/>
      <c r="L4" s="435"/>
      <c r="M4" s="435"/>
      <c r="N4" s="435"/>
    </row>
    <row r="5" spans="1:14" s="439" customFormat="1" ht="31.5" customHeight="1">
      <c r="A5" s="437" t="s">
        <v>515</v>
      </c>
      <c r="B5" s="438" t="s">
        <v>615</v>
      </c>
      <c r="C5" s="449">
        <v>600</v>
      </c>
      <c r="D5" s="449"/>
      <c r="E5" s="449">
        <f>+C5+D5</f>
        <v>600</v>
      </c>
    </row>
    <row r="6" spans="1:14" ht="39.6">
      <c r="A6" s="437" t="s">
        <v>515</v>
      </c>
      <c r="B6" s="438" t="s">
        <v>614</v>
      </c>
      <c r="C6" s="449">
        <f>+'[4]5.e. mell. Szociális ellátások'!$E$6</f>
        <v>20520</v>
      </c>
      <c r="D6" s="449">
        <v>330</v>
      </c>
      <c r="E6" s="449">
        <f>+C6+D6</f>
        <v>20850</v>
      </c>
      <c r="F6" s="439"/>
      <c r="G6" s="439"/>
      <c r="H6" s="439"/>
      <c r="I6" s="439"/>
      <c r="J6" s="439"/>
      <c r="K6" s="439"/>
      <c r="L6" s="439"/>
      <c r="M6" s="439"/>
      <c r="N6" s="439"/>
    </row>
    <row r="7" spans="1:14" ht="19.5" customHeight="1">
      <c r="A7" s="997" t="s">
        <v>178</v>
      </c>
      <c r="B7" s="998"/>
      <c r="C7" s="450">
        <f>SUM(C4:C6)</f>
        <v>21620</v>
      </c>
      <c r="D7" s="450">
        <f t="shared" ref="D7:E7" si="0">SUM(D4:D6)</f>
        <v>330</v>
      </c>
      <c r="E7" s="450">
        <f t="shared" si="0"/>
        <v>21950</v>
      </c>
    </row>
    <row r="8" spans="1:14" ht="19.5" customHeight="1">
      <c r="A8" s="598"/>
      <c r="B8" s="598"/>
      <c r="C8" s="599"/>
      <c r="D8" s="599"/>
      <c r="E8" s="599"/>
    </row>
    <row r="9" spans="1:14">
      <c r="A9" s="1002" t="s">
        <v>279</v>
      </c>
      <c r="B9" s="1002"/>
      <c r="C9" s="999" t="s">
        <v>709</v>
      </c>
      <c r="D9" s="999"/>
      <c r="E9" s="999"/>
    </row>
    <row r="10" spans="1:14" ht="26.4">
      <c r="A10" s="989" t="s">
        <v>512</v>
      </c>
      <c r="B10" s="989"/>
      <c r="C10" s="828" t="s">
        <v>870</v>
      </c>
      <c r="D10" s="828" t="s">
        <v>732</v>
      </c>
      <c r="E10" s="828" t="s">
        <v>947</v>
      </c>
    </row>
    <row r="11" spans="1:14" ht="26.4">
      <c r="A11" s="437" t="s">
        <v>683</v>
      </c>
      <c r="B11" s="438" t="s">
        <v>679</v>
      </c>
      <c r="C11" s="700">
        <f>+'5.f. mell. Átadott pénzeszk.'!C8</f>
        <v>346</v>
      </c>
      <c r="D11" s="700">
        <f>+'5.f. mell. Átadott pénzeszk.'!D8</f>
        <v>0</v>
      </c>
      <c r="E11" s="700">
        <f>+'5.f. mell. Átadott pénzeszk.'!E8</f>
        <v>346</v>
      </c>
    </row>
    <row r="12" spans="1:14" ht="26.4">
      <c r="A12" s="437" t="s">
        <v>691</v>
      </c>
      <c r="B12" s="438" t="s">
        <v>675</v>
      </c>
      <c r="C12" s="700">
        <f>+'5.f. mell. Átadott pénzeszk.'!C9</f>
        <v>1996</v>
      </c>
      <c r="D12" s="700">
        <f>+'5.f. mell. Átadott pénzeszk.'!D9</f>
        <v>0</v>
      </c>
      <c r="E12" s="700">
        <f>+'5.f. mell. Átadott pénzeszk.'!E9</f>
        <v>1996</v>
      </c>
    </row>
    <row r="13" spans="1:14" ht="26.4">
      <c r="A13" s="437" t="s">
        <v>693</v>
      </c>
      <c r="B13" s="438" t="s">
        <v>676</v>
      </c>
      <c r="C13" s="700">
        <f>+'5.f. mell. Átadott pénzeszk.'!C10</f>
        <v>2286</v>
      </c>
      <c r="D13" s="700">
        <f>+'5.f. mell. Átadott pénzeszk.'!D10</f>
        <v>0</v>
      </c>
      <c r="E13" s="700">
        <f>+'5.f. mell. Átadott pénzeszk.'!E10</f>
        <v>2286</v>
      </c>
    </row>
    <row r="14" spans="1:14">
      <c r="A14" s="437" t="s">
        <v>690</v>
      </c>
      <c r="B14" s="438" t="s">
        <v>680</v>
      </c>
      <c r="C14" s="700">
        <f>+'5.f. mell. Átadott pénzeszk.'!C11</f>
        <v>3020</v>
      </c>
      <c r="D14" s="700">
        <f>+'5.f. mell. Átadott pénzeszk.'!D11</f>
        <v>0</v>
      </c>
      <c r="E14" s="700">
        <f>+'5.f. mell. Átadott pénzeszk.'!E11</f>
        <v>3020</v>
      </c>
    </row>
    <row r="15" spans="1:14" ht="26.4">
      <c r="A15" s="437" t="s">
        <v>688</v>
      </c>
      <c r="B15" s="438" t="s">
        <v>681</v>
      </c>
      <c r="C15" s="700">
        <f>+'5.f. mell. Átadott pénzeszk.'!C12</f>
        <v>963</v>
      </c>
      <c r="D15" s="700">
        <f>+'5.f. mell. Átadott pénzeszk.'!D12</f>
        <v>0</v>
      </c>
      <c r="E15" s="700">
        <f>+'5.f. mell. Átadott pénzeszk.'!E12</f>
        <v>963</v>
      </c>
    </row>
    <row r="16" spans="1:14">
      <c r="A16" s="437" t="s">
        <v>694</v>
      </c>
      <c r="B16" s="438" t="s">
        <v>685</v>
      </c>
      <c r="C16" s="700">
        <f>+'5.f. mell. Átadott pénzeszk.'!C13</f>
        <v>695</v>
      </c>
      <c r="D16" s="700">
        <f>+'5.f. mell. Átadott pénzeszk.'!D13</f>
        <v>0</v>
      </c>
      <c r="E16" s="700">
        <f>+'5.f. mell. Átadott pénzeszk.'!E13</f>
        <v>695</v>
      </c>
    </row>
    <row r="17" spans="1:5">
      <c r="A17" s="997" t="s">
        <v>178</v>
      </c>
      <c r="B17" s="998"/>
      <c r="C17" s="450">
        <f>SUM(C11:C16)</f>
        <v>9306</v>
      </c>
      <c r="D17" s="450">
        <f t="shared" ref="D17:E17" si="1">SUM(D11:D16)</f>
        <v>0</v>
      </c>
      <c r="E17" s="450">
        <f t="shared" si="1"/>
        <v>9306</v>
      </c>
    </row>
    <row r="18" spans="1:5">
      <c r="A18" s="600"/>
      <c r="B18" s="601"/>
      <c r="C18" s="602"/>
      <c r="D18" s="19"/>
      <c r="E18" s="19"/>
    </row>
    <row r="19" spans="1:5">
      <c r="A19" s="1002" t="s">
        <v>279</v>
      </c>
      <c r="B19" s="1002"/>
      <c r="C19" s="999"/>
      <c r="D19" s="999"/>
      <c r="E19" s="999"/>
    </row>
    <row r="20" spans="1:5" ht="26.4">
      <c r="A20" s="989" t="s">
        <v>512</v>
      </c>
      <c r="B20" s="989"/>
      <c r="C20" s="812" t="s">
        <v>733</v>
      </c>
      <c r="D20" s="812" t="s">
        <v>732</v>
      </c>
      <c r="E20" s="812" t="s">
        <v>870</v>
      </c>
    </row>
    <row r="21" spans="1:5">
      <c r="A21" s="603"/>
      <c r="B21" s="20" t="s">
        <v>521</v>
      </c>
      <c r="C21" s="20">
        <v>540</v>
      </c>
      <c r="D21" s="20"/>
      <c r="E21" s="20">
        <f>+C21+D21</f>
        <v>540</v>
      </c>
    </row>
    <row r="22" spans="1:5">
      <c r="A22" s="997" t="s">
        <v>178</v>
      </c>
      <c r="B22" s="998"/>
      <c r="C22" s="450">
        <f>SUM(C21)</f>
        <v>540</v>
      </c>
      <c r="D22" s="450">
        <f>SUM(D20:D21)</f>
        <v>0</v>
      </c>
      <c r="E22" s="450">
        <f>SUM(E20:E21)</f>
        <v>540</v>
      </c>
    </row>
  </sheetData>
  <mergeCells count="13">
    <mergeCell ref="A20:B20"/>
    <mergeCell ref="A17:B17"/>
    <mergeCell ref="A22:B22"/>
    <mergeCell ref="A9:B9"/>
    <mergeCell ref="C9:E9"/>
    <mergeCell ref="A10:B10"/>
    <mergeCell ref="A19:B19"/>
    <mergeCell ref="C19:E19"/>
    <mergeCell ref="C1:E1"/>
    <mergeCell ref="A3:B3"/>
    <mergeCell ref="A7:B7"/>
    <mergeCell ref="C2:E2"/>
    <mergeCell ref="A2:B2"/>
  </mergeCells>
  <printOptions horizontalCentered="1"/>
  <pageMargins left="0.70866141732283472" right="0.70866141732283472" top="1.07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2016.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N51"/>
  <sheetViews>
    <sheetView workbookViewId="0">
      <selection activeCell="E45" sqref="E45"/>
    </sheetView>
  </sheetViews>
  <sheetFormatPr defaultColWidth="9.109375" defaultRowHeight="13.2"/>
  <cols>
    <col min="1" max="1" width="7.5546875" style="436" customWidth="1"/>
    <col min="2" max="2" width="29" style="435" customWidth="1"/>
    <col min="3" max="3" width="7.6640625" style="435" customWidth="1"/>
    <col min="4" max="4" width="6.5546875" style="435" customWidth="1"/>
    <col min="5" max="5" width="7.5546875" style="435" customWidth="1"/>
    <col min="6" max="6" width="7.88671875" style="435" customWidth="1"/>
    <col min="7" max="7" width="6.33203125" style="435" customWidth="1"/>
    <col min="8" max="11" width="7.44140625" style="435" customWidth="1"/>
    <col min="12" max="12" width="8.109375" style="435" customWidth="1"/>
    <col min="13" max="13" width="6.44140625" style="435" customWidth="1"/>
    <col min="14" max="14" width="7.88671875" style="435" customWidth="1"/>
    <col min="15" max="16384" width="9.109375" style="435"/>
  </cols>
  <sheetData>
    <row r="1" spans="1:14" ht="12.75" customHeight="1">
      <c r="A1" s="1015"/>
      <c r="B1" s="1016" t="s">
        <v>513</v>
      </c>
      <c r="C1" s="1017" t="s">
        <v>102</v>
      </c>
      <c r="D1" s="1017"/>
      <c r="E1" s="1017"/>
      <c r="F1" s="1017" t="s">
        <v>108</v>
      </c>
      <c r="G1" s="1017"/>
      <c r="H1" s="1017"/>
      <c r="I1" s="1017" t="s">
        <v>712</v>
      </c>
      <c r="J1" s="1017"/>
      <c r="K1" s="1017"/>
      <c r="L1" s="1003" t="s">
        <v>178</v>
      </c>
      <c r="M1" s="1004"/>
      <c r="N1" s="1005"/>
    </row>
    <row r="2" spans="1:14" ht="29.25" customHeight="1">
      <c r="A2" s="1015"/>
      <c r="B2" s="1016"/>
      <c r="C2" s="999" t="s">
        <v>608</v>
      </c>
      <c r="D2" s="999"/>
      <c r="E2" s="999"/>
      <c r="F2" s="999" t="s">
        <v>507</v>
      </c>
      <c r="G2" s="999"/>
      <c r="H2" s="999"/>
      <c r="I2" s="999" t="s">
        <v>713</v>
      </c>
      <c r="J2" s="999"/>
      <c r="K2" s="999"/>
      <c r="L2" s="1006"/>
      <c r="M2" s="1007"/>
      <c r="N2" s="1008"/>
    </row>
    <row r="3" spans="1:14" ht="26.25" customHeight="1">
      <c r="A3" s="440" t="s">
        <v>512</v>
      </c>
      <c r="B3" s="441" t="s">
        <v>279</v>
      </c>
      <c r="C3" s="828" t="s">
        <v>870</v>
      </c>
      <c r="D3" s="828" t="s">
        <v>732</v>
      </c>
      <c r="E3" s="828" t="s">
        <v>947</v>
      </c>
      <c r="F3" s="828" t="s">
        <v>870</v>
      </c>
      <c r="G3" s="828" t="s">
        <v>732</v>
      </c>
      <c r="H3" s="828" t="s">
        <v>947</v>
      </c>
      <c r="I3" s="828" t="s">
        <v>870</v>
      </c>
      <c r="J3" s="828" t="s">
        <v>732</v>
      </c>
      <c r="K3" s="828" t="s">
        <v>947</v>
      </c>
      <c r="L3" s="828" t="s">
        <v>870</v>
      </c>
      <c r="M3" s="828" t="s">
        <v>732</v>
      </c>
      <c r="N3" s="828" t="s">
        <v>947</v>
      </c>
    </row>
    <row r="4" spans="1:14" s="439" customFormat="1" ht="15" customHeight="1">
      <c r="A4" s="437" t="s">
        <v>509</v>
      </c>
      <c r="B4" s="438" t="s">
        <v>510</v>
      </c>
      <c r="C4" s="449"/>
      <c r="D4" s="449"/>
      <c r="E4" s="449">
        <f>+C4+D4</f>
        <v>0</v>
      </c>
      <c r="F4" s="449">
        <f>+'[4]5.f. mell. Átadott pénzeszk.'!$H$4</f>
        <v>3200</v>
      </c>
      <c r="G4" s="449">
        <v>560</v>
      </c>
      <c r="H4" s="449">
        <f>+F4+G4</f>
        <v>3760</v>
      </c>
      <c r="I4" s="449"/>
      <c r="J4" s="449"/>
      <c r="K4" s="449"/>
      <c r="L4" s="449">
        <f>+C4+F4+I4</f>
        <v>3200</v>
      </c>
      <c r="M4" s="449">
        <f t="shared" ref="M4:N4" si="0">+D4+G4+J4</f>
        <v>560</v>
      </c>
      <c r="N4" s="449">
        <f t="shared" si="0"/>
        <v>3760</v>
      </c>
    </row>
    <row r="5" spans="1:14" s="439" customFormat="1" ht="15" customHeight="1">
      <c r="A5" s="437" t="s">
        <v>509</v>
      </c>
      <c r="B5" s="438" t="s">
        <v>673</v>
      </c>
      <c r="C5" s="449"/>
      <c r="D5" s="449"/>
      <c r="E5" s="449"/>
      <c r="F5" s="449">
        <v>750</v>
      </c>
      <c r="G5" s="449"/>
      <c r="H5" s="449">
        <f t="shared" ref="H5:H6" si="1">+F5+G5</f>
        <v>750</v>
      </c>
      <c r="I5" s="449"/>
      <c r="J5" s="449"/>
      <c r="K5" s="449"/>
      <c r="L5" s="449">
        <f t="shared" ref="L5:L26" si="2">+C5+F5+I5</f>
        <v>750</v>
      </c>
      <c r="M5" s="449">
        <f t="shared" ref="M5:M51" si="3">+D5+G5+J5</f>
        <v>0</v>
      </c>
      <c r="N5" s="449">
        <f t="shared" ref="N5:N26" si="4">+E5+H5+K5</f>
        <v>750</v>
      </c>
    </row>
    <row r="6" spans="1:14" s="439" customFormat="1" ht="15" customHeight="1">
      <c r="A6" s="437" t="s">
        <v>511</v>
      </c>
      <c r="B6" s="438" t="s">
        <v>498</v>
      </c>
      <c r="C6" s="449"/>
      <c r="D6" s="449"/>
      <c r="E6" s="449"/>
      <c r="F6" s="449">
        <v>6200</v>
      </c>
      <c r="G6" s="449">
        <v>-1160</v>
      </c>
      <c r="H6" s="449">
        <f t="shared" si="1"/>
        <v>5040</v>
      </c>
      <c r="I6" s="449"/>
      <c r="J6" s="449"/>
      <c r="K6" s="449"/>
      <c r="L6" s="449">
        <f t="shared" si="2"/>
        <v>6200</v>
      </c>
      <c r="M6" s="449">
        <f t="shared" si="3"/>
        <v>-1160</v>
      </c>
      <c r="N6" s="449">
        <f t="shared" si="4"/>
        <v>5040</v>
      </c>
    </row>
    <row r="7" spans="1:14" s="439" customFormat="1" ht="15" customHeight="1">
      <c r="A7" s="1011" t="s">
        <v>516</v>
      </c>
      <c r="B7" s="1012"/>
      <c r="C7" s="449">
        <f>SUM(C8:C14)</f>
        <v>20443</v>
      </c>
      <c r="D7" s="449">
        <f t="shared" ref="D7:E7" si="5">SUM(D8:D14)</f>
        <v>7309</v>
      </c>
      <c r="E7" s="449">
        <f t="shared" si="5"/>
        <v>27752</v>
      </c>
      <c r="F7" s="449"/>
      <c r="G7" s="449"/>
      <c r="H7" s="449"/>
      <c r="I7" s="449"/>
      <c r="J7" s="449"/>
      <c r="K7" s="449"/>
      <c r="L7" s="449">
        <f t="shared" si="2"/>
        <v>20443</v>
      </c>
      <c r="M7" s="449">
        <f t="shared" si="3"/>
        <v>7309</v>
      </c>
      <c r="N7" s="449">
        <f t="shared" si="4"/>
        <v>27752</v>
      </c>
    </row>
    <row r="8" spans="1:14" s="608" customFormat="1" ht="15" customHeight="1">
      <c r="A8" s="607" t="s">
        <v>740</v>
      </c>
      <c r="B8" s="513" t="s">
        <v>679</v>
      </c>
      <c r="C8" s="515">
        <f>+'[4]5.f. mell. Átadott pénzeszk.'!$E8</f>
        <v>346</v>
      </c>
      <c r="D8" s="515"/>
      <c r="E8" s="515">
        <f>+C8+D8</f>
        <v>346</v>
      </c>
      <c r="F8" s="515"/>
      <c r="G8" s="515"/>
      <c r="H8" s="515"/>
      <c r="I8" s="515"/>
      <c r="J8" s="515"/>
      <c r="K8" s="515"/>
      <c r="L8" s="515">
        <f t="shared" si="2"/>
        <v>346</v>
      </c>
      <c r="M8" s="515">
        <f t="shared" si="3"/>
        <v>0</v>
      </c>
      <c r="N8" s="515">
        <f t="shared" si="4"/>
        <v>346</v>
      </c>
    </row>
    <row r="9" spans="1:14" s="608" customFormat="1" ht="15" customHeight="1">
      <c r="A9" s="607" t="s">
        <v>691</v>
      </c>
      <c r="B9" s="513" t="s">
        <v>675</v>
      </c>
      <c r="C9" s="515">
        <f>+'[4]5.f. mell. Átadott pénzeszk.'!$E9</f>
        <v>1996</v>
      </c>
      <c r="D9" s="515"/>
      <c r="E9" s="515">
        <f t="shared" ref="E9:E14" si="6">+C9+D9</f>
        <v>1996</v>
      </c>
      <c r="F9" s="515"/>
      <c r="G9" s="515"/>
      <c r="H9" s="515"/>
      <c r="I9" s="515"/>
      <c r="J9" s="515"/>
      <c r="K9" s="515"/>
      <c r="L9" s="515">
        <f t="shared" si="2"/>
        <v>1996</v>
      </c>
      <c r="M9" s="515">
        <f t="shared" si="3"/>
        <v>0</v>
      </c>
      <c r="N9" s="515">
        <f t="shared" si="4"/>
        <v>1996</v>
      </c>
    </row>
    <row r="10" spans="1:14" s="608" customFormat="1" ht="15" customHeight="1">
      <c r="A10" s="607" t="s">
        <v>693</v>
      </c>
      <c r="B10" s="513" t="s">
        <v>676</v>
      </c>
      <c r="C10" s="515">
        <f>+'[4]5.f. mell. Átadott pénzeszk.'!$E10</f>
        <v>2286</v>
      </c>
      <c r="D10" s="515"/>
      <c r="E10" s="515">
        <f t="shared" si="6"/>
        <v>2286</v>
      </c>
      <c r="F10" s="515"/>
      <c r="G10" s="515"/>
      <c r="H10" s="515"/>
      <c r="I10" s="515"/>
      <c r="J10" s="515"/>
      <c r="K10" s="515"/>
      <c r="L10" s="515">
        <f t="shared" si="2"/>
        <v>2286</v>
      </c>
      <c r="M10" s="515">
        <f t="shared" si="3"/>
        <v>0</v>
      </c>
      <c r="N10" s="515">
        <f t="shared" si="4"/>
        <v>2286</v>
      </c>
    </row>
    <row r="11" spans="1:14" s="608" customFormat="1" ht="15" customHeight="1">
      <c r="A11" s="607" t="s">
        <v>690</v>
      </c>
      <c r="B11" s="513" t="s">
        <v>680</v>
      </c>
      <c r="C11" s="515">
        <f>+'[4]5.f. mell. Átadott pénzeszk.'!$E11</f>
        <v>3020</v>
      </c>
      <c r="D11" s="515"/>
      <c r="E11" s="515">
        <f t="shared" si="6"/>
        <v>3020</v>
      </c>
      <c r="F11" s="515"/>
      <c r="G11" s="515"/>
      <c r="H11" s="515"/>
      <c r="I11" s="515"/>
      <c r="J11" s="515"/>
      <c r="K11" s="515"/>
      <c r="L11" s="515">
        <f t="shared" si="2"/>
        <v>3020</v>
      </c>
      <c r="M11" s="515">
        <f t="shared" si="3"/>
        <v>0</v>
      </c>
      <c r="N11" s="515">
        <f t="shared" si="4"/>
        <v>3020</v>
      </c>
    </row>
    <row r="12" spans="1:14" s="608" customFormat="1" ht="15" customHeight="1">
      <c r="A12" s="607" t="s">
        <v>688</v>
      </c>
      <c r="B12" s="513" t="s">
        <v>681</v>
      </c>
      <c r="C12" s="515">
        <f>+'[4]5.f. mell. Átadott pénzeszk.'!$E12</f>
        <v>963</v>
      </c>
      <c r="D12" s="515"/>
      <c r="E12" s="515">
        <f t="shared" si="6"/>
        <v>963</v>
      </c>
      <c r="F12" s="515"/>
      <c r="G12" s="515"/>
      <c r="H12" s="515"/>
      <c r="I12" s="515"/>
      <c r="J12" s="515"/>
      <c r="K12" s="515"/>
      <c r="L12" s="515">
        <f t="shared" si="2"/>
        <v>963</v>
      </c>
      <c r="M12" s="515">
        <f t="shared" si="3"/>
        <v>0</v>
      </c>
      <c r="N12" s="515">
        <f t="shared" si="4"/>
        <v>963</v>
      </c>
    </row>
    <row r="13" spans="1:14" s="608" customFormat="1" ht="15" customHeight="1">
      <c r="A13" s="607" t="s">
        <v>694</v>
      </c>
      <c r="B13" s="513" t="s">
        <v>685</v>
      </c>
      <c r="C13" s="515">
        <f>+'[4]5.f. mell. Átadott pénzeszk.'!$E13</f>
        <v>695</v>
      </c>
      <c r="D13" s="515"/>
      <c r="E13" s="515">
        <f t="shared" si="6"/>
        <v>695</v>
      </c>
      <c r="F13" s="515"/>
      <c r="G13" s="515"/>
      <c r="H13" s="515"/>
      <c r="I13" s="515"/>
      <c r="J13" s="515"/>
      <c r="K13" s="515"/>
      <c r="L13" s="515">
        <f t="shared" si="2"/>
        <v>695</v>
      </c>
      <c r="M13" s="515">
        <f t="shared" si="3"/>
        <v>0</v>
      </c>
      <c r="N13" s="515">
        <f t="shared" si="4"/>
        <v>695</v>
      </c>
    </row>
    <row r="14" spans="1:14" s="608" customFormat="1" ht="15" customHeight="1">
      <c r="A14" s="607" t="s">
        <v>499</v>
      </c>
      <c r="B14" s="513" t="s">
        <v>830</v>
      </c>
      <c r="C14" s="515">
        <f>+'[4]5.f. mell. Átadott pénzeszk.'!$E14</f>
        <v>11137</v>
      </c>
      <c r="D14" s="515">
        <v>7309</v>
      </c>
      <c r="E14" s="515">
        <f t="shared" si="6"/>
        <v>18446</v>
      </c>
      <c r="F14" s="515"/>
      <c r="G14" s="515"/>
      <c r="H14" s="515"/>
      <c r="I14" s="515"/>
      <c r="J14" s="515"/>
      <c r="K14" s="515"/>
      <c r="L14" s="515">
        <f t="shared" si="2"/>
        <v>11137</v>
      </c>
      <c r="M14" s="515">
        <f t="shared" si="3"/>
        <v>7309</v>
      </c>
      <c r="N14" s="515">
        <f t="shared" si="4"/>
        <v>18446</v>
      </c>
    </row>
    <row r="15" spans="1:14" s="439" customFormat="1" ht="15" customHeight="1">
      <c r="A15" s="1013" t="s">
        <v>715</v>
      </c>
      <c r="B15" s="1014"/>
      <c r="C15" s="449">
        <f>SUM(C16:C25)</f>
        <v>220069</v>
      </c>
      <c r="D15" s="449">
        <f t="shared" ref="D15:E15" si="7">SUM(D16:D25)</f>
        <v>-9261</v>
      </c>
      <c r="E15" s="449">
        <f t="shared" si="7"/>
        <v>210808</v>
      </c>
      <c r="F15" s="449"/>
      <c r="G15" s="449"/>
      <c r="H15" s="449"/>
      <c r="I15" s="449"/>
      <c r="J15" s="449"/>
      <c r="K15" s="449"/>
      <c r="L15" s="449">
        <f t="shared" si="2"/>
        <v>220069</v>
      </c>
      <c r="M15" s="449">
        <f t="shared" si="3"/>
        <v>-9261</v>
      </c>
      <c r="N15" s="449">
        <f t="shared" si="4"/>
        <v>210808</v>
      </c>
    </row>
    <row r="16" spans="1:14" s="439" customFormat="1" ht="15" customHeight="1">
      <c r="A16" s="607" t="s">
        <v>718</v>
      </c>
      <c r="B16" s="513" t="s">
        <v>719</v>
      </c>
      <c r="C16" s="515">
        <f>+'[4]5.f. mell. Átadott pénzeszk.'!$E16</f>
        <v>155601</v>
      </c>
      <c r="D16" s="449">
        <v>-3247</v>
      </c>
      <c r="E16" s="449">
        <f>+C16+D16</f>
        <v>152354</v>
      </c>
      <c r="F16" s="449"/>
      <c r="G16" s="449"/>
      <c r="H16" s="449"/>
      <c r="I16" s="449"/>
      <c r="J16" s="449"/>
      <c r="K16" s="449"/>
      <c r="L16" s="449">
        <f>SUM(C16:K16)</f>
        <v>304708</v>
      </c>
      <c r="M16" s="449"/>
      <c r="N16" s="449">
        <f t="shared" si="4"/>
        <v>152354</v>
      </c>
    </row>
    <row r="17" spans="1:14" s="608" customFormat="1" ht="15" customHeight="1">
      <c r="A17" s="607" t="s">
        <v>692</v>
      </c>
      <c r="B17" s="513" t="s">
        <v>684</v>
      </c>
      <c r="C17" s="515">
        <f>+'[4]5.f. mell. Átadott pénzeszk.'!$E17</f>
        <v>3886</v>
      </c>
      <c r="D17" s="515">
        <v>-470</v>
      </c>
      <c r="E17" s="449">
        <f t="shared" ref="E17:E25" si="8">+C17+D17</f>
        <v>3416</v>
      </c>
      <c r="F17" s="515"/>
      <c r="G17" s="515"/>
      <c r="H17" s="515"/>
      <c r="I17" s="515"/>
      <c r="J17" s="515"/>
      <c r="K17" s="515"/>
      <c r="L17" s="515">
        <f t="shared" si="2"/>
        <v>3886</v>
      </c>
      <c r="M17" s="515">
        <f t="shared" si="3"/>
        <v>-470</v>
      </c>
      <c r="N17" s="515">
        <f t="shared" si="4"/>
        <v>3416</v>
      </c>
    </row>
    <row r="18" spans="1:14" s="608" customFormat="1" ht="15" customHeight="1">
      <c r="A18" s="607" t="s">
        <v>691</v>
      </c>
      <c r="B18" s="513" t="s">
        <v>675</v>
      </c>
      <c r="C18" s="515">
        <f>+'[4]5.f. mell. Átadott pénzeszk.'!$E18</f>
        <v>15000</v>
      </c>
      <c r="D18" s="515"/>
      <c r="E18" s="449">
        <f t="shared" si="8"/>
        <v>15000</v>
      </c>
      <c r="F18" s="515"/>
      <c r="G18" s="515"/>
      <c r="H18" s="515"/>
      <c r="I18" s="515"/>
      <c r="J18" s="515"/>
      <c r="K18" s="515"/>
      <c r="L18" s="515">
        <f t="shared" si="2"/>
        <v>15000</v>
      </c>
      <c r="M18" s="515">
        <f t="shared" si="3"/>
        <v>0</v>
      </c>
      <c r="N18" s="515">
        <f t="shared" si="4"/>
        <v>15000</v>
      </c>
    </row>
    <row r="19" spans="1:14" s="608" customFormat="1" ht="15" customHeight="1">
      <c r="A19" s="607" t="s">
        <v>693</v>
      </c>
      <c r="B19" s="513" t="s">
        <v>676</v>
      </c>
      <c r="C19" s="515">
        <f>+'[4]5.f. mell. Átadott pénzeszk.'!$E19</f>
        <v>9900</v>
      </c>
      <c r="D19" s="515"/>
      <c r="E19" s="449">
        <f t="shared" si="8"/>
        <v>9900</v>
      </c>
      <c r="F19" s="515"/>
      <c r="G19" s="515"/>
      <c r="H19" s="515"/>
      <c r="I19" s="515"/>
      <c r="J19" s="515"/>
      <c r="K19" s="515"/>
      <c r="L19" s="515">
        <f t="shared" si="2"/>
        <v>9900</v>
      </c>
      <c r="M19" s="515">
        <f t="shared" si="3"/>
        <v>0</v>
      </c>
      <c r="N19" s="515">
        <f t="shared" si="4"/>
        <v>9900</v>
      </c>
    </row>
    <row r="20" spans="1:14" s="608" customFormat="1" ht="15" customHeight="1">
      <c r="A20" s="607" t="s">
        <v>694</v>
      </c>
      <c r="B20" s="513" t="s">
        <v>685</v>
      </c>
      <c r="C20" s="515">
        <f>+'[4]5.f. mell. Átadott pénzeszk.'!$E20</f>
        <v>996</v>
      </c>
      <c r="D20" s="515">
        <v>-554</v>
      </c>
      <c r="E20" s="449">
        <f t="shared" si="8"/>
        <v>442</v>
      </c>
      <c r="F20" s="515"/>
      <c r="G20" s="515"/>
      <c r="H20" s="515"/>
      <c r="I20" s="515"/>
      <c r="J20" s="515"/>
      <c r="K20" s="515"/>
      <c r="L20" s="515">
        <f t="shared" si="2"/>
        <v>996</v>
      </c>
      <c r="M20" s="515">
        <f t="shared" si="3"/>
        <v>-554</v>
      </c>
      <c r="N20" s="515">
        <f t="shared" si="4"/>
        <v>442</v>
      </c>
    </row>
    <row r="21" spans="1:14" s="608" customFormat="1" ht="15" customHeight="1">
      <c r="A21" s="607" t="s">
        <v>690</v>
      </c>
      <c r="B21" s="513" t="s">
        <v>680</v>
      </c>
      <c r="C21" s="515">
        <f>+'[4]5.f. mell. Átadott pénzeszk.'!$E21</f>
        <v>20358</v>
      </c>
      <c r="D21" s="515">
        <v>-4336</v>
      </c>
      <c r="E21" s="449">
        <f t="shared" si="8"/>
        <v>16022</v>
      </c>
      <c r="F21" s="515"/>
      <c r="G21" s="515"/>
      <c r="H21" s="515"/>
      <c r="I21" s="515"/>
      <c r="J21" s="515"/>
      <c r="K21" s="515"/>
      <c r="L21" s="515">
        <f t="shared" si="2"/>
        <v>20358</v>
      </c>
      <c r="M21" s="515">
        <f t="shared" si="3"/>
        <v>-4336</v>
      </c>
      <c r="N21" s="515">
        <f t="shared" si="4"/>
        <v>16022</v>
      </c>
    </row>
    <row r="22" spans="1:14" s="608" customFormat="1" ht="15" customHeight="1">
      <c r="A22" s="607" t="s">
        <v>689</v>
      </c>
      <c r="B22" s="513" t="s">
        <v>686</v>
      </c>
      <c r="C22" s="515">
        <f>+'[4]5.f. mell. Átadott pénzeszk.'!$E22</f>
        <v>1145</v>
      </c>
      <c r="D22" s="515"/>
      <c r="E22" s="449">
        <f t="shared" si="8"/>
        <v>1145</v>
      </c>
      <c r="F22" s="515"/>
      <c r="G22" s="515"/>
      <c r="H22" s="515"/>
      <c r="I22" s="515"/>
      <c r="J22" s="515"/>
      <c r="K22" s="515"/>
      <c r="L22" s="515">
        <f t="shared" si="2"/>
        <v>1145</v>
      </c>
      <c r="M22" s="515">
        <f t="shared" si="3"/>
        <v>0</v>
      </c>
      <c r="N22" s="515">
        <f t="shared" si="4"/>
        <v>1145</v>
      </c>
    </row>
    <row r="23" spans="1:14" s="608" customFormat="1" ht="15" customHeight="1">
      <c r="A23" s="607" t="s">
        <v>740</v>
      </c>
      <c r="B23" s="513" t="s">
        <v>679</v>
      </c>
      <c r="C23" s="515">
        <f>+'[4]5.f. mell. Átadott pénzeszk.'!$E23</f>
        <v>2500</v>
      </c>
      <c r="D23" s="515">
        <v>-654</v>
      </c>
      <c r="E23" s="449">
        <f t="shared" si="8"/>
        <v>1846</v>
      </c>
      <c r="F23" s="515"/>
      <c r="G23" s="515"/>
      <c r="H23" s="515"/>
      <c r="I23" s="515"/>
      <c r="J23" s="515"/>
      <c r="K23" s="515"/>
      <c r="L23" s="515">
        <f t="shared" si="2"/>
        <v>2500</v>
      </c>
      <c r="M23" s="515">
        <f t="shared" si="3"/>
        <v>-654</v>
      </c>
      <c r="N23" s="515">
        <f t="shared" si="4"/>
        <v>1846</v>
      </c>
    </row>
    <row r="24" spans="1:14" s="608" customFormat="1" ht="15" customHeight="1">
      <c r="A24" s="607" t="s">
        <v>682</v>
      </c>
      <c r="B24" s="513" t="s">
        <v>687</v>
      </c>
      <c r="C24" s="515">
        <f>+'[4]5.f. mell. Átadott pénzeszk.'!$E24</f>
        <v>1743</v>
      </c>
      <c r="D24" s="515"/>
      <c r="E24" s="449">
        <f t="shared" si="8"/>
        <v>1743</v>
      </c>
      <c r="F24" s="515"/>
      <c r="G24" s="515"/>
      <c r="H24" s="515"/>
      <c r="I24" s="515"/>
      <c r="J24" s="515"/>
      <c r="K24" s="515"/>
      <c r="L24" s="515">
        <f t="shared" si="2"/>
        <v>1743</v>
      </c>
      <c r="M24" s="515">
        <f t="shared" si="3"/>
        <v>0</v>
      </c>
      <c r="N24" s="515">
        <f t="shared" si="4"/>
        <v>1743</v>
      </c>
    </row>
    <row r="25" spans="1:14" s="608" customFormat="1" ht="15" customHeight="1">
      <c r="A25" s="607" t="s">
        <v>688</v>
      </c>
      <c r="B25" s="513" t="s">
        <v>681</v>
      </c>
      <c r="C25" s="515">
        <f>+'[4]5.f. mell. Átadott pénzeszk.'!$E25</f>
        <v>8940</v>
      </c>
      <c r="D25" s="515"/>
      <c r="E25" s="449">
        <f t="shared" si="8"/>
        <v>8940</v>
      </c>
      <c r="F25" s="515"/>
      <c r="G25" s="515"/>
      <c r="H25" s="515"/>
      <c r="I25" s="515"/>
      <c r="J25" s="515"/>
      <c r="K25" s="515"/>
      <c r="L25" s="515">
        <f t="shared" si="2"/>
        <v>8940</v>
      </c>
      <c r="M25" s="515">
        <f t="shared" si="3"/>
        <v>0</v>
      </c>
      <c r="N25" s="515">
        <f t="shared" si="4"/>
        <v>8940</v>
      </c>
    </row>
    <row r="26" spans="1:14" s="439" customFormat="1" ht="15" customHeight="1">
      <c r="A26" s="1013" t="s">
        <v>714</v>
      </c>
      <c r="B26" s="1014"/>
      <c r="C26" s="449"/>
      <c r="D26" s="449"/>
      <c r="E26" s="449"/>
      <c r="F26" s="449"/>
      <c r="G26" s="449"/>
      <c r="H26" s="449"/>
      <c r="I26" s="449">
        <v>2000</v>
      </c>
      <c r="J26" s="449"/>
      <c r="K26" s="449">
        <f>+I26+J26</f>
        <v>2000</v>
      </c>
      <c r="L26" s="449">
        <f t="shared" si="2"/>
        <v>2000</v>
      </c>
      <c r="M26" s="449">
        <f t="shared" si="3"/>
        <v>0</v>
      </c>
      <c r="N26" s="449">
        <f t="shared" si="4"/>
        <v>2000</v>
      </c>
    </row>
    <row r="27" spans="1:14" s="439" customFormat="1" ht="35.25" customHeight="1">
      <c r="A27" s="1011" t="s">
        <v>605</v>
      </c>
      <c r="B27" s="1012"/>
      <c r="C27" s="449"/>
      <c r="D27" s="449"/>
      <c r="E27" s="449"/>
      <c r="F27" s="449">
        <v>107457</v>
      </c>
      <c r="G27" s="449">
        <f t="shared" ref="G27:H27" si="9">SUM(G28:G39)</f>
        <v>3250</v>
      </c>
      <c r="H27" s="449">
        <f t="shared" si="9"/>
        <v>110707</v>
      </c>
      <c r="I27" s="449"/>
      <c r="J27" s="449"/>
      <c r="K27" s="449"/>
      <c r="L27" s="449">
        <f t="shared" ref="L27:L41" si="10">+C27+F27+I27</f>
        <v>107457</v>
      </c>
      <c r="M27" s="449">
        <f t="shared" si="3"/>
        <v>3250</v>
      </c>
      <c r="N27" s="449">
        <f t="shared" ref="N27:N41" si="11">+E27+H27+K27</f>
        <v>110707</v>
      </c>
    </row>
    <row r="28" spans="1:14" s="608" customFormat="1" ht="15" customHeight="1">
      <c r="A28" s="607"/>
      <c r="B28" s="513" t="s">
        <v>508</v>
      </c>
      <c r="C28" s="514"/>
      <c r="D28" s="515"/>
      <c r="E28" s="515"/>
      <c r="F28" s="515">
        <v>7650</v>
      </c>
      <c r="G28" s="515"/>
      <c r="H28" s="515">
        <f>+F28+G28</f>
        <v>7650</v>
      </c>
      <c r="I28" s="515"/>
      <c r="J28" s="515"/>
      <c r="K28" s="515"/>
      <c r="L28" s="515">
        <f t="shared" si="10"/>
        <v>7650</v>
      </c>
      <c r="M28" s="515">
        <f t="shared" si="3"/>
        <v>0</v>
      </c>
      <c r="N28" s="515">
        <f t="shared" si="11"/>
        <v>7650</v>
      </c>
    </row>
    <row r="29" spans="1:14" s="608" customFormat="1" ht="15" customHeight="1">
      <c r="A29" s="607"/>
      <c r="B29" s="513" t="s">
        <v>464</v>
      </c>
      <c r="C29" s="514"/>
      <c r="D29" s="515"/>
      <c r="E29" s="515"/>
      <c r="F29" s="515">
        <v>4589</v>
      </c>
      <c r="G29" s="515"/>
      <c r="H29" s="515">
        <f t="shared" ref="H29:H39" si="12">+F29+G29</f>
        <v>4589</v>
      </c>
      <c r="I29" s="515"/>
      <c r="J29" s="515"/>
      <c r="K29" s="515"/>
      <c r="L29" s="515">
        <f t="shared" si="10"/>
        <v>4589</v>
      </c>
      <c r="M29" s="515">
        <f t="shared" si="3"/>
        <v>0</v>
      </c>
      <c r="N29" s="515">
        <f t="shared" si="11"/>
        <v>4589</v>
      </c>
    </row>
    <row r="30" spans="1:14" s="608" customFormat="1" ht="15" customHeight="1">
      <c r="A30" s="607"/>
      <c r="B30" s="513" t="s">
        <v>500</v>
      </c>
      <c r="C30" s="514"/>
      <c r="D30" s="515"/>
      <c r="E30" s="515"/>
      <c r="F30" s="515">
        <v>5849</v>
      </c>
      <c r="G30" s="515"/>
      <c r="H30" s="515">
        <f t="shared" si="12"/>
        <v>5849</v>
      </c>
      <c r="I30" s="515"/>
      <c r="J30" s="515"/>
      <c r="K30" s="515"/>
      <c r="L30" s="515">
        <f t="shared" si="10"/>
        <v>5849</v>
      </c>
      <c r="M30" s="515">
        <f t="shared" si="3"/>
        <v>0</v>
      </c>
      <c r="N30" s="515">
        <f t="shared" si="11"/>
        <v>5849</v>
      </c>
    </row>
    <row r="31" spans="1:14" s="608" customFormat="1" ht="15" customHeight="1">
      <c r="A31" s="607"/>
      <c r="B31" s="513" t="s">
        <v>501</v>
      </c>
      <c r="C31" s="514"/>
      <c r="D31" s="515"/>
      <c r="E31" s="515"/>
      <c r="F31" s="515">
        <v>4897</v>
      </c>
      <c r="G31" s="515"/>
      <c r="H31" s="515">
        <f t="shared" si="12"/>
        <v>4897</v>
      </c>
      <c r="I31" s="515"/>
      <c r="J31" s="515"/>
      <c r="K31" s="515"/>
      <c r="L31" s="515">
        <f t="shared" si="10"/>
        <v>4897</v>
      </c>
      <c r="M31" s="515">
        <f t="shared" si="3"/>
        <v>0</v>
      </c>
      <c r="N31" s="515">
        <f t="shared" si="11"/>
        <v>4897</v>
      </c>
    </row>
    <row r="32" spans="1:14" s="608" customFormat="1" ht="15" customHeight="1">
      <c r="A32" s="607"/>
      <c r="B32" s="513" t="s">
        <v>502</v>
      </c>
      <c r="C32" s="514"/>
      <c r="D32" s="515"/>
      <c r="E32" s="515"/>
      <c r="F32" s="515">
        <v>5505</v>
      </c>
      <c r="G32" s="515"/>
      <c r="H32" s="515">
        <f t="shared" si="12"/>
        <v>5505</v>
      </c>
      <c r="I32" s="515"/>
      <c r="J32" s="515"/>
      <c r="K32" s="515"/>
      <c r="L32" s="515">
        <f t="shared" si="10"/>
        <v>5505</v>
      </c>
      <c r="M32" s="515">
        <f t="shared" si="3"/>
        <v>0</v>
      </c>
      <c r="N32" s="515">
        <f t="shared" si="11"/>
        <v>5505</v>
      </c>
    </row>
    <row r="33" spans="1:14" s="608" customFormat="1" ht="15" customHeight="1">
      <c r="A33" s="607"/>
      <c r="B33" s="513" t="s">
        <v>503</v>
      </c>
      <c r="C33" s="514"/>
      <c r="D33" s="515"/>
      <c r="E33" s="515"/>
      <c r="F33" s="515">
        <v>11846</v>
      </c>
      <c r="G33" s="515"/>
      <c r="H33" s="515">
        <f t="shared" si="12"/>
        <v>11846</v>
      </c>
      <c r="I33" s="515"/>
      <c r="J33" s="515"/>
      <c r="K33" s="515"/>
      <c r="L33" s="515">
        <f t="shared" si="10"/>
        <v>11846</v>
      </c>
      <c r="M33" s="515">
        <f t="shared" si="3"/>
        <v>0</v>
      </c>
      <c r="N33" s="515">
        <f t="shared" si="11"/>
        <v>11846</v>
      </c>
    </row>
    <row r="34" spans="1:14" s="608" customFormat="1" ht="15" customHeight="1">
      <c r="A34" s="607"/>
      <c r="B34" s="513" t="s">
        <v>504</v>
      </c>
      <c r="C34" s="514"/>
      <c r="D34" s="515"/>
      <c r="E34" s="515"/>
      <c r="F34" s="515">
        <v>14346</v>
      </c>
      <c r="G34" s="515"/>
      <c r="H34" s="515">
        <f t="shared" si="12"/>
        <v>14346</v>
      </c>
      <c r="I34" s="515"/>
      <c r="J34" s="515"/>
      <c r="K34" s="515"/>
      <c r="L34" s="515">
        <f t="shared" si="10"/>
        <v>14346</v>
      </c>
      <c r="M34" s="515">
        <f t="shared" si="3"/>
        <v>0</v>
      </c>
      <c r="N34" s="515">
        <f t="shared" si="11"/>
        <v>14346</v>
      </c>
    </row>
    <row r="35" spans="1:14" s="608" customFormat="1" ht="15" customHeight="1">
      <c r="A35" s="607"/>
      <c r="B35" s="513" t="s">
        <v>505</v>
      </c>
      <c r="C35" s="514"/>
      <c r="D35" s="515"/>
      <c r="E35" s="515"/>
      <c r="F35" s="515">
        <v>1282</v>
      </c>
      <c r="G35" s="515"/>
      <c r="H35" s="515">
        <f t="shared" si="12"/>
        <v>1282</v>
      </c>
      <c r="I35" s="515"/>
      <c r="J35" s="515"/>
      <c r="K35" s="515"/>
      <c r="L35" s="515">
        <f t="shared" si="10"/>
        <v>1282</v>
      </c>
      <c r="M35" s="515">
        <f t="shared" si="3"/>
        <v>0</v>
      </c>
      <c r="N35" s="515">
        <f t="shared" si="11"/>
        <v>1282</v>
      </c>
    </row>
    <row r="36" spans="1:14" s="608" customFormat="1" ht="15" customHeight="1">
      <c r="A36" s="607"/>
      <c r="B36" s="513" t="s">
        <v>578</v>
      </c>
      <c r="C36" s="514"/>
      <c r="D36" s="515"/>
      <c r="E36" s="515"/>
      <c r="F36" s="515">
        <v>31</v>
      </c>
      <c r="G36" s="515"/>
      <c r="H36" s="515">
        <f t="shared" si="12"/>
        <v>31</v>
      </c>
      <c r="I36" s="515"/>
      <c r="J36" s="515"/>
      <c r="K36" s="515"/>
      <c r="L36" s="515">
        <f t="shared" si="10"/>
        <v>31</v>
      </c>
      <c r="M36" s="515">
        <f t="shared" si="3"/>
        <v>0</v>
      </c>
      <c r="N36" s="515">
        <f t="shared" si="11"/>
        <v>31</v>
      </c>
    </row>
    <row r="37" spans="1:14" s="608" customFormat="1" ht="15" customHeight="1">
      <c r="A37" s="607"/>
      <c r="B37" s="513" t="s">
        <v>506</v>
      </c>
      <c r="C37" s="514"/>
      <c r="D37" s="515"/>
      <c r="E37" s="515"/>
      <c r="F37" s="515">
        <v>2452</v>
      </c>
      <c r="G37" s="515">
        <v>975</v>
      </c>
      <c r="H37" s="515">
        <f t="shared" si="12"/>
        <v>3427</v>
      </c>
      <c r="I37" s="515"/>
      <c r="J37" s="515"/>
      <c r="K37" s="515"/>
      <c r="L37" s="515">
        <f t="shared" si="10"/>
        <v>2452</v>
      </c>
      <c r="M37" s="515">
        <f t="shared" si="3"/>
        <v>975</v>
      </c>
      <c r="N37" s="515">
        <f t="shared" si="11"/>
        <v>3427</v>
      </c>
    </row>
    <row r="38" spans="1:14" s="608" customFormat="1" ht="15" customHeight="1">
      <c r="A38" s="607"/>
      <c r="B38" s="513" t="s">
        <v>522</v>
      </c>
      <c r="C38" s="514"/>
      <c r="D38" s="515"/>
      <c r="E38" s="515"/>
      <c r="F38" s="515">
        <v>38845</v>
      </c>
      <c r="G38" s="515">
        <v>975</v>
      </c>
      <c r="H38" s="515">
        <f t="shared" si="12"/>
        <v>39820</v>
      </c>
      <c r="I38" s="515"/>
      <c r="J38" s="515"/>
      <c r="K38" s="515"/>
      <c r="L38" s="515">
        <f t="shared" si="10"/>
        <v>38845</v>
      </c>
      <c r="M38" s="515">
        <f t="shared" si="3"/>
        <v>975</v>
      </c>
      <c r="N38" s="515">
        <f t="shared" si="11"/>
        <v>39820</v>
      </c>
    </row>
    <row r="39" spans="1:14" s="608" customFormat="1" ht="15" customHeight="1">
      <c r="A39" s="609"/>
      <c r="B39" s="516" t="s">
        <v>523</v>
      </c>
      <c r="C39" s="517"/>
      <c r="D39" s="518"/>
      <c r="E39" s="518"/>
      <c r="F39" s="518">
        <v>10165</v>
      </c>
      <c r="G39" s="518">
        <v>1300</v>
      </c>
      <c r="H39" s="515">
        <f t="shared" si="12"/>
        <v>11465</v>
      </c>
      <c r="I39" s="518"/>
      <c r="J39" s="518"/>
      <c r="K39" s="518"/>
      <c r="L39" s="515">
        <f t="shared" si="10"/>
        <v>10165</v>
      </c>
      <c r="M39" s="515">
        <f t="shared" si="3"/>
        <v>1300</v>
      </c>
      <c r="N39" s="515">
        <f t="shared" si="11"/>
        <v>11465</v>
      </c>
    </row>
    <row r="40" spans="1:14" s="439" customFormat="1" ht="26.25" customHeight="1">
      <c r="A40" s="437"/>
      <c r="B40" s="438" t="s">
        <v>716</v>
      </c>
      <c r="C40" s="449"/>
      <c r="D40" s="449"/>
      <c r="E40" s="449"/>
      <c r="F40" s="449"/>
      <c r="G40" s="449"/>
      <c r="H40" s="449"/>
      <c r="I40" s="449">
        <f>+'[4]5.f. mell. Átadott pénzeszk.'!$K$45</f>
        <v>3644</v>
      </c>
      <c r="J40" s="449"/>
      <c r="K40" s="449">
        <f>+I40+J40</f>
        <v>3644</v>
      </c>
      <c r="L40" s="449">
        <f t="shared" si="10"/>
        <v>3644</v>
      </c>
      <c r="M40" s="449">
        <f t="shared" si="3"/>
        <v>0</v>
      </c>
      <c r="N40" s="449">
        <f t="shared" si="11"/>
        <v>3644</v>
      </c>
    </row>
    <row r="41" spans="1:14" s="439" customFormat="1" ht="15" customHeight="1">
      <c r="A41" s="437" t="s">
        <v>771</v>
      </c>
      <c r="B41" s="438" t="s">
        <v>823</v>
      </c>
      <c r="C41" s="449"/>
      <c r="D41" s="449"/>
      <c r="E41" s="449"/>
      <c r="F41" s="449">
        <v>6825</v>
      </c>
      <c r="G41" s="449"/>
      <c r="H41" s="449">
        <f>+F41+G41</f>
        <v>6825</v>
      </c>
      <c r="I41" s="449"/>
      <c r="J41" s="449"/>
      <c r="K41" s="449"/>
      <c r="L41" s="449">
        <f t="shared" si="10"/>
        <v>6825</v>
      </c>
      <c r="M41" s="449">
        <f t="shared" si="3"/>
        <v>0</v>
      </c>
      <c r="N41" s="449">
        <f t="shared" si="11"/>
        <v>6825</v>
      </c>
    </row>
    <row r="42" spans="1:14" s="439" customFormat="1" ht="15" customHeight="1">
      <c r="A42" s="437" t="s">
        <v>772</v>
      </c>
      <c r="B42" s="438" t="s">
        <v>829</v>
      </c>
      <c r="C42" s="449"/>
      <c r="D42" s="449"/>
      <c r="E42" s="449"/>
      <c r="F42" s="449">
        <v>2583</v>
      </c>
      <c r="G42" s="449"/>
      <c r="H42" s="449">
        <f>+F42+G42</f>
        <v>2583</v>
      </c>
      <c r="I42" s="449"/>
      <c r="J42" s="449"/>
      <c r="K42" s="449"/>
      <c r="L42" s="449">
        <f t="shared" ref="L42" si="13">+C42+F42+I42</f>
        <v>2583</v>
      </c>
      <c r="M42" s="449">
        <f t="shared" ref="M42" si="14">+D42+G42+J42</f>
        <v>0</v>
      </c>
      <c r="N42" s="449">
        <f t="shared" ref="N42" si="15">+E42+H42+K42</f>
        <v>2583</v>
      </c>
    </row>
    <row r="43" spans="1:14" s="439" customFormat="1" ht="15" customHeight="1">
      <c r="A43" s="437" t="s">
        <v>910</v>
      </c>
      <c r="B43" s="438" t="s">
        <v>672</v>
      </c>
      <c r="C43" s="449"/>
      <c r="D43" s="449"/>
      <c r="E43" s="449"/>
      <c r="F43" s="449">
        <v>21560</v>
      </c>
      <c r="G43" s="449"/>
      <c r="H43" s="449">
        <f>+F43+G43</f>
        <v>21560</v>
      </c>
      <c r="I43" s="449"/>
      <c r="J43" s="449"/>
      <c r="K43" s="449"/>
      <c r="L43" s="449">
        <f t="shared" ref="L43:L44" si="16">+C43+F43+I43</f>
        <v>21560</v>
      </c>
      <c r="M43" s="449">
        <f t="shared" ref="M43:M44" si="17">+D43+G43+J43</f>
        <v>0</v>
      </c>
      <c r="N43" s="449">
        <f t="shared" ref="N43:N44" si="18">+E43+H43+K43</f>
        <v>21560</v>
      </c>
    </row>
    <row r="44" spans="1:14" s="439" customFormat="1" ht="15" customHeight="1">
      <c r="A44" s="437" t="s">
        <v>772</v>
      </c>
      <c r="B44" s="438" t="s">
        <v>824</v>
      </c>
      <c r="C44" s="449"/>
      <c r="D44" s="449"/>
      <c r="E44" s="449"/>
      <c r="F44" s="449">
        <v>0</v>
      </c>
      <c r="G44" s="449"/>
      <c r="H44" s="449">
        <f>+F44+G44</f>
        <v>0</v>
      </c>
      <c r="I44" s="449">
        <f>+'[4]5.f. mell. Átadott pénzeszk.'!$K30</f>
        <v>4834</v>
      </c>
      <c r="J44" s="449"/>
      <c r="K44" s="449">
        <f>+I44+J44</f>
        <v>4834</v>
      </c>
      <c r="L44" s="449">
        <f t="shared" si="16"/>
        <v>4834</v>
      </c>
      <c r="M44" s="449">
        <f t="shared" si="17"/>
        <v>0</v>
      </c>
      <c r="N44" s="449">
        <f t="shared" si="18"/>
        <v>4834</v>
      </c>
    </row>
    <row r="45" spans="1:14" s="439" customFormat="1" ht="15" customHeight="1">
      <c r="A45" s="829" t="s">
        <v>499</v>
      </c>
      <c r="B45" s="813" t="s">
        <v>934</v>
      </c>
      <c r="C45" s="449">
        <v>150</v>
      </c>
      <c r="D45" s="449"/>
      <c r="E45" s="449">
        <f>+C45+D45</f>
        <v>150</v>
      </c>
      <c r="F45" s="449"/>
      <c r="G45" s="449"/>
      <c r="H45" s="449"/>
      <c r="I45" s="449"/>
      <c r="J45" s="449"/>
      <c r="K45" s="449"/>
      <c r="L45" s="449">
        <f t="shared" ref="L45" si="19">+C45+F45+I45</f>
        <v>150</v>
      </c>
      <c r="M45" s="449">
        <f t="shared" ref="M45" si="20">+D45+G45+J45</f>
        <v>0</v>
      </c>
      <c r="N45" s="449">
        <f t="shared" ref="N45" si="21">+E45+H45+K45</f>
        <v>150</v>
      </c>
    </row>
    <row r="46" spans="1:14" s="439" customFormat="1" ht="15" customHeight="1">
      <c r="A46" s="437" t="s">
        <v>511</v>
      </c>
      <c r="B46" s="438" t="s">
        <v>827</v>
      </c>
      <c r="C46" s="449"/>
      <c r="D46" s="449"/>
      <c r="E46" s="449">
        <f t="shared" ref="E46:E50" si="22">+C46+D46</f>
        <v>0</v>
      </c>
      <c r="F46" s="449">
        <v>0</v>
      </c>
      <c r="G46" s="449"/>
      <c r="H46" s="449">
        <f>+F46+G46</f>
        <v>0</v>
      </c>
      <c r="I46" s="449">
        <f>+'[4]5.f. mell. Átadott pénzeszk.'!$K31</f>
        <v>2139</v>
      </c>
      <c r="J46" s="449"/>
      <c r="K46" s="449">
        <f>+I46+J46</f>
        <v>2139</v>
      </c>
      <c r="L46" s="449">
        <f>+C46+F46+I46</f>
        <v>2139</v>
      </c>
      <c r="M46" s="449">
        <f>+D46+G46+J46</f>
        <v>0</v>
      </c>
      <c r="N46" s="449">
        <f>+E46+H46+K46</f>
        <v>2139</v>
      </c>
    </row>
    <row r="47" spans="1:14" s="439" customFormat="1" ht="15" customHeight="1">
      <c r="A47" s="437" t="s">
        <v>499</v>
      </c>
      <c r="B47" s="438" t="s">
        <v>1004</v>
      </c>
      <c r="C47" s="449"/>
      <c r="D47" s="449">
        <v>566</v>
      </c>
      <c r="E47" s="449">
        <f t="shared" si="22"/>
        <v>566</v>
      </c>
      <c r="F47" s="449"/>
      <c r="G47" s="449"/>
      <c r="H47" s="449">
        <f t="shared" ref="H47:H50" si="23">+F47+G47</f>
        <v>0</v>
      </c>
      <c r="I47" s="449"/>
      <c r="J47" s="449"/>
      <c r="K47" s="449"/>
      <c r="L47" s="449">
        <f t="shared" ref="L47:L50" si="24">+C47+F47+I47</f>
        <v>0</v>
      </c>
      <c r="M47" s="449">
        <f t="shared" ref="M47:M50" si="25">+D47+G47+J47</f>
        <v>566</v>
      </c>
      <c r="N47" s="449">
        <f>+E47+H47+K47</f>
        <v>566</v>
      </c>
    </row>
    <row r="48" spans="1:14" s="439" customFormat="1" ht="15" customHeight="1">
      <c r="A48" s="437"/>
      <c r="B48" s="438" t="s">
        <v>1005</v>
      </c>
      <c r="C48" s="449"/>
      <c r="D48" s="449"/>
      <c r="E48" s="449">
        <f t="shared" si="22"/>
        <v>0</v>
      </c>
      <c r="F48" s="449"/>
      <c r="G48" s="449">
        <v>500</v>
      </c>
      <c r="H48" s="449">
        <f t="shared" si="23"/>
        <v>500</v>
      </c>
      <c r="I48" s="449"/>
      <c r="J48" s="449"/>
      <c r="K48" s="449"/>
      <c r="L48" s="449">
        <f t="shared" si="24"/>
        <v>0</v>
      </c>
      <c r="M48" s="449">
        <f t="shared" si="25"/>
        <v>500</v>
      </c>
      <c r="N48" s="449">
        <f t="shared" ref="N48:N50" si="26">+E48+H48+K48</f>
        <v>500</v>
      </c>
    </row>
    <row r="49" spans="1:14" s="439" customFormat="1" ht="15" customHeight="1">
      <c r="A49" s="829"/>
      <c r="B49" s="848" t="s">
        <v>1006</v>
      </c>
      <c r="C49" s="449"/>
      <c r="D49" s="449">
        <v>150</v>
      </c>
      <c r="E49" s="449">
        <f t="shared" si="22"/>
        <v>150</v>
      </c>
      <c r="F49" s="449"/>
      <c r="G49" s="449"/>
      <c r="H49" s="449">
        <f t="shared" si="23"/>
        <v>0</v>
      </c>
      <c r="I49" s="449"/>
      <c r="J49" s="449"/>
      <c r="K49" s="449"/>
      <c r="L49" s="449">
        <f t="shared" si="24"/>
        <v>0</v>
      </c>
      <c r="M49" s="449">
        <f t="shared" si="25"/>
        <v>150</v>
      </c>
      <c r="N49" s="449">
        <f t="shared" si="26"/>
        <v>150</v>
      </c>
    </row>
    <row r="50" spans="1:14" s="439" customFormat="1" ht="15" customHeight="1" thickBot="1">
      <c r="A50" s="437"/>
      <c r="B50" s="438" t="s">
        <v>1007</v>
      </c>
      <c r="C50" s="449"/>
      <c r="D50" s="449">
        <v>60</v>
      </c>
      <c r="E50" s="449">
        <f t="shared" si="22"/>
        <v>60</v>
      </c>
      <c r="F50" s="449"/>
      <c r="G50" s="449"/>
      <c r="H50" s="449">
        <f t="shared" si="23"/>
        <v>0</v>
      </c>
      <c r="I50" s="449"/>
      <c r="J50" s="449"/>
      <c r="K50" s="449"/>
      <c r="L50" s="449">
        <f t="shared" si="24"/>
        <v>0</v>
      </c>
      <c r="M50" s="449">
        <f t="shared" si="25"/>
        <v>60</v>
      </c>
      <c r="N50" s="449">
        <f t="shared" si="26"/>
        <v>60</v>
      </c>
    </row>
    <row r="51" spans="1:14" ht="13.8" thickBot="1">
      <c r="A51" s="1009" t="s">
        <v>178</v>
      </c>
      <c r="B51" s="1010"/>
      <c r="C51" s="69">
        <f>+C15+C7+C45+C44+C43+C42+C41+C46+C47+C48+C49+C50</f>
        <v>240662</v>
      </c>
      <c r="D51" s="69">
        <f t="shared" ref="D51:E51" si="27">+D15+D7+D45+D44+D43+D42+D41+D46+D47+D48+D49+D50</f>
        <v>-1176</v>
      </c>
      <c r="E51" s="69">
        <f t="shared" si="27"/>
        <v>239486</v>
      </c>
      <c r="F51" s="69">
        <f>+F50+F49+F48+F47+F46+F45+F44+F43+F42+F41+F27+F6+F5+F4</f>
        <v>148575</v>
      </c>
      <c r="G51" s="69">
        <f t="shared" ref="G51:H51" si="28">+G50+G49+G48+G47+G46+G45+G44+G43+G42+G41+G27+G6+G5+G4</f>
        <v>3150</v>
      </c>
      <c r="H51" s="69">
        <f t="shared" si="28"/>
        <v>151725</v>
      </c>
      <c r="I51" s="69">
        <f>SUM(I4:I50)</f>
        <v>12617</v>
      </c>
      <c r="J51" s="69">
        <f>SUM(J4:J50)</f>
        <v>0</v>
      </c>
      <c r="K51" s="69">
        <f>SUM(K4:K50)</f>
        <v>12617</v>
      </c>
      <c r="L51" s="519">
        <f>+C51+F51+I51</f>
        <v>401854</v>
      </c>
      <c r="M51" s="519">
        <f t="shared" si="3"/>
        <v>1974</v>
      </c>
      <c r="N51" s="701">
        <f>+E51+H51+K51</f>
        <v>403828</v>
      </c>
    </row>
  </sheetData>
  <mergeCells count="14">
    <mergeCell ref="L1:N2"/>
    <mergeCell ref="F2:H2"/>
    <mergeCell ref="A51:B51"/>
    <mergeCell ref="A7:B7"/>
    <mergeCell ref="A15:B15"/>
    <mergeCell ref="A27:B27"/>
    <mergeCell ref="A1:A2"/>
    <mergeCell ref="B1:B2"/>
    <mergeCell ref="C1:E1"/>
    <mergeCell ref="F1:H1"/>
    <mergeCell ref="C2:E2"/>
    <mergeCell ref="I1:K1"/>
    <mergeCell ref="I2:K2"/>
    <mergeCell ref="A26:B26"/>
  </mergeCells>
  <pageMargins left="0.70866141732283472" right="0.70866141732283472" top="0.9055118110236221" bottom="0.74803149606299213" header="0.31496062992125984" footer="0.31496062992125984"/>
  <pageSetup paperSize="8" orientation="portrait" r:id="rId1"/>
  <headerFooter>
    <oddHeader>&amp;C&amp;"Times New Roman,Félkövér"&amp;12Martonvásár Város Önkormányzatának kiadásai 2016.
Egyéb működési célú támogatások&amp;R&amp;"Times New Roman,Félkövér"&amp;12 5/f. melléklet
&amp;"Times New Roman,Normál"&amp;11Adatok E Ft-ban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J104"/>
  <sheetViews>
    <sheetView workbookViewId="0">
      <pane xSplit="3" ySplit="5" topLeftCell="D16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F103" sqref="AF103"/>
    </sheetView>
  </sheetViews>
  <sheetFormatPr defaultColWidth="9.109375" defaultRowHeight="14.4"/>
  <cols>
    <col min="1" max="1" width="6.109375" style="27" customWidth="1"/>
    <col min="2" max="2" width="7.109375" style="28" customWidth="1"/>
    <col min="3" max="3" width="42.44140625" style="28" customWidth="1"/>
    <col min="4" max="4" width="7.6640625" style="19" customWidth="1"/>
    <col min="5" max="5" width="8.33203125" style="19" customWidth="1"/>
    <col min="6" max="6" width="7.6640625" style="19" customWidth="1"/>
    <col min="7" max="7" width="7.33203125" style="19" customWidth="1"/>
    <col min="8" max="8" width="7.6640625" style="19" customWidth="1"/>
    <col min="9" max="10" width="6.88671875" style="19" customWidth="1"/>
    <col min="11" max="11" width="7.6640625" style="19" customWidth="1"/>
    <col min="12" max="12" width="6.5546875" style="19" customWidth="1"/>
    <col min="13" max="14" width="7.6640625" style="19" customWidth="1"/>
    <col min="15" max="15" width="6.88671875" style="19" customWidth="1"/>
    <col min="16" max="16" width="6.109375" style="19" customWidth="1"/>
    <col min="17" max="17" width="6.6640625" style="19" customWidth="1"/>
    <col min="18" max="19" width="7" style="19" customWidth="1"/>
    <col min="20" max="20" width="6.44140625" style="19" customWidth="1"/>
    <col min="21" max="21" width="7.44140625" style="19" customWidth="1"/>
    <col min="22" max="22" width="7.6640625" style="19" customWidth="1"/>
    <col min="23" max="23" width="5.88671875" style="19" customWidth="1"/>
    <col min="24" max="30" width="6.44140625" style="19" customWidth="1"/>
    <col min="31" max="32" width="8" style="19" customWidth="1"/>
    <col min="33" max="33" width="7.44140625" style="19" customWidth="1"/>
    <col min="34" max="36" width="8.88671875" customWidth="1"/>
    <col min="37" max="16384" width="9.109375" style="19"/>
  </cols>
  <sheetData>
    <row r="1" spans="1:33" s="1" customFormat="1" ht="15.6">
      <c r="A1" s="1028"/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8"/>
      <c r="M1" s="1028"/>
      <c r="N1" s="1028"/>
      <c r="O1" s="1028"/>
      <c r="P1" s="1028"/>
      <c r="Q1" s="1028"/>
      <c r="R1" s="1028"/>
      <c r="S1" s="1028"/>
      <c r="T1" s="1028"/>
      <c r="U1" s="1028"/>
      <c r="V1" s="1028"/>
      <c r="W1" s="1028"/>
      <c r="X1" s="1028"/>
      <c r="Y1" s="1028"/>
      <c r="Z1" s="1028"/>
      <c r="AA1" s="1028"/>
      <c r="AB1" s="1028"/>
      <c r="AC1" s="1028"/>
      <c r="AD1" s="1028"/>
      <c r="AE1" s="1028"/>
      <c r="AF1" s="1028"/>
      <c r="AG1" s="1028"/>
    </row>
    <row r="2" spans="1:33" s="1" customFormat="1" ht="15.6">
      <c r="A2" s="1029"/>
      <c r="B2" s="1029"/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1029"/>
      <c r="Q2" s="1029"/>
      <c r="R2" s="1029"/>
      <c r="S2" s="1029"/>
      <c r="T2" s="1029"/>
      <c r="U2" s="1029"/>
      <c r="V2" s="1029"/>
      <c r="W2" s="1029"/>
      <c r="X2" s="1029"/>
      <c r="Y2" s="1029"/>
      <c r="Z2" s="1029"/>
      <c r="AA2" s="1029"/>
      <c r="AB2" s="1029"/>
      <c r="AC2" s="1029"/>
      <c r="AD2" s="1029"/>
      <c r="AE2" s="1029"/>
      <c r="AF2" s="1029"/>
      <c r="AG2" s="1029"/>
    </row>
    <row r="3" spans="1:33" s="34" customFormat="1" ht="38.25" customHeight="1">
      <c r="A3" s="971" t="s">
        <v>0</v>
      </c>
      <c r="B3" s="971" t="s">
        <v>180</v>
      </c>
      <c r="C3" s="971"/>
      <c r="D3" s="989" t="s">
        <v>178</v>
      </c>
      <c r="E3" s="989"/>
      <c r="F3" s="989"/>
      <c r="G3" s="994" t="s">
        <v>179</v>
      </c>
      <c r="H3" s="994"/>
      <c r="I3" s="994"/>
      <c r="J3" s="991" t="s">
        <v>609</v>
      </c>
      <c r="K3" s="992"/>
      <c r="L3" s="993"/>
      <c r="M3" s="989" t="s">
        <v>610</v>
      </c>
      <c r="N3" s="989"/>
      <c r="O3" s="989"/>
      <c r="P3" s="991" t="s">
        <v>524</v>
      </c>
      <c r="Q3" s="992"/>
      <c r="R3" s="993"/>
      <c r="S3" s="991" t="s">
        <v>190</v>
      </c>
      <c r="T3" s="992"/>
      <c r="U3" s="993"/>
      <c r="V3" s="995" t="s">
        <v>521</v>
      </c>
      <c r="W3" s="1027"/>
      <c r="X3" s="996"/>
      <c r="Y3" s="1030" t="s">
        <v>297</v>
      </c>
      <c r="Z3" s="1030"/>
      <c r="AA3" s="1030"/>
      <c r="AB3" s="989" t="s">
        <v>738</v>
      </c>
      <c r="AC3" s="989"/>
      <c r="AD3" s="989"/>
      <c r="AE3" s="989" t="s">
        <v>263</v>
      </c>
      <c r="AF3" s="989"/>
      <c r="AG3" s="989"/>
    </row>
    <row r="4" spans="1:33" s="34" customFormat="1" ht="12.75" customHeight="1">
      <c r="A4" s="971"/>
      <c r="B4" s="971"/>
      <c r="C4" s="971"/>
      <c r="D4" s="989"/>
      <c r="E4" s="989"/>
      <c r="F4" s="989"/>
      <c r="G4" s="989" t="s">
        <v>187</v>
      </c>
      <c r="H4" s="989"/>
      <c r="I4" s="989"/>
      <c r="J4" s="989" t="s">
        <v>187</v>
      </c>
      <c r="K4" s="989"/>
      <c r="L4" s="989"/>
      <c r="M4" s="989" t="s">
        <v>187</v>
      </c>
      <c r="N4" s="989"/>
      <c r="O4" s="989"/>
      <c r="P4" s="989" t="s">
        <v>187</v>
      </c>
      <c r="Q4" s="989"/>
      <c r="R4" s="989"/>
      <c r="S4" s="989" t="s">
        <v>187</v>
      </c>
      <c r="T4" s="989"/>
      <c r="U4" s="989"/>
      <c r="V4" s="989" t="s">
        <v>187</v>
      </c>
      <c r="W4" s="989"/>
      <c r="X4" s="989"/>
      <c r="Y4" s="1030" t="s">
        <v>188</v>
      </c>
      <c r="Z4" s="1030"/>
      <c r="AA4" s="1030"/>
      <c r="AB4" s="989" t="s">
        <v>187</v>
      </c>
      <c r="AC4" s="989"/>
      <c r="AD4" s="989"/>
      <c r="AE4" s="199"/>
      <c r="AF4" s="199"/>
      <c r="AG4" s="199"/>
    </row>
    <row r="5" spans="1:33" s="18" customFormat="1" ht="26.4">
      <c r="A5" s="971"/>
      <c r="B5" s="971"/>
      <c r="C5" s="971"/>
      <c r="D5" s="828" t="s">
        <v>870</v>
      </c>
      <c r="E5" s="828" t="s">
        <v>732</v>
      </c>
      <c r="F5" s="828" t="s">
        <v>947</v>
      </c>
      <c r="G5" s="828" t="s">
        <v>870</v>
      </c>
      <c r="H5" s="828" t="s">
        <v>732</v>
      </c>
      <c r="I5" s="828" t="s">
        <v>947</v>
      </c>
      <c r="J5" s="828" t="s">
        <v>870</v>
      </c>
      <c r="K5" s="828" t="s">
        <v>732</v>
      </c>
      <c r="L5" s="828" t="s">
        <v>947</v>
      </c>
      <c r="M5" s="828" t="s">
        <v>870</v>
      </c>
      <c r="N5" s="828" t="s">
        <v>732</v>
      </c>
      <c r="O5" s="828" t="s">
        <v>947</v>
      </c>
      <c r="P5" s="828" t="s">
        <v>870</v>
      </c>
      <c r="Q5" s="828" t="s">
        <v>732</v>
      </c>
      <c r="R5" s="828" t="s">
        <v>947</v>
      </c>
      <c r="S5" s="828" t="s">
        <v>870</v>
      </c>
      <c r="T5" s="828" t="s">
        <v>732</v>
      </c>
      <c r="U5" s="828" t="s">
        <v>947</v>
      </c>
      <c r="V5" s="828" t="s">
        <v>870</v>
      </c>
      <c r="W5" s="828" t="s">
        <v>732</v>
      </c>
      <c r="X5" s="828" t="s">
        <v>947</v>
      </c>
      <c r="Y5" s="828" t="s">
        <v>870</v>
      </c>
      <c r="Z5" s="828" t="s">
        <v>732</v>
      </c>
      <c r="AA5" s="828" t="s">
        <v>947</v>
      </c>
      <c r="AB5" s="828" t="s">
        <v>870</v>
      </c>
      <c r="AC5" s="828" t="s">
        <v>732</v>
      </c>
      <c r="AD5" s="828" t="s">
        <v>947</v>
      </c>
      <c r="AE5" s="828" t="s">
        <v>870</v>
      </c>
      <c r="AF5" s="828" t="s">
        <v>732</v>
      </c>
      <c r="AG5" s="828" t="s">
        <v>947</v>
      </c>
    </row>
    <row r="6" spans="1:33" s="47" customFormat="1" ht="12.9" customHeight="1">
      <c r="A6" s="5" t="s">
        <v>27</v>
      </c>
      <c r="B6" s="972" t="s">
        <v>175</v>
      </c>
      <c r="C6" s="972"/>
      <c r="D6" s="62">
        <f>+G6+M6+P6+S6+V6+AE6+J6+Y6+AB6</f>
        <v>11150</v>
      </c>
      <c r="E6" s="62">
        <f t="shared" ref="E6:F8" si="0">+H6+N6+Q6+T6+W6+AF6+K6+Z6+AC6</f>
        <v>30</v>
      </c>
      <c r="F6" s="62">
        <f t="shared" si="0"/>
        <v>11180</v>
      </c>
      <c r="G6" s="62"/>
      <c r="H6" s="62">
        <v>111</v>
      </c>
      <c r="I6" s="62">
        <f>+G6+H6</f>
        <v>111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30">
        <f>+'[4]5.g. mell. Egyéb tev.'!X6</f>
        <v>11150</v>
      </c>
      <c r="W6" s="30">
        <v>-81</v>
      </c>
      <c r="X6" s="62">
        <f>+V6+W6</f>
        <v>11069</v>
      </c>
      <c r="Y6" s="62"/>
      <c r="Z6" s="62"/>
      <c r="AA6" s="62"/>
      <c r="AB6" s="62"/>
      <c r="AC6" s="62"/>
      <c r="AD6" s="62"/>
      <c r="AE6" s="62"/>
      <c r="AF6" s="62"/>
      <c r="AG6" s="62"/>
    </row>
    <row r="7" spans="1:33" s="47" customFormat="1" ht="12.9" customHeight="1">
      <c r="A7" s="5" t="s">
        <v>34</v>
      </c>
      <c r="B7" s="972" t="s">
        <v>174</v>
      </c>
      <c r="C7" s="972"/>
      <c r="D7" s="62">
        <f t="shared" ref="D7:D36" si="1">+G7+M7+P7+S7+V7+AE7+J7+Y7+AB7</f>
        <v>281</v>
      </c>
      <c r="E7" s="62">
        <f t="shared" si="0"/>
        <v>0</v>
      </c>
      <c r="F7" s="62">
        <f t="shared" si="0"/>
        <v>281</v>
      </c>
      <c r="G7" s="62"/>
      <c r="H7" s="62"/>
      <c r="I7" s="62">
        <f t="shared" ref="I7:I8" si="2">+G7+H7</f>
        <v>0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>
        <v>281</v>
      </c>
      <c r="AF7" s="62"/>
      <c r="AG7" s="62">
        <f>+AE7+AF7</f>
        <v>281</v>
      </c>
    </row>
    <row r="8" spans="1:33" s="47" customFormat="1" ht="12.9" customHeight="1">
      <c r="A8" s="6" t="s">
        <v>35</v>
      </c>
      <c r="B8" s="969" t="s">
        <v>173</v>
      </c>
      <c r="C8" s="969"/>
      <c r="D8" s="62">
        <f t="shared" si="1"/>
        <v>11431</v>
      </c>
      <c r="E8" s="62">
        <f t="shared" si="0"/>
        <v>30</v>
      </c>
      <c r="F8" s="62">
        <f t="shared" si="0"/>
        <v>11461</v>
      </c>
      <c r="G8" s="59">
        <f>SUM(G6:G7)</f>
        <v>0</v>
      </c>
      <c r="H8" s="59">
        <f>SUM(H6:H7)</f>
        <v>111</v>
      </c>
      <c r="I8" s="62">
        <f t="shared" si="2"/>
        <v>111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>
        <f>SUM(V6:V7)</f>
        <v>11150</v>
      </c>
      <c r="W8" s="59">
        <f t="shared" ref="W8:X8" si="3">SUM(W6:W7)</f>
        <v>-81</v>
      </c>
      <c r="X8" s="59">
        <f t="shared" si="3"/>
        <v>11069</v>
      </c>
      <c r="Y8" s="59"/>
      <c r="Z8" s="59"/>
      <c r="AA8" s="59"/>
      <c r="AB8" s="59"/>
      <c r="AC8" s="59"/>
      <c r="AD8" s="59"/>
      <c r="AE8" s="59">
        <v>281</v>
      </c>
      <c r="AF8" s="59">
        <f t="shared" ref="AF8:AG8" si="4">SUM(AF6:AF7)</f>
        <v>0</v>
      </c>
      <c r="AG8" s="59">
        <f t="shared" si="4"/>
        <v>281</v>
      </c>
    </row>
    <row r="9" spans="1:33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47" customFormat="1" ht="12.9" customHeight="1">
      <c r="A10" s="5" t="s">
        <v>36</v>
      </c>
      <c r="B10" s="972" t="s">
        <v>172</v>
      </c>
      <c r="C10" s="972"/>
      <c r="D10" s="62">
        <f t="shared" si="1"/>
        <v>3049</v>
      </c>
      <c r="E10" s="62">
        <f t="shared" ref="E10" si="5">+H10+N10+Q10+T10+W10+AF10+K10+Z10+AC10</f>
        <v>-97</v>
      </c>
      <c r="F10" s="62">
        <f t="shared" ref="F10" si="6">+I10+O10+R10+U10+X10+AG10+L10+AA10+AD10</f>
        <v>2952</v>
      </c>
      <c r="G10" s="58"/>
      <c r="H10" s="58">
        <v>30</v>
      </c>
      <c r="I10" s="58">
        <f>+G10+H10</f>
        <v>30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>
        <v>2981</v>
      </c>
      <c r="W10" s="58">
        <v>-127</v>
      </c>
      <c r="X10" s="62">
        <f>+V10+W10</f>
        <v>2854</v>
      </c>
      <c r="Y10" s="58"/>
      <c r="Z10" s="58"/>
      <c r="AA10" s="58"/>
      <c r="AB10" s="58"/>
      <c r="AC10" s="58"/>
      <c r="AD10" s="58"/>
      <c r="AE10" s="58">
        <v>68</v>
      </c>
      <c r="AF10" s="58"/>
      <c r="AG10" s="62">
        <f>+AE10+AF10</f>
        <v>68</v>
      </c>
    </row>
    <row r="11" spans="1:33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2.9" customHeight="1">
      <c r="A12" s="12" t="s">
        <v>43</v>
      </c>
      <c r="B12" s="970" t="s">
        <v>42</v>
      </c>
      <c r="C12" s="970"/>
      <c r="D12" s="62">
        <f t="shared" si="1"/>
        <v>19</v>
      </c>
      <c r="E12" s="62">
        <f t="shared" ref="E12:E36" si="7">+H12+N12+Q12+T12+W12+AF12+K12+Z12+AC12</f>
        <v>0</v>
      </c>
      <c r="F12" s="62">
        <f t="shared" ref="F12:F36" si="8">+I12+O12+R12+U12+X12+AG12+L12+AA12+AD12</f>
        <v>19</v>
      </c>
      <c r="G12" s="33"/>
      <c r="H12" s="33"/>
      <c r="I12" s="33"/>
      <c r="J12" s="33"/>
      <c r="K12" s="33"/>
      <c r="L12" s="33"/>
      <c r="M12" s="33"/>
      <c r="N12" s="33"/>
      <c r="O12" s="33"/>
      <c r="P12" s="33">
        <v>19</v>
      </c>
      <c r="Q12" s="33"/>
      <c r="R12" s="30">
        <f>+P12+Q12</f>
        <v>19</v>
      </c>
      <c r="S12" s="33"/>
      <c r="T12" s="33"/>
      <c r="U12" s="33">
        <f>+S12+T12</f>
        <v>0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ht="12.9" customHeight="1">
      <c r="A13" s="3" t="s">
        <v>45</v>
      </c>
      <c r="B13" s="973" t="s">
        <v>44</v>
      </c>
      <c r="C13" s="973"/>
      <c r="D13" s="62">
        <f t="shared" si="1"/>
        <v>2100</v>
      </c>
      <c r="E13" s="62">
        <f t="shared" si="7"/>
        <v>463</v>
      </c>
      <c r="F13" s="62">
        <f t="shared" si="8"/>
        <v>2563</v>
      </c>
      <c r="G13" s="30">
        <v>1051</v>
      </c>
      <c r="H13" s="30">
        <v>229</v>
      </c>
      <c r="I13" s="30">
        <f>+G13+H13</f>
        <v>1280</v>
      </c>
      <c r="J13" s="30"/>
      <c r="K13" s="30"/>
      <c r="L13" s="30"/>
      <c r="M13" s="30"/>
      <c r="N13" s="30"/>
      <c r="O13" s="30"/>
      <c r="P13" s="30">
        <v>80</v>
      </c>
      <c r="Q13" s="30">
        <v>115</v>
      </c>
      <c r="R13" s="30">
        <f>+P13+Q13</f>
        <v>195</v>
      </c>
      <c r="S13" s="30"/>
      <c r="T13" s="30">
        <v>119</v>
      </c>
      <c r="U13" s="33">
        <f t="shared" ref="U13:U14" si="9">+S13+T13</f>
        <v>119</v>
      </c>
      <c r="V13" s="30">
        <v>19</v>
      </c>
      <c r="W13" s="30"/>
      <c r="X13" s="30">
        <f>+V13+W13</f>
        <v>19</v>
      </c>
      <c r="Y13" s="30"/>
      <c r="Z13" s="30"/>
      <c r="AA13" s="30"/>
      <c r="AB13" s="30"/>
      <c r="AC13" s="30"/>
      <c r="AD13" s="30"/>
      <c r="AE13" s="30">
        <v>950</v>
      </c>
      <c r="AF13" s="30"/>
      <c r="AG13" s="30">
        <f>+AE13+AF13</f>
        <v>950</v>
      </c>
    </row>
    <row r="14" spans="1:33" ht="12.9" customHeight="1">
      <c r="A14" s="3" t="s">
        <v>47</v>
      </c>
      <c r="B14" s="973" t="s">
        <v>46</v>
      </c>
      <c r="C14" s="973"/>
      <c r="D14" s="62">
        <f t="shared" si="1"/>
        <v>0</v>
      </c>
      <c r="E14" s="62">
        <f t="shared" si="7"/>
        <v>0</v>
      </c>
      <c r="F14" s="62">
        <f t="shared" si="8"/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3">
        <f t="shared" si="9"/>
        <v>0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47" customFormat="1" ht="12.9" customHeight="1">
      <c r="A15" s="5" t="s">
        <v>48</v>
      </c>
      <c r="B15" s="972" t="s">
        <v>171</v>
      </c>
      <c r="C15" s="972"/>
      <c r="D15" s="62">
        <f t="shared" si="1"/>
        <v>2119</v>
      </c>
      <c r="E15" s="62">
        <f t="shared" si="7"/>
        <v>463</v>
      </c>
      <c r="F15" s="62">
        <f t="shared" si="8"/>
        <v>2582</v>
      </c>
      <c r="G15" s="62">
        <v>1051</v>
      </c>
      <c r="H15" s="62">
        <f t="shared" ref="H15:I15" si="10">SUM(H12:H14)</f>
        <v>229</v>
      </c>
      <c r="I15" s="62">
        <f t="shared" si="10"/>
        <v>1280</v>
      </c>
      <c r="J15" s="62"/>
      <c r="K15" s="62"/>
      <c r="L15" s="62"/>
      <c r="M15" s="62">
        <f>SUM(M12:M14)</f>
        <v>0</v>
      </c>
      <c r="N15" s="62">
        <f>SUM(N12:N14)</f>
        <v>0</v>
      </c>
      <c r="O15" s="62">
        <f>SUM(O12:O14)</f>
        <v>0</v>
      </c>
      <c r="P15" s="62">
        <v>99</v>
      </c>
      <c r="Q15" s="62">
        <f t="shared" ref="Q15:R15" si="11">SUM(Q12:Q14)</f>
        <v>115</v>
      </c>
      <c r="R15" s="62">
        <f t="shared" si="11"/>
        <v>214</v>
      </c>
      <c r="S15" s="62">
        <f t="shared" ref="S15:X15" si="12">SUM(S12:S14)</f>
        <v>0</v>
      </c>
      <c r="T15" s="62">
        <f t="shared" si="12"/>
        <v>119</v>
      </c>
      <c r="U15" s="62">
        <f t="shared" si="12"/>
        <v>119</v>
      </c>
      <c r="V15" s="62">
        <f t="shared" si="12"/>
        <v>19</v>
      </c>
      <c r="W15" s="62">
        <f t="shared" si="12"/>
        <v>0</v>
      </c>
      <c r="X15" s="62">
        <f t="shared" si="12"/>
        <v>19</v>
      </c>
      <c r="Y15" s="62"/>
      <c r="Z15" s="62"/>
      <c r="AA15" s="62"/>
      <c r="AB15" s="62"/>
      <c r="AC15" s="62"/>
      <c r="AD15" s="62"/>
      <c r="AE15" s="62">
        <v>950</v>
      </c>
      <c r="AF15" s="62">
        <f>SUM(AF12:AF14)</f>
        <v>0</v>
      </c>
      <c r="AG15" s="62">
        <f>SUM(AG12:AG14)</f>
        <v>950</v>
      </c>
    </row>
    <row r="16" spans="1:33" ht="12.9" customHeight="1">
      <c r="A16" s="3" t="s">
        <v>50</v>
      </c>
      <c r="B16" s="973" t="s">
        <v>49</v>
      </c>
      <c r="C16" s="973"/>
      <c r="D16" s="62">
        <f t="shared" si="1"/>
        <v>0</v>
      </c>
      <c r="E16" s="62">
        <f t="shared" si="7"/>
        <v>2</v>
      </c>
      <c r="F16" s="62">
        <f t="shared" si="8"/>
        <v>2</v>
      </c>
      <c r="G16" s="30"/>
      <c r="H16" s="30">
        <v>2</v>
      </c>
      <c r="I16" s="30">
        <f>+H16+G16</f>
        <v>2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2.9" customHeight="1">
      <c r="A17" s="3" t="s">
        <v>52</v>
      </c>
      <c r="B17" s="973" t="s">
        <v>51</v>
      </c>
      <c r="C17" s="973"/>
      <c r="D17" s="62">
        <f t="shared" si="1"/>
        <v>0</v>
      </c>
      <c r="E17" s="62">
        <f t="shared" si="7"/>
        <v>0</v>
      </c>
      <c r="F17" s="62">
        <f t="shared" si="8"/>
        <v>0</v>
      </c>
      <c r="G17" s="30"/>
      <c r="H17" s="30"/>
      <c r="I17" s="30">
        <f>+H17+G17</f>
        <v>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47" customFormat="1" ht="12.9" customHeight="1">
      <c r="A18" s="5" t="s">
        <v>53</v>
      </c>
      <c r="B18" s="972" t="s">
        <v>170</v>
      </c>
      <c r="C18" s="972"/>
      <c r="D18" s="62">
        <f t="shared" si="1"/>
        <v>0</v>
      </c>
      <c r="E18" s="62">
        <f t="shared" si="7"/>
        <v>2</v>
      </c>
      <c r="F18" s="62">
        <f t="shared" si="8"/>
        <v>2</v>
      </c>
      <c r="G18" s="62">
        <v>0</v>
      </c>
      <c r="H18" s="62">
        <f t="shared" ref="H18:I18" si="13">+H16+H17</f>
        <v>2</v>
      </c>
      <c r="I18" s="62">
        <f t="shared" si="13"/>
        <v>2</v>
      </c>
      <c r="J18" s="62"/>
      <c r="K18" s="62"/>
      <c r="L18" s="62"/>
      <c r="M18" s="62">
        <f>+M16+M17</f>
        <v>0</v>
      </c>
      <c r="N18" s="62">
        <f>+N16+N17</f>
        <v>0</v>
      </c>
      <c r="O18" s="62">
        <f>+O16+O17</f>
        <v>0</v>
      </c>
      <c r="P18" s="62">
        <v>0</v>
      </c>
      <c r="Q18" s="62">
        <f t="shared" ref="Q18:R18" si="14">+Q16+Q17</f>
        <v>0</v>
      </c>
      <c r="R18" s="62">
        <f t="shared" si="14"/>
        <v>0</v>
      </c>
      <c r="S18" s="62">
        <f t="shared" ref="S18:X18" si="15">+S16+S17</f>
        <v>0</v>
      </c>
      <c r="T18" s="62">
        <f t="shared" si="15"/>
        <v>0</v>
      </c>
      <c r="U18" s="62">
        <f t="shared" si="15"/>
        <v>0</v>
      </c>
      <c r="V18" s="62">
        <f t="shared" si="15"/>
        <v>0</v>
      </c>
      <c r="W18" s="62">
        <f t="shared" si="15"/>
        <v>0</v>
      </c>
      <c r="X18" s="62">
        <f t="shared" si="15"/>
        <v>0</v>
      </c>
      <c r="Y18" s="62"/>
      <c r="Z18" s="62"/>
      <c r="AA18" s="62"/>
      <c r="AB18" s="62"/>
      <c r="AC18" s="62"/>
      <c r="AD18" s="62"/>
      <c r="AE18" s="62">
        <v>0</v>
      </c>
      <c r="AF18" s="62">
        <f>+AF16+AF17</f>
        <v>0</v>
      </c>
      <c r="AG18" s="62">
        <f>+AG16+AG17</f>
        <v>0</v>
      </c>
    </row>
    <row r="19" spans="1:33" ht="12.9" customHeight="1">
      <c r="A19" s="3" t="s">
        <v>55</v>
      </c>
      <c r="B19" s="973" t="s">
        <v>54</v>
      </c>
      <c r="C19" s="973"/>
      <c r="D19" s="62">
        <f t="shared" si="1"/>
        <v>0</v>
      </c>
      <c r="E19" s="62">
        <f t="shared" si="7"/>
        <v>0</v>
      </c>
      <c r="F19" s="62">
        <f t="shared" si="8"/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ht="12.9" customHeight="1">
      <c r="A20" s="3" t="s">
        <v>57</v>
      </c>
      <c r="B20" s="973" t="s">
        <v>56</v>
      </c>
      <c r="C20" s="973"/>
      <c r="D20" s="62">
        <f t="shared" si="1"/>
        <v>39881</v>
      </c>
      <c r="E20" s="62">
        <f t="shared" si="7"/>
        <v>-1374</v>
      </c>
      <c r="F20" s="62">
        <f>+I20+O20+R20+U20+X20+AG20+L20+AA20+AD20</f>
        <v>38507</v>
      </c>
      <c r="G20" s="30">
        <v>0</v>
      </c>
      <c r="H20" s="30"/>
      <c r="I20" s="30">
        <f t="shared" ref="I20:I21" si="16">+G20+H20</f>
        <v>0</v>
      </c>
      <c r="J20" s="30">
        <f>+'[4]5.g. mell. Egyéb tev.'!$L20</f>
        <v>27188</v>
      </c>
      <c r="K20" s="30">
        <v>721</v>
      </c>
      <c r="L20" s="30">
        <f>+J20+K20</f>
        <v>27909</v>
      </c>
      <c r="M20" s="30">
        <f>+'[4]5.g. mell. Egyéb tev.'!O20</f>
        <v>12397</v>
      </c>
      <c r="N20" s="30">
        <v>-2095</v>
      </c>
      <c r="O20" s="30">
        <f>+M20+N20</f>
        <v>10302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>
        <v>296</v>
      </c>
      <c r="AF20" s="30"/>
      <c r="AG20" s="30">
        <f>+AE20+AF20</f>
        <v>296</v>
      </c>
    </row>
    <row r="21" spans="1:33" ht="12.9" customHeight="1">
      <c r="A21" s="3" t="s">
        <v>58</v>
      </c>
      <c r="B21" s="973" t="s">
        <v>168</v>
      </c>
      <c r="C21" s="973"/>
      <c r="D21" s="62">
        <f t="shared" si="1"/>
        <v>610</v>
      </c>
      <c r="E21" s="62">
        <f t="shared" si="7"/>
        <v>0</v>
      </c>
      <c r="F21" s="62">
        <f t="shared" si="8"/>
        <v>610</v>
      </c>
      <c r="G21" s="30">
        <v>610</v>
      </c>
      <c r="H21" s="30"/>
      <c r="I21" s="30">
        <f t="shared" si="16"/>
        <v>610</v>
      </c>
      <c r="J21" s="30"/>
      <c r="K21" s="30"/>
      <c r="L21" s="30">
        <f t="shared" ref="L21:L25" si="17">+J21+K21</f>
        <v>0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>
        <v>0</v>
      </c>
      <c r="AF21" s="30"/>
      <c r="AG21" s="30">
        <f t="shared" ref="AG21:AG22" si="18">+AE21+AF21</f>
        <v>0</v>
      </c>
    </row>
    <row r="22" spans="1:33" ht="12.9" customHeight="1">
      <c r="A22" s="3" t="s">
        <v>60</v>
      </c>
      <c r="B22" s="973" t="s">
        <v>59</v>
      </c>
      <c r="C22" s="973"/>
      <c r="D22" s="62">
        <f t="shared" si="1"/>
        <v>4133</v>
      </c>
      <c r="E22" s="62">
        <f t="shared" si="7"/>
        <v>570</v>
      </c>
      <c r="F22" s="62">
        <f t="shared" si="8"/>
        <v>4703</v>
      </c>
      <c r="G22" s="30">
        <v>1034</v>
      </c>
      <c r="H22" s="30">
        <v>1017</v>
      </c>
      <c r="I22" s="30">
        <f>+G22+H22</f>
        <v>2051</v>
      </c>
      <c r="J22" s="30"/>
      <c r="K22" s="30"/>
      <c r="L22" s="30">
        <f t="shared" si="17"/>
        <v>0</v>
      </c>
      <c r="M22" s="30"/>
      <c r="N22" s="30"/>
      <c r="O22" s="30"/>
      <c r="P22" s="30">
        <v>1284</v>
      </c>
      <c r="Q22" s="30">
        <v>-447</v>
      </c>
      <c r="R22" s="30">
        <f>+P22+Q22</f>
        <v>837</v>
      </c>
      <c r="S22" s="30">
        <v>800</v>
      </c>
      <c r="T22" s="30"/>
      <c r="U22" s="30">
        <f>+S22+T22</f>
        <v>800</v>
      </c>
      <c r="V22" s="30"/>
      <c r="W22" s="30"/>
      <c r="X22" s="30"/>
      <c r="Y22" s="30"/>
      <c r="Z22" s="30"/>
      <c r="AA22" s="30"/>
      <c r="AB22" s="30">
        <v>983</v>
      </c>
      <c r="AC22" s="30"/>
      <c r="AD22" s="30">
        <f t="shared" ref="AD22:AD24" si="19">+AB22+AC22</f>
        <v>983</v>
      </c>
      <c r="AE22" s="30">
        <v>32</v>
      </c>
      <c r="AF22" s="30"/>
      <c r="AG22" s="30">
        <f t="shared" si="18"/>
        <v>32</v>
      </c>
    </row>
    <row r="23" spans="1:33" ht="12.9" customHeight="1">
      <c r="A23" s="3" t="s">
        <v>61</v>
      </c>
      <c r="B23" s="973" t="s">
        <v>167</v>
      </c>
      <c r="C23" s="973"/>
      <c r="D23" s="62">
        <f t="shared" si="1"/>
        <v>2800</v>
      </c>
      <c r="E23" s="62">
        <f t="shared" si="7"/>
        <v>-1300</v>
      </c>
      <c r="F23" s="62">
        <f t="shared" si="8"/>
        <v>1500</v>
      </c>
      <c r="G23" s="30">
        <v>2800</v>
      </c>
      <c r="H23" s="30">
        <v>-1300</v>
      </c>
      <c r="I23" s="30">
        <f>+G23+H23</f>
        <v>1500</v>
      </c>
      <c r="J23" s="30"/>
      <c r="K23" s="30"/>
      <c r="L23" s="30">
        <f t="shared" si="17"/>
        <v>0</v>
      </c>
      <c r="M23" s="30"/>
      <c r="N23" s="30"/>
      <c r="O23" s="30"/>
      <c r="P23" s="30"/>
      <c r="Q23" s="30"/>
      <c r="R23" s="30">
        <f t="shared" ref="R23:R25" si="20">+P23+Q23</f>
        <v>0</v>
      </c>
      <c r="S23" s="30"/>
      <c r="T23" s="30"/>
      <c r="U23" s="30">
        <f t="shared" ref="U23:U25" si="21">+S23+T23</f>
        <v>0</v>
      </c>
      <c r="V23" s="30"/>
      <c r="W23" s="30"/>
      <c r="X23" s="30"/>
      <c r="Y23" s="30"/>
      <c r="Z23" s="30"/>
      <c r="AA23" s="30"/>
      <c r="AB23" s="30">
        <v>0</v>
      </c>
      <c r="AC23" s="30"/>
      <c r="AD23" s="30">
        <f t="shared" si="19"/>
        <v>0</v>
      </c>
      <c r="AE23" s="30"/>
      <c r="AF23" s="30"/>
      <c r="AG23" s="30"/>
    </row>
    <row r="24" spans="1:33" ht="12.9" customHeight="1">
      <c r="A24" s="3" t="s">
        <v>64</v>
      </c>
      <c r="B24" s="973" t="s">
        <v>63</v>
      </c>
      <c r="C24" s="973"/>
      <c r="D24" s="62">
        <f t="shared" si="1"/>
        <v>0</v>
      </c>
      <c r="E24" s="62">
        <f t="shared" si="7"/>
        <v>750</v>
      </c>
      <c r="F24" s="62">
        <f t="shared" si="8"/>
        <v>750</v>
      </c>
      <c r="G24" s="30"/>
      <c r="H24" s="30">
        <v>750</v>
      </c>
      <c r="I24" s="30">
        <f>+G24+H24</f>
        <v>750</v>
      </c>
      <c r="J24" s="30"/>
      <c r="K24" s="30"/>
      <c r="L24" s="30">
        <f t="shared" si="17"/>
        <v>0</v>
      </c>
      <c r="M24" s="30"/>
      <c r="N24" s="30"/>
      <c r="O24" s="30"/>
      <c r="P24" s="30"/>
      <c r="Q24" s="30"/>
      <c r="R24" s="30">
        <f t="shared" si="20"/>
        <v>0</v>
      </c>
      <c r="S24" s="30"/>
      <c r="T24" s="30"/>
      <c r="U24" s="30">
        <f t="shared" si="21"/>
        <v>0</v>
      </c>
      <c r="V24" s="30"/>
      <c r="W24" s="30"/>
      <c r="X24" s="30"/>
      <c r="Y24" s="30"/>
      <c r="Z24" s="30"/>
      <c r="AA24" s="30"/>
      <c r="AB24" s="30">
        <v>0</v>
      </c>
      <c r="AC24" s="30"/>
      <c r="AD24" s="30">
        <f t="shared" si="19"/>
        <v>0</v>
      </c>
      <c r="AE24" s="30"/>
      <c r="AF24" s="30"/>
      <c r="AG24" s="30"/>
    </row>
    <row r="25" spans="1:33" ht="12.9" customHeight="1">
      <c r="A25" s="3" t="s">
        <v>66</v>
      </c>
      <c r="B25" s="973" t="s">
        <v>65</v>
      </c>
      <c r="C25" s="973"/>
      <c r="D25" s="62">
        <f t="shared" si="1"/>
        <v>12972</v>
      </c>
      <c r="E25" s="62">
        <f t="shared" si="7"/>
        <v>799</v>
      </c>
      <c r="F25" s="62">
        <f t="shared" si="8"/>
        <v>13771</v>
      </c>
      <c r="G25" s="30">
        <v>5148</v>
      </c>
      <c r="H25" s="30">
        <v>-194</v>
      </c>
      <c r="I25" s="30">
        <f>+G25+H25</f>
        <v>4954</v>
      </c>
      <c r="J25" s="30"/>
      <c r="K25" s="30">
        <v>300</v>
      </c>
      <c r="L25" s="30">
        <f t="shared" si="17"/>
        <v>300</v>
      </c>
      <c r="M25" s="30"/>
      <c r="N25" s="30"/>
      <c r="O25" s="30"/>
      <c r="P25" s="30"/>
      <c r="Q25" s="30">
        <v>43</v>
      </c>
      <c r="R25" s="30">
        <f t="shared" si="20"/>
        <v>43</v>
      </c>
      <c r="S25" s="30">
        <f>+'[4]5.g. mell. Egyéb tev.'!U25</f>
        <v>75</v>
      </c>
      <c r="T25" s="30"/>
      <c r="U25" s="30">
        <f t="shared" si="21"/>
        <v>75</v>
      </c>
      <c r="V25" s="30"/>
      <c r="W25" s="30"/>
      <c r="X25" s="30"/>
      <c r="Y25" s="30">
        <f>+'[4]5.g. mell. Egyéb tev.'!AA25</f>
        <v>4574</v>
      </c>
      <c r="Z25" s="30">
        <v>-1000</v>
      </c>
      <c r="AA25" s="30">
        <f>+Y25+Z25</f>
        <v>3574</v>
      </c>
      <c r="AB25" s="30">
        <v>0</v>
      </c>
      <c r="AC25" s="30"/>
      <c r="AD25" s="30">
        <f>+AB25+AC25</f>
        <v>0</v>
      </c>
      <c r="AE25" s="30">
        <v>3175</v>
      </c>
      <c r="AF25" s="30">
        <v>1650</v>
      </c>
      <c r="AG25" s="30">
        <f>+AE25+AF25</f>
        <v>4825</v>
      </c>
    </row>
    <row r="26" spans="1:33" s="47" customFormat="1" ht="12.9" customHeight="1">
      <c r="A26" s="5" t="s">
        <v>67</v>
      </c>
      <c r="B26" s="972" t="s">
        <v>157</v>
      </c>
      <c r="C26" s="972"/>
      <c r="D26" s="62">
        <f t="shared" si="1"/>
        <v>60396</v>
      </c>
      <c r="E26" s="62">
        <f t="shared" si="7"/>
        <v>-555</v>
      </c>
      <c r="F26" s="62">
        <f t="shared" si="8"/>
        <v>59841</v>
      </c>
      <c r="G26" s="62">
        <v>9592</v>
      </c>
      <c r="H26" s="62">
        <f>+H25+H24+H23+H22+H21+H20+H19</f>
        <v>273</v>
      </c>
      <c r="I26" s="62">
        <f t="shared" ref="I26:AG26" si="22">+I25+I24+I23+I22+I21+I20+I19</f>
        <v>9865</v>
      </c>
      <c r="J26" s="62">
        <f t="shared" si="22"/>
        <v>27188</v>
      </c>
      <c r="K26" s="62">
        <f t="shared" si="22"/>
        <v>1021</v>
      </c>
      <c r="L26" s="62">
        <f t="shared" si="22"/>
        <v>28209</v>
      </c>
      <c r="M26" s="62">
        <f t="shared" si="22"/>
        <v>12397</v>
      </c>
      <c r="N26" s="62">
        <f t="shared" si="22"/>
        <v>-2095</v>
      </c>
      <c r="O26" s="62">
        <f t="shared" si="22"/>
        <v>10302</v>
      </c>
      <c r="P26" s="62">
        <v>1284</v>
      </c>
      <c r="Q26" s="62">
        <f t="shared" si="22"/>
        <v>-404</v>
      </c>
      <c r="R26" s="62">
        <f>+R25+R24+R23+R22+R21+R20+R19</f>
        <v>880</v>
      </c>
      <c r="S26" s="62">
        <f t="shared" si="22"/>
        <v>875</v>
      </c>
      <c r="T26" s="62">
        <f t="shared" si="22"/>
        <v>0</v>
      </c>
      <c r="U26" s="62">
        <f t="shared" si="22"/>
        <v>875</v>
      </c>
      <c r="V26" s="62">
        <f t="shared" si="22"/>
        <v>0</v>
      </c>
      <c r="W26" s="62">
        <f t="shared" si="22"/>
        <v>0</v>
      </c>
      <c r="X26" s="62">
        <f t="shared" si="22"/>
        <v>0</v>
      </c>
      <c r="Y26" s="62">
        <f t="shared" si="22"/>
        <v>4574</v>
      </c>
      <c r="Z26" s="62">
        <f t="shared" si="22"/>
        <v>-1000</v>
      </c>
      <c r="AA26" s="62">
        <f t="shared" si="22"/>
        <v>3574</v>
      </c>
      <c r="AB26" s="62">
        <v>983</v>
      </c>
      <c r="AC26" s="62">
        <f t="shared" ref="AC26:AD26" si="23">+AC25+AC24+AC23+AC22+AC21+AC20+AC19</f>
        <v>0</v>
      </c>
      <c r="AD26" s="62">
        <f t="shared" si="23"/>
        <v>983</v>
      </c>
      <c r="AE26" s="62">
        <v>3503</v>
      </c>
      <c r="AF26" s="62">
        <f t="shared" si="22"/>
        <v>1650</v>
      </c>
      <c r="AG26" s="62">
        <f t="shared" si="22"/>
        <v>5153</v>
      </c>
    </row>
    <row r="27" spans="1:33" ht="12.9" customHeight="1">
      <c r="A27" s="3" t="s">
        <v>69</v>
      </c>
      <c r="B27" s="973" t="s">
        <v>68</v>
      </c>
      <c r="C27" s="973"/>
      <c r="D27" s="62">
        <f t="shared" si="1"/>
        <v>0</v>
      </c>
      <c r="E27" s="62">
        <f t="shared" si="7"/>
        <v>0</v>
      </c>
      <c r="F27" s="62">
        <f t="shared" si="8"/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ht="12.9" customHeight="1">
      <c r="A28" s="3" t="s">
        <v>71</v>
      </c>
      <c r="B28" s="973" t="s">
        <v>70</v>
      </c>
      <c r="C28" s="973"/>
      <c r="D28" s="62">
        <f t="shared" si="1"/>
        <v>0</v>
      </c>
      <c r="E28" s="62">
        <f t="shared" si="7"/>
        <v>0</v>
      </c>
      <c r="F28" s="62">
        <f t="shared" si="8"/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47" customFormat="1" ht="12.9" customHeight="1">
      <c r="A29" s="5" t="s">
        <v>72</v>
      </c>
      <c r="B29" s="972" t="s">
        <v>156</v>
      </c>
      <c r="C29" s="972"/>
      <c r="D29" s="62">
        <f t="shared" si="1"/>
        <v>0</v>
      </c>
      <c r="E29" s="62">
        <f t="shared" si="7"/>
        <v>0</v>
      </c>
      <c r="F29" s="62">
        <f t="shared" si="8"/>
        <v>0</v>
      </c>
      <c r="G29" s="62">
        <v>0</v>
      </c>
      <c r="H29" s="62">
        <f t="shared" ref="H29:I29" si="24">+H27+H28</f>
        <v>0</v>
      </c>
      <c r="I29" s="62">
        <f t="shared" si="24"/>
        <v>0</v>
      </c>
      <c r="J29" s="62"/>
      <c r="K29" s="62"/>
      <c r="L29" s="62"/>
      <c r="M29" s="62">
        <f>+M27+M28</f>
        <v>0</v>
      </c>
      <c r="N29" s="62">
        <f>+N27+N28</f>
        <v>0</v>
      </c>
      <c r="O29" s="62">
        <f>+O27+O28</f>
        <v>0</v>
      </c>
      <c r="P29" s="62">
        <v>0</v>
      </c>
      <c r="Q29" s="62">
        <f t="shared" ref="Q29:AA29" si="25">+Q27+Q28</f>
        <v>0</v>
      </c>
      <c r="R29" s="62">
        <f t="shared" si="25"/>
        <v>0</v>
      </c>
      <c r="S29" s="62">
        <f t="shared" si="25"/>
        <v>0</v>
      </c>
      <c r="T29" s="62">
        <f t="shared" si="25"/>
        <v>0</v>
      </c>
      <c r="U29" s="62">
        <f t="shared" si="25"/>
        <v>0</v>
      </c>
      <c r="V29" s="62">
        <f t="shared" si="25"/>
        <v>0</v>
      </c>
      <c r="W29" s="62">
        <f t="shared" si="25"/>
        <v>0</v>
      </c>
      <c r="X29" s="62">
        <f t="shared" si="25"/>
        <v>0</v>
      </c>
      <c r="Y29" s="62">
        <f t="shared" si="25"/>
        <v>0</v>
      </c>
      <c r="Z29" s="62">
        <f t="shared" si="25"/>
        <v>0</v>
      </c>
      <c r="AA29" s="62">
        <f t="shared" si="25"/>
        <v>0</v>
      </c>
      <c r="AB29" s="62">
        <v>0</v>
      </c>
      <c r="AC29" s="62">
        <f t="shared" ref="AC29:AD29" si="26">+AC27+AC28</f>
        <v>0</v>
      </c>
      <c r="AD29" s="62">
        <f t="shared" si="26"/>
        <v>0</v>
      </c>
      <c r="AE29" s="62">
        <v>0</v>
      </c>
      <c r="AF29" s="62">
        <f>+AF27+AF28</f>
        <v>0</v>
      </c>
      <c r="AG29" s="62">
        <f>+AG27+AG28</f>
        <v>0</v>
      </c>
    </row>
    <row r="30" spans="1:33" ht="12.9" customHeight="1">
      <c r="A30" s="3" t="s">
        <v>74</v>
      </c>
      <c r="B30" s="973" t="s">
        <v>73</v>
      </c>
      <c r="C30" s="973"/>
      <c r="D30" s="62">
        <f t="shared" si="1"/>
        <v>14662</v>
      </c>
      <c r="E30" s="62">
        <f t="shared" si="7"/>
        <v>-1442</v>
      </c>
      <c r="F30" s="62">
        <f t="shared" si="8"/>
        <v>13220</v>
      </c>
      <c r="G30" s="30">
        <v>1796</v>
      </c>
      <c r="H30" s="30">
        <v>47</v>
      </c>
      <c r="I30" s="30">
        <f>+G30+H30</f>
        <v>1843</v>
      </c>
      <c r="J30" s="30">
        <f>+'[4]5.g. mell. Egyéb tev.'!$L30</f>
        <v>7341</v>
      </c>
      <c r="K30" s="30">
        <v>-571</v>
      </c>
      <c r="L30" s="30">
        <f>+J30+K30</f>
        <v>6770</v>
      </c>
      <c r="M30" s="30">
        <f>+'[4]5.g. mell. Egyéb tev.'!O30</f>
        <v>3348</v>
      </c>
      <c r="N30" s="30">
        <v>-530</v>
      </c>
      <c r="O30" s="30">
        <f>+M30+N30</f>
        <v>2818</v>
      </c>
      <c r="P30" s="30">
        <v>374</v>
      </c>
      <c r="Q30" s="30">
        <v>3</v>
      </c>
      <c r="R30" s="30">
        <f>+P30+Q30</f>
        <v>377</v>
      </c>
      <c r="S30" s="30">
        <f>+'[4]5.g. mell. Egyéb tev.'!U30</f>
        <v>236</v>
      </c>
      <c r="T30" s="30"/>
      <c r="U30" s="30">
        <f>+S30+T30</f>
        <v>236</v>
      </c>
      <c r="V30" s="30">
        <v>5</v>
      </c>
      <c r="W30" s="30"/>
      <c r="X30" s="30">
        <f>+V30+W30</f>
        <v>5</v>
      </c>
      <c r="Y30" s="30">
        <v>923</v>
      </c>
      <c r="Z30" s="30">
        <v>-837</v>
      </c>
      <c r="AA30" s="30">
        <f t="shared" ref="AA30:AA31" si="27">+Y30+Z30</f>
        <v>86</v>
      </c>
      <c r="AB30" s="30">
        <v>265</v>
      </c>
      <c r="AC30" s="30"/>
      <c r="AD30" s="30">
        <f t="shared" ref="AD30:AD31" si="28">+AB30+AC30</f>
        <v>265</v>
      </c>
      <c r="AE30" s="30">
        <v>374</v>
      </c>
      <c r="AF30" s="30">
        <v>446</v>
      </c>
      <c r="AG30" s="30">
        <f>+AE30+AF30</f>
        <v>820</v>
      </c>
    </row>
    <row r="31" spans="1:33" ht="12.9" customHeight="1">
      <c r="A31" s="3" t="s">
        <v>76</v>
      </c>
      <c r="B31" s="973" t="s">
        <v>75</v>
      </c>
      <c r="C31" s="973"/>
      <c r="D31" s="62">
        <f t="shared" si="1"/>
        <v>4360</v>
      </c>
      <c r="E31" s="62">
        <f t="shared" si="7"/>
        <v>-4212</v>
      </c>
      <c r="F31" s="62">
        <f t="shared" si="8"/>
        <v>148</v>
      </c>
      <c r="G31" s="30"/>
      <c r="H31" s="30"/>
      <c r="I31" s="30">
        <f>+G31+H31</f>
        <v>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>
        <v>270</v>
      </c>
      <c r="Z31" s="30">
        <v>-122</v>
      </c>
      <c r="AA31" s="30">
        <f t="shared" si="27"/>
        <v>148</v>
      </c>
      <c r="AB31" s="30">
        <v>0</v>
      </c>
      <c r="AC31" s="30"/>
      <c r="AD31" s="30">
        <f t="shared" si="28"/>
        <v>0</v>
      </c>
      <c r="AE31" s="30">
        <v>4090</v>
      </c>
      <c r="AF31" s="30">
        <v>-4090</v>
      </c>
      <c r="AG31" s="30">
        <f>+AE31+AF31</f>
        <v>0</v>
      </c>
    </row>
    <row r="32" spans="1:33" ht="12.9" customHeight="1">
      <c r="A32" s="3" t="s">
        <v>77</v>
      </c>
      <c r="B32" s="973" t="s">
        <v>155</v>
      </c>
      <c r="C32" s="973"/>
      <c r="D32" s="62">
        <f t="shared" si="1"/>
        <v>0</v>
      </c>
      <c r="E32" s="62">
        <f t="shared" si="7"/>
        <v>0</v>
      </c>
      <c r="F32" s="62">
        <f t="shared" si="8"/>
        <v>0</v>
      </c>
      <c r="G32" s="30">
        <v>0</v>
      </c>
      <c r="H32" s="30"/>
      <c r="I32" s="30">
        <f t="shared" ref="I32:I34" si="29">+G32+H32</f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12.9" customHeight="1">
      <c r="A33" s="3" t="s">
        <v>78</v>
      </c>
      <c r="B33" s="973" t="s">
        <v>154</v>
      </c>
      <c r="C33" s="973"/>
      <c r="D33" s="62">
        <f t="shared" si="1"/>
        <v>0</v>
      </c>
      <c r="E33" s="62">
        <f t="shared" si="7"/>
        <v>0</v>
      </c>
      <c r="F33" s="62">
        <f t="shared" si="8"/>
        <v>0</v>
      </c>
      <c r="G33" s="30">
        <v>0</v>
      </c>
      <c r="H33" s="30"/>
      <c r="I33" s="30">
        <f t="shared" si="29"/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ht="12.9" customHeight="1">
      <c r="A34" s="3" t="s">
        <v>80</v>
      </c>
      <c r="B34" s="973" t="s">
        <v>79</v>
      </c>
      <c r="C34" s="973"/>
      <c r="D34" s="62">
        <f t="shared" si="1"/>
        <v>3844</v>
      </c>
      <c r="E34" s="62">
        <f t="shared" si="7"/>
        <v>275</v>
      </c>
      <c r="F34" s="62">
        <f t="shared" si="8"/>
        <v>4119</v>
      </c>
      <c r="G34" s="30">
        <v>3810</v>
      </c>
      <c r="H34" s="30">
        <v>275</v>
      </c>
      <c r="I34" s="30">
        <f t="shared" si="29"/>
        <v>4085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f>+'[4]5.g. mell. Egyéb tev.'!X34</f>
        <v>34</v>
      </c>
      <c r="W34" s="30"/>
      <c r="X34" s="30">
        <f>+V34+W34</f>
        <v>34</v>
      </c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s="47" customFormat="1" ht="12.9" customHeight="1">
      <c r="A35" s="5" t="s">
        <v>81</v>
      </c>
      <c r="B35" s="972" t="s">
        <v>153</v>
      </c>
      <c r="C35" s="972"/>
      <c r="D35" s="62">
        <f t="shared" si="1"/>
        <v>22866</v>
      </c>
      <c r="E35" s="62">
        <f t="shared" si="7"/>
        <v>-5379</v>
      </c>
      <c r="F35" s="62">
        <f t="shared" si="8"/>
        <v>17487</v>
      </c>
      <c r="G35" s="62">
        <f>SUM(G30:G34)</f>
        <v>5606</v>
      </c>
      <c r="H35" s="62">
        <f t="shared" ref="H35:M35" si="30">SUM(H30:H34)</f>
        <v>322</v>
      </c>
      <c r="I35" s="62">
        <f t="shared" si="30"/>
        <v>5928</v>
      </c>
      <c r="J35" s="62">
        <f t="shared" si="30"/>
        <v>7341</v>
      </c>
      <c r="K35" s="62">
        <f t="shared" si="30"/>
        <v>-571</v>
      </c>
      <c r="L35" s="62">
        <f t="shared" si="30"/>
        <v>6770</v>
      </c>
      <c r="M35" s="62">
        <f t="shared" si="30"/>
        <v>3348</v>
      </c>
      <c r="N35" s="62">
        <f>SUM(N30:N34)</f>
        <v>-530</v>
      </c>
      <c r="O35" s="62">
        <f>SUM(O30:O34)</f>
        <v>2818</v>
      </c>
      <c r="P35" s="62">
        <v>374</v>
      </c>
      <c r="Q35" s="62">
        <f t="shared" ref="Q35:AA35" si="31">SUM(Q30:Q34)</f>
        <v>3</v>
      </c>
      <c r="R35" s="62">
        <f t="shared" si="31"/>
        <v>377</v>
      </c>
      <c r="S35" s="62">
        <f t="shared" si="31"/>
        <v>236</v>
      </c>
      <c r="T35" s="62">
        <f t="shared" si="31"/>
        <v>0</v>
      </c>
      <c r="U35" s="62">
        <f t="shared" si="31"/>
        <v>236</v>
      </c>
      <c r="V35" s="62">
        <f t="shared" si="31"/>
        <v>39</v>
      </c>
      <c r="W35" s="62">
        <f t="shared" si="31"/>
        <v>0</v>
      </c>
      <c r="X35" s="62">
        <f t="shared" si="31"/>
        <v>39</v>
      </c>
      <c r="Y35" s="62">
        <f t="shared" si="31"/>
        <v>1193</v>
      </c>
      <c r="Z35" s="62">
        <f t="shared" si="31"/>
        <v>-959</v>
      </c>
      <c r="AA35" s="62">
        <f t="shared" si="31"/>
        <v>234</v>
      </c>
      <c r="AB35" s="62">
        <v>265</v>
      </c>
      <c r="AC35" s="62">
        <f t="shared" ref="AC35:AD35" si="32">SUM(AC30:AC34)</f>
        <v>0</v>
      </c>
      <c r="AD35" s="62">
        <f t="shared" si="32"/>
        <v>265</v>
      </c>
      <c r="AE35" s="62">
        <v>4464</v>
      </c>
      <c r="AF35" s="62">
        <f>SUM(AF30:AF34)</f>
        <v>-3644</v>
      </c>
      <c r="AG35" s="62">
        <f>SUM(AG30:AG34)</f>
        <v>820</v>
      </c>
    </row>
    <row r="36" spans="1:33" s="47" customFormat="1" ht="12.9" customHeight="1">
      <c r="A36" s="6" t="s">
        <v>82</v>
      </c>
      <c r="B36" s="969" t="s">
        <v>152</v>
      </c>
      <c r="C36" s="969"/>
      <c r="D36" s="62">
        <f t="shared" si="1"/>
        <v>85381</v>
      </c>
      <c r="E36" s="62">
        <f t="shared" si="7"/>
        <v>-5469</v>
      </c>
      <c r="F36" s="62">
        <f t="shared" si="8"/>
        <v>79912</v>
      </c>
      <c r="G36" s="59">
        <f>+G35+G29+G26+G18+G15</f>
        <v>16249</v>
      </c>
      <c r="H36" s="59">
        <f t="shared" ref="H36:AG36" si="33">+H35+H29+H26+H18+H15</f>
        <v>826</v>
      </c>
      <c r="I36" s="59">
        <f t="shared" si="33"/>
        <v>17075</v>
      </c>
      <c r="J36" s="59">
        <f t="shared" si="33"/>
        <v>34529</v>
      </c>
      <c r="K36" s="59">
        <f t="shared" si="33"/>
        <v>450</v>
      </c>
      <c r="L36" s="59">
        <f t="shared" si="33"/>
        <v>34979</v>
      </c>
      <c r="M36" s="59">
        <f t="shared" si="33"/>
        <v>15745</v>
      </c>
      <c r="N36" s="59">
        <f t="shared" si="33"/>
        <v>-2625</v>
      </c>
      <c r="O36" s="59">
        <f t="shared" si="33"/>
        <v>13120</v>
      </c>
      <c r="P36" s="59">
        <v>1757</v>
      </c>
      <c r="Q36" s="59">
        <f t="shared" si="33"/>
        <v>-286</v>
      </c>
      <c r="R36" s="59">
        <f t="shared" si="33"/>
        <v>1471</v>
      </c>
      <c r="S36" s="59">
        <f t="shared" si="33"/>
        <v>1111</v>
      </c>
      <c r="T36" s="59">
        <f t="shared" si="33"/>
        <v>119</v>
      </c>
      <c r="U36" s="59">
        <f t="shared" si="33"/>
        <v>1230</v>
      </c>
      <c r="V36" s="59">
        <f t="shared" si="33"/>
        <v>58</v>
      </c>
      <c r="W36" s="59">
        <f t="shared" si="33"/>
        <v>0</v>
      </c>
      <c r="X36" s="59">
        <f t="shared" si="33"/>
        <v>58</v>
      </c>
      <c r="Y36" s="59">
        <f t="shared" si="33"/>
        <v>5767</v>
      </c>
      <c r="Z36" s="59">
        <f t="shared" si="33"/>
        <v>-1959</v>
      </c>
      <c r="AA36" s="59">
        <f t="shared" si="33"/>
        <v>3808</v>
      </c>
      <c r="AB36" s="59">
        <v>1248</v>
      </c>
      <c r="AC36" s="59">
        <f t="shared" ref="AC36:AD36" si="34">+AC35+AC29+AC26+AC18+AC15</f>
        <v>0</v>
      </c>
      <c r="AD36" s="59">
        <f t="shared" si="34"/>
        <v>1248</v>
      </c>
      <c r="AE36" s="59">
        <v>8917</v>
      </c>
      <c r="AF36" s="59">
        <f t="shared" si="33"/>
        <v>-1994</v>
      </c>
      <c r="AG36" s="59">
        <f t="shared" si="33"/>
        <v>6923</v>
      </c>
    </row>
    <row r="37" spans="1:33" ht="8.2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2.9" hidden="1" customHeight="1">
      <c r="A38" s="12" t="s">
        <v>84</v>
      </c>
      <c r="B38" s="970" t="s">
        <v>83</v>
      </c>
      <c r="C38" s="970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1:33" ht="12.9" hidden="1" customHeight="1">
      <c r="A39" s="13" t="s">
        <v>85</v>
      </c>
      <c r="B39" s="985" t="s">
        <v>137</v>
      </c>
      <c r="C39" s="985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s="43" customFormat="1" ht="12.9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56"/>
      <c r="R40" s="56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2.9" hidden="1" customHeight="1">
      <c r="A41" s="3" t="s">
        <v>87</v>
      </c>
      <c r="B41" s="970" t="s">
        <v>86</v>
      </c>
      <c r="C41" s="970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2.9" hidden="1" customHeight="1">
      <c r="A42" s="13" t="s">
        <v>88</v>
      </c>
      <c r="B42" s="985" t="s">
        <v>140</v>
      </c>
      <c r="C42" s="985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s="43" customFormat="1" ht="12.9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56"/>
      <c r="R43" s="56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s="43" customFormat="1" ht="12.9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56"/>
      <c r="R44" s="56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ht="12.9" hidden="1" customHeight="1">
      <c r="A45" s="13" t="s">
        <v>90</v>
      </c>
      <c r="B45" s="1023" t="s">
        <v>142</v>
      </c>
      <c r="C45" s="1023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s="43" customFormat="1" ht="12.9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1:33" ht="12.9" hidden="1" customHeight="1">
      <c r="A47" s="13" t="s">
        <v>91</v>
      </c>
      <c r="B47" s="968" t="s">
        <v>144</v>
      </c>
      <c r="C47" s="968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43" customFormat="1" ht="12.9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</row>
    <row r="49" spans="1:33" ht="12.9" hidden="1" customHeight="1">
      <c r="A49" s="3" t="s">
        <v>92</v>
      </c>
      <c r="B49" s="968" t="s">
        <v>146</v>
      </c>
      <c r="C49" s="968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s="43" customFormat="1" ht="12.9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</row>
    <row r="51" spans="1:33" ht="12.9" hidden="1" customHeight="1">
      <c r="A51" s="13" t="s">
        <v>94</v>
      </c>
      <c r="B51" s="1024" t="s">
        <v>147</v>
      </c>
      <c r="C51" s="968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s="43" customFormat="1" ht="12.9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</row>
    <row r="53" spans="1:33" s="43" customFormat="1" ht="12.9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</row>
    <row r="54" spans="1:33" s="43" customFormat="1" ht="12.9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</row>
    <row r="55" spans="1:33" s="43" customFormat="1" ht="12.9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</row>
    <row r="56" spans="1:33" s="47" customFormat="1" ht="12.9" hidden="1" customHeight="1">
      <c r="A56" s="6" t="s">
        <v>95</v>
      </c>
      <c r="B56" s="1025" t="s">
        <v>151</v>
      </c>
      <c r="C56" s="1026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7.5" customHeight="1">
      <c r="A57" s="7"/>
      <c r="B57" s="983"/>
      <c r="C57" s="983"/>
      <c r="D57" s="62"/>
      <c r="E57" s="62"/>
      <c r="F57" s="62"/>
      <c r="G57" s="322"/>
      <c r="H57" s="322"/>
      <c r="I57" s="322"/>
      <c r="J57" s="322"/>
      <c r="K57" s="322"/>
      <c r="L57" s="322"/>
      <c r="M57" s="322"/>
      <c r="N57" s="322"/>
      <c r="O57" s="322"/>
      <c r="P57" s="31"/>
      <c r="Q57" s="31"/>
      <c r="R57" s="32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2.9" customHeight="1">
      <c r="A58" s="12" t="s">
        <v>97</v>
      </c>
      <c r="B58" s="968" t="s">
        <v>96</v>
      </c>
      <c r="C58" s="968"/>
      <c r="D58" s="62">
        <f t="shared" ref="D58:D71" si="35">+G58+M58+P58+S58+V58+AE58+J58+Y58+AB58</f>
        <v>5868</v>
      </c>
      <c r="E58" s="62">
        <f t="shared" ref="E58:E71" si="36">+H58+N58+Q58+T58+W58+AF58+K58+Z58+AC58</f>
        <v>18</v>
      </c>
      <c r="F58" s="62">
        <f t="shared" ref="F58:F71" si="37">+I58+O58+R58+U58+X58+AG58+L58+AA58+AD58</f>
        <v>5886</v>
      </c>
      <c r="G58" s="30"/>
      <c r="H58" s="30"/>
      <c r="I58" s="30"/>
      <c r="J58" s="30"/>
      <c r="K58" s="30"/>
      <c r="L58" s="30"/>
      <c r="M58" s="30"/>
      <c r="N58" s="30"/>
      <c r="O58" s="3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0">
        <v>5868</v>
      </c>
      <c r="AF58" s="33">
        <v>18</v>
      </c>
      <c r="AG58" s="30">
        <f t="shared" ref="AG58:AG62" si="38">+AE58+AF58</f>
        <v>5886</v>
      </c>
    </row>
    <row r="59" spans="1:33" ht="12.9" customHeight="1">
      <c r="A59" s="3" t="s">
        <v>99</v>
      </c>
      <c r="B59" s="968" t="s">
        <v>98</v>
      </c>
      <c r="C59" s="968"/>
      <c r="D59" s="62">
        <f t="shared" si="35"/>
        <v>0</v>
      </c>
      <c r="E59" s="62">
        <f t="shared" si="36"/>
        <v>0</v>
      </c>
      <c r="F59" s="62">
        <f t="shared" si="37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3"/>
      <c r="Z59" s="33"/>
      <c r="AA59" s="33"/>
      <c r="AB59" s="33"/>
      <c r="AC59" s="33"/>
      <c r="AD59" s="33"/>
      <c r="AE59" s="33">
        <v>0</v>
      </c>
      <c r="AF59" s="33"/>
      <c r="AG59" s="30">
        <f t="shared" si="38"/>
        <v>0</v>
      </c>
    </row>
    <row r="60" spans="1:33" ht="12.9" customHeight="1">
      <c r="A60" s="3" t="s">
        <v>102</v>
      </c>
      <c r="B60" s="968" t="s">
        <v>166</v>
      </c>
      <c r="C60" s="968"/>
      <c r="D60" s="62">
        <f t="shared" si="35"/>
        <v>0</v>
      </c>
      <c r="E60" s="62">
        <f t="shared" si="36"/>
        <v>0</v>
      </c>
      <c r="F60" s="62">
        <f t="shared" si="37"/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/>
      <c r="AA60" s="33"/>
      <c r="AB60" s="33"/>
      <c r="AC60" s="33"/>
      <c r="AD60" s="33"/>
      <c r="AE60" s="33">
        <v>0</v>
      </c>
      <c r="AF60" s="33"/>
      <c r="AG60" s="30">
        <f t="shared" si="38"/>
        <v>0</v>
      </c>
    </row>
    <row r="61" spans="1:33" ht="12.9" customHeight="1">
      <c r="A61" s="3" t="s">
        <v>104</v>
      </c>
      <c r="B61" s="968" t="s">
        <v>103</v>
      </c>
      <c r="C61" s="968"/>
      <c r="D61" s="62">
        <f t="shared" si="35"/>
        <v>2500</v>
      </c>
      <c r="E61" s="62">
        <f t="shared" si="36"/>
        <v>0</v>
      </c>
      <c r="F61" s="62">
        <f t="shared" si="37"/>
        <v>2500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3"/>
      <c r="Z61" s="33"/>
      <c r="AA61" s="33"/>
      <c r="AB61" s="33"/>
      <c r="AC61" s="33"/>
      <c r="AD61" s="33"/>
      <c r="AE61" s="33">
        <v>2500</v>
      </c>
      <c r="AF61" s="33"/>
      <c r="AG61" s="30">
        <f t="shared" si="38"/>
        <v>2500</v>
      </c>
    </row>
    <row r="62" spans="1:33" ht="12.9" customHeight="1">
      <c r="A62" s="3" t="s">
        <v>106</v>
      </c>
      <c r="B62" s="968" t="s">
        <v>165</v>
      </c>
      <c r="C62" s="968"/>
      <c r="D62" s="62">
        <f t="shared" si="35"/>
        <v>0</v>
      </c>
      <c r="E62" s="62">
        <f t="shared" si="36"/>
        <v>0</v>
      </c>
      <c r="F62" s="62">
        <f t="shared" si="37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  <c r="Z62" s="33"/>
      <c r="AA62" s="33"/>
      <c r="AB62" s="33"/>
      <c r="AC62" s="33"/>
      <c r="AD62" s="33"/>
      <c r="AE62" s="33">
        <v>0</v>
      </c>
      <c r="AF62" s="33"/>
      <c r="AG62" s="30">
        <f t="shared" si="38"/>
        <v>0</v>
      </c>
    </row>
    <row r="63" spans="1:33" ht="12.9" customHeight="1">
      <c r="A63" s="3" t="s">
        <v>108</v>
      </c>
      <c r="B63" s="973" t="s">
        <v>107</v>
      </c>
      <c r="C63" s="973"/>
      <c r="D63" s="62">
        <f t="shared" si="35"/>
        <v>204729</v>
      </c>
      <c r="E63" s="62">
        <f t="shared" si="36"/>
        <v>599723</v>
      </c>
      <c r="F63" s="62">
        <f t="shared" si="37"/>
        <v>804452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3"/>
      <c r="Z63" s="33"/>
      <c r="AA63" s="33"/>
      <c r="AB63" s="33"/>
      <c r="AC63" s="33"/>
      <c r="AD63" s="33"/>
      <c r="AE63" s="33">
        <f>SUM(AE64:AE70)</f>
        <v>204729</v>
      </c>
      <c r="AF63" s="33">
        <f>SUM(AF64:AF70)</f>
        <v>599723</v>
      </c>
      <c r="AG63" s="33">
        <f t="shared" ref="AG63" si="39">SUM(AG64:AG70)</f>
        <v>804452</v>
      </c>
    </row>
    <row r="64" spans="1:33" ht="12.9" customHeight="1">
      <c r="A64" s="452"/>
      <c r="B64" s="451"/>
      <c r="C64" s="591" t="s">
        <v>695</v>
      </c>
      <c r="D64" s="30">
        <f t="shared" si="35"/>
        <v>2562</v>
      </c>
      <c r="E64" s="30">
        <f t="shared" si="36"/>
        <v>-217</v>
      </c>
      <c r="F64" s="30">
        <f t="shared" si="37"/>
        <v>2345</v>
      </c>
      <c r="G64" s="453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30">
        <v>2562</v>
      </c>
      <c r="AF64" s="30">
        <v>-217</v>
      </c>
      <c r="AG64" s="30">
        <f>+AE64+AF64</f>
        <v>2345</v>
      </c>
    </row>
    <row r="65" spans="1:33" ht="12.9" customHeight="1">
      <c r="A65" s="452"/>
      <c r="B65" s="591"/>
      <c r="C65" s="591" t="s">
        <v>696</v>
      </c>
      <c r="D65" s="30">
        <f t="shared" si="35"/>
        <v>14351</v>
      </c>
      <c r="E65" s="30">
        <f t="shared" si="36"/>
        <v>-171</v>
      </c>
      <c r="F65" s="30">
        <f t="shared" si="37"/>
        <v>14180</v>
      </c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  <c r="AB65" s="453"/>
      <c r="AC65" s="453"/>
      <c r="AD65" s="453"/>
      <c r="AE65" s="30">
        <v>14351</v>
      </c>
      <c r="AF65" s="453">
        <v>-171</v>
      </c>
      <c r="AG65" s="30">
        <f t="shared" ref="AG65:AG70" si="40">+AE65+AF65</f>
        <v>14180</v>
      </c>
    </row>
    <row r="66" spans="1:33" ht="12.9" customHeight="1">
      <c r="A66" s="452"/>
      <c r="B66" s="586"/>
      <c r="C66" s="593" t="s">
        <v>708</v>
      </c>
      <c r="D66" s="30">
        <f t="shared" si="35"/>
        <v>149907</v>
      </c>
      <c r="E66" s="30">
        <f t="shared" si="36"/>
        <v>575205</v>
      </c>
      <c r="F66" s="30">
        <f t="shared" si="37"/>
        <v>725112</v>
      </c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  <c r="AB66" s="453"/>
      <c r="AC66" s="453"/>
      <c r="AD66" s="453"/>
      <c r="AE66" s="30">
        <v>149907</v>
      </c>
      <c r="AF66" s="453">
        <v>575205</v>
      </c>
      <c r="AG66" s="30">
        <f t="shared" si="40"/>
        <v>725112</v>
      </c>
    </row>
    <row r="67" spans="1:33" ht="12.9" customHeight="1">
      <c r="A67" s="452"/>
      <c r="B67" s="590"/>
      <c r="C67" s="591" t="s">
        <v>699</v>
      </c>
      <c r="D67" s="30">
        <f t="shared" si="35"/>
        <v>0</v>
      </c>
      <c r="E67" s="30">
        <f t="shared" si="36"/>
        <v>0</v>
      </c>
      <c r="F67" s="30">
        <f t="shared" si="37"/>
        <v>0</v>
      </c>
      <c r="G67" s="453"/>
      <c r="H67" s="453"/>
      <c r="I67" s="453"/>
      <c r="J67" s="453"/>
      <c r="K67" s="453"/>
      <c r="L67" s="453"/>
      <c r="M67" s="453"/>
      <c r="N67" s="453"/>
      <c r="O67" s="453"/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  <c r="AA67" s="453"/>
      <c r="AB67" s="453"/>
      <c r="AC67" s="453"/>
      <c r="AD67" s="453"/>
      <c r="AE67" s="30">
        <v>0</v>
      </c>
      <c r="AF67" s="453"/>
      <c r="AG67" s="30">
        <f t="shared" si="40"/>
        <v>0</v>
      </c>
    </row>
    <row r="68" spans="1:33" ht="12.9" customHeight="1">
      <c r="A68" s="452"/>
      <c r="B68" s="586"/>
      <c r="C68" s="591" t="s">
        <v>697</v>
      </c>
      <c r="D68" s="30">
        <f t="shared" si="35"/>
        <v>18000</v>
      </c>
      <c r="E68" s="30">
        <f t="shared" si="36"/>
        <v>0</v>
      </c>
      <c r="F68" s="30">
        <f t="shared" si="37"/>
        <v>18000</v>
      </c>
      <c r="G68" s="453"/>
      <c r="H68" s="453"/>
      <c r="I68" s="453"/>
      <c r="J68" s="453"/>
      <c r="K68" s="453"/>
      <c r="L68" s="453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30">
        <v>18000</v>
      </c>
      <c r="AF68" s="453"/>
      <c r="AG68" s="30">
        <f t="shared" si="40"/>
        <v>18000</v>
      </c>
    </row>
    <row r="69" spans="1:33" ht="12.9" customHeight="1">
      <c r="A69" s="452"/>
      <c r="B69" s="451"/>
      <c r="C69" s="591" t="s">
        <v>698</v>
      </c>
      <c r="D69" s="30">
        <f t="shared" si="35"/>
        <v>407</v>
      </c>
      <c r="E69" s="30">
        <f t="shared" si="36"/>
        <v>33566</v>
      </c>
      <c r="F69" s="30">
        <f t="shared" si="37"/>
        <v>33973</v>
      </c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  <c r="AA69" s="453"/>
      <c r="AB69" s="453"/>
      <c r="AC69" s="453"/>
      <c r="AD69" s="453"/>
      <c r="AE69" s="30">
        <v>407</v>
      </c>
      <c r="AF69" s="453">
        <v>33566</v>
      </c>
      <c r="AG69" s="30">
        <f t="shared" si="40"/>
        <v>33973</v>
      </c>
    </row>
    <row r="70" spans="1:33" ht="12.9" customHeight="1">
      <c r="A70" s="452"/>
      <c r="B70" s="586"/>
      <c r="C70" s="586" t="s">
        <v>670</v>
      </c>
      <c r="D70" s="30">
        <f t="shared" si="35"/>
        <v>19502</v>
      </c>
      <c r="E70" s="30">
        <f t="shared" si="36"/>
        <v>-8660</v>
      </c>
      <c r="F70" s="30">
        <f t="shared" si="37"/>
        <v>10842</v>
      </c>
      <c r="G70" s="453"/>
      <c r="H70" s="453"/>
      <c r="I70" s="453"/>
      <c r="J70" s="453"/>
      <c r="K70" s="453"/>
      <c r="L70" s="453"/>
      <c r="M70" s="453"/>
      <c r="N70" s="453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  <c r="AC70" s="453"/>
      <c r="AD70" s="453"/>
      <c r="AE70" s="30">
        <v>19502</v>
      </c>
      <c r="AF70" s="453">
        <v>-8660</v>
      </c>
      <c r="AG70" s="30">
        <f t="shared" si="40"/>
        <v>10842</v>
      </c>
    </row>
    <row r="71" spans="1:33" s="47" customFormat="1" ht="12.9" customHeight="1">
      <c r="A71" s="6" t="s">
        <v>109</v>
      </c>
      <c r="B71" s="969" t="s">
        <v>164</v>
      </c>
      <c r="C71" s="969"/>
      <c r="D71" s="62">
        <f t="shared" si="35"/>
        <v>213097</v>
      </c>
      <c r="E71" s="62">
        <f t="shared" si="36"/>
        <v>599741</v>
      </c>
      <c r="F71" s="62">
        <f t="shared" si="37"/>
        <v>812838</v>
      </c>
      <c r="G71" s="59">
        <v>0</v>
      </c>
      <c r="H71" s="59">
        <f>+H63+H62+H61+H60+H59+H58</f>
        <v>0</v>
      </c>
      <c r="I71" s="59">
        <f>+I63+I62+I61+I60+I59+I58</f>
        <v>0</v>
      </c>
      <c r="J71" s="59"/>
      <c r="K71" s="59"/>
      <c r="L71" s="59"/>
      <c r="M71" s="59"/>
      <c r="N71" s="59"/>
      <c r="O71" s="59"/>
      <c r="P71" s="59">
        <f t="shared" ref="P71:X71" si="41">+P63+P62+P61+P60+P59+P58</f>
        <v>0</v>
      </c>
      <c r="Q71" s="59">
        <f t="shared" si="41"/>
        <v>0</v>
      </c>
      <c r="R71" s="59">
        <f t="shared" si="41"/>
        <v>0</v>
      </c>
      <c r="S71" s="59">
        <f t="shared" si="41"/>
        <v>0</v>
      </c>
      <c r="T71" s="59">
        <f t="shared" si="41"/>
        <v>0</v>
      </c>
      <c r="U71" s="59">
        <f t="shared" si="41"/>
        <v>0</v>
      </c>
      <c r="V71" s="59">
        <f t="shared" si="41"/>
        <v>0</v>
      </c>
      <c r="W71" s="59">
        <f t="shared" si="41"/>
        <v>0</v>
      </c>
      <c r="X71" s="59">
        <f t="shared" si="41"/>
        <v>0</v>
      </c>
      <c r="Y71" s="59">
        <f t="shared" ref="Y71:AA71" si="42">+Y63+Y62+Y61+Y60+Y59+Y58</f>
        <v>0</v>
      </c>
      <c r="Z71" s="59">
        <f t="shared" si="42"/>
        <v>0</v>
      </c>
      <c r="AA71" s="59">
        <f t="shared" si="42"/>
        <v>0</v>
      </c>
      <c r="AB71" s="59">
        <v>0</v>
      </c>
      <c r="AC71" s="59">
        <f t="shared" ref="AC71:AD71" si="43">+AC63+AC62+AC61+AC60+AC59+AC58</f>
        <v>0</v>
      </c>
      <c r="AD71" s="59">
        <f t="shared" si="43"/>
        <v>0</v>
      </c>
      <c r="AE71" s="59">
        <v>213097</v>
      </c>
      <c r="AF71" s="59">
        <f>+AF63+AF62+AF61+AF60+AF59+AF58</f>
        <v>599741</v>
      </c>
      <c r="AG71" s="59">
        <f>+AG63+AG62+AG61+AG60+AG59+AG58</f>
        <v>812838</v>
      </c>
    </row>
    <row r="72" spans="1:33" ht="11.25" customHeight="1">
      <c r="A72" s="7"/>
      <c r="B72" s="8"/>
      <c r="C72" s="8"/>
      <c r="D72" s="62"/>
      <c r="E72" s="62"/>
      <c r="F72" s="62"/>
      <c r="G72" s="31"/>
      <c r="H72" s="31"/>
      <c r="I72" s="32"/>
      <c r="J72" s="31"/>
      <c r="K72" s="31"/>
      <c r="L72" s="31"/>
      <c r="M72" s="31"/>
      <c r="N72" s="31"/>
      <c r="O72" s="31"/>
      <c r="P72" s="31"/>
      <c r="Q72" s="31"/>
      <c r="R72" s="32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2.9" hidden="1" customHeight="1">
      <c r="A73" s="12" t="s">
        <v>111</v>
      </c>
      <c r="B73" s="970" t="s">
        <v>110</v>
      </c>
      <c r="C73" s="970"/>
      <c r="D73" s="62"/>
      <c r="E73" s="62"/>
      <c r="F73" s="6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1:33" ht="12.9" hidden="1" customHeight="1">
      <c r="A74" s="3" t="s">
        <v>112</v>
      </c>
      <c r="B74" s="973" t="s">
        <v>163</v>
      </c>
      <c r="C74" s="973"/>
      <c r="D74" s="62"/>
      <c r="E74" s="62"/>
      <c r="F74" s="6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43" customFormat="1" ht="12.9" hidden="1" customHeight="1">
      <c r="A75" s="39" t="s">
        <v>112</v>
      </c>
      <c r="B75" s="42"/>
      <c r="C75" s="45" t="s">
        <v>113</v>
      </c>
      <c r="D75" s="62"/>
      <c r="E75" s="62"/>
      <c r="F75" s="62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</row>
    <row r="76" spans="1:33" ht="12.9" hidden="1" customHeight="1">
      <c r="A76" s="3" t="s">
        <v>115</v>
      </c>
      <c r="B76" s="973" t="s">
        <v>114</v>
      </c>
      <c r="C76" s="973"/>
      <c r="D76" s="62"/>
      <c r="E76" s="62"/>
      <c r="F76" s="6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12.9" hidden="1" customHeight="1">
      <c r="A77" s="3" t="s">
        <v>117</v>
      </c>
      <c r="B77" s="973" t="s">
        <v>116</v>
      </c>
      <c r="C77" s="973"/>
      <c r="D77" s="62"/>
      <c r="E77" s="62"/>
      <c r="F77" s="6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12.9" hidden="1" customHeight="1">
      <c r="A78" s="3" t="s">
        <v>119</v>
      </c>
      <c r="B78" s="973" t="s">
        <v>118</v>
      </c>
      <c r="C78" s="973"/>
      <c r="D78" s="62"/>
      <c r="E78" s="62"/>
      <c r="F78" s="6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12.9" hidden="1" customHeight="1">
      <c r="A79" s="3" t="s">
        <v>121</v>
      </c>
      <c r="B79" s="973" t="s">
        <v>120</v>
      </c>
      <c r="C79" s="973"/>
      <c r="D79" s="62"/>
      <c r="E79" s="62"/>
      <c r="F79" s="6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12.9" hidden="1" customHeight="1">
      <c r="A80" s="3" t="s">
        <v>123</v>
      </c>
      <c r="B80" s="973" t="s">
        <v>122</v>
      </c>
      <c r="C80" s="973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s="47" customFormat="1" ht="12.9" hidden="1" customHeight="1">
      <c r="A81" s="6" t="s">
        <v>124</v>
      </c>
      <c r="B81" s="969" t="s">
        <v>162</v>
      </c>
      <c r="C81" s="969"/>
      <c r="D81" s="62"/>
      <c r="E81" s="62"/>
      <c r="F81" s="6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1:33" ht="5.25" hidden="1" customHeight="1">
      <c r="A82" s="7"/>
      <c r="B82" s="8"/>
      <c r="C82" s="8"/>
      <c r="D82" s="62"/>
      <c r="E82" s="62"/>
      <c r="F82" s="62"/>
      <c r="G82" s="31"/>
      <c r="H82" s="31"/>
      <c r="I82" s="32"/>
      <c r="J82" s="31"/>
      <c r="K82" s="31"/>
      <c r="L82" s="31"/>
      <c r="M82" s="31"/>
      <c r="N82" s="31"/>
      <c r="O82" s="31"/>
      <c r="P82" s="31"/>
      <c r="Q82" s="31"/>
      <c r="R82" s="3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2.9" hidden="1" customHeight="1">
      <c r="A83" s="3" t="s">
        <v>126</v>
      </c>
      <c r="B83" s="973" t="s">
        <v>125</v>
      </c>
      <c r="C83" s="973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ht="12.9" hidden="1" customHeight="1">
      <c r="A84" s="3" t="s">
        <v>128</v>
      </c>
      <c r="B84" s="973" t="s">
        <v>127</v>
      </c>
      <c r="C84" s="973"/>
      <c r="D84" s="62"/>
      <c r="E84" s="62"/>
      <c r="F84" s="6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ht="12.9" hidden="1" customHeight="1">
      <c r="A85" s="3" t="s">
        <v>130</v>
      </c>
      <c r="B85" s="973" t="s">
        <v>129</v>
      </c>
      <c r="C85" s="973"/>
      <c r="D85" s="62"/>
      <c r="E85" s="62"/>
      <c r="F85" s="6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ht="12.9" hidden="1" customHeight="1">
      <c r="A86" s="3" t="s">
        <v>132</v>
      </c>
      <c r="B86" s="973" t="s">
        <v>131</v>
      </c>
      <c r="C86" s="973"/>
      <c r="D86" s="62"/>
      <c r="E86" s="62"/>
      <c r="F86" s="6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s="47" customFormat="1" ht="12.9" hidden="1" customHeight="1">
      <c r="A87" s="6" t="s">
        <v>133</v>
      </c>
      <c r="B87" s="969" t="s">
        <v>161</v>
      </c>
      <c r="C87" s="969"/>
      <c r="D87" s="62"/>
      <c r="E87" s="62"/>
      <c r="F87" s="62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1:33" ht="12.9" hidden="1" customHeight="1">
      <c r="A88" s="7"/>
      <c r="B88" s="8"/>
      <c r="C88" s="8"/>
      <c r="D88" s="62"/>
      <c r="E88" s="62"/>
      <c r="F88" s="62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2.9" hidden="1" customHeight="1">
      <c r="A89" s="186" t="s">
        <v>385</v>
      </c>
      <c r="B89" s="970" t="s">
        <v>386</v>
      </c>
      <c r="C89" s="970"/>
      <c r="D89" s="62"/>
      <c r="E89" s="62"/>
      <c r="F89" s="62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</row>
    <row r="90" spans="1:33" ht="12.9" hidden="1" customHeight="1">
      <c r="A90" s="186" t="s">
        <v>400</v>
      </c>
      <c r="B90" s="976" t="s">
        <v>401</v>
      </c>
      <c r="C90" s="977"/>
      <c r="D90" s="62"/>
      <c r="E90" s="62"/>
      <c r="F90" s="62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</row>
    <row r="91" spans="1:33" ht="12.9" hidden="1" customHeight="1">
      <c r="A91" s="12" t="s">
        <v>134</v>
      </c>
      <c r="B91" s="970" t="s">
        <v>160</v>
      </c>
      <c r="C91" s="970"/>
      <c r="D91" s="62"/>
      <c r="E91" s="62"/>
      <c r="F91" s="6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</row>
    <row r="92" spans="1:33" s="47" customFormat="1" ht="12.9" hidden="1" customHeight="1">
      <c r="A92" s="15" t="s">
        <v>135</v>
      </c>
      <c r="B92" s="974" t="s">
        <v>159</v>
      </c>
      <c r="C92" s="974"/>
      <c r="D92" s="62"/>
      <c r="E92" s="62"/>
      <c r="F92" s="6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1:33" ht="12.9" customHeight="1">
      <c r="A93" s="7"/>
      <c r="B93" s="16"/>
      <c r="C93" s="16"/>
      <c r="D93" s="62"/>
      <c r="E93" s="62"/>
      <c r="F93" s="62"/>
      <c r="G93" s="31"/>
      <c r="H93" s="31"/>
      <c r="I93" s="32"/>
      <c r="J93" s="31"/>
      <c r="K93" s="31"/>
      <c r="L93" s="31"/>
      <c r="M93" s="31"/>
      <c r="N93" s="31"/>
      <c r="O93" s="31"/>
      <c r="P93" s="31"/>
      <c r="Q93" s="31"/>
      <c r="R93" s="3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s="47" customFormat="1" ht="12.9" customHeight="1">
      <c r="A94" s="17" t="s">
        <v>136</v>
      </c>
      <c r="B94" s="984" t="s">
        <v>158</v>
      </c>
      <c r="C94" s="984"/>
      <c r="D94" s="62">
        <f t="shared" ref="D94" si="44">+G94+M94+P94+S94+V94+AE94+J94+Y94+AB94</f>
        <v>323323</v>
      </c>
      <c r="E94" s="62">
        <f t="shared" ref="E94" si="45">+H94+N94+Q94+T94+W94+AF94+K94+Z94+AC94</f>
        <v>594205</v>
      </c>
      <c r="F94" s="62">
        <f t="shared" ref="F94" si="46">+I94+O94+R94+U94+X94+AG94+L94+AA94+AD94</f>
        <v>907163</v>
      </c>
      <c r="G94" s="58">
        <v>26614</v>
      </c>
      <c r="H94" s="58">
        <f t="shared" ref="H94:AG94" si="47">+H92+H87+H81+H71+H56+H36+H10+H8</f>
        <v>967</v>
      </c>
      <c r="I94" s="58">
        <f t="shared" si="47"/>
        <v>17216</v>
      </c>
      <c r="J94" s="58">
        <f t="shared" si="47"/>
        <v>34529</v>
      </c>
      <c r="K94" s="58">
        <f t="shared" si="47"/>
        <v>450</v>
      </c>
      <c r="L94" s="58">
        <f t="shared" si="47"/>
        <v>34979</v>
      </c>
      <c r="M94" s="58">
        <f t="shared" si="47"/>
        <v>15745</v>
      </c>
      <c r="N94" s="58">
        <f t="shared" si="47"/>
        <v>-2625</v>
      </c>
      <c r="O94" s="58">
        <f t="shared" si="47"/>
        <v>13120</v>
      </c>
      <c r="P94" s="58">
        <f t="shared" si="47"/>
        <v>1757</v>
      </c>
      <c r="Q94" s="58">
        <f t="shared" si="47"/>
        <v>-286</v>
      </c>
      <c r="R94" s="58">
        <f t="shared" si="47"/>
        <v>1471</v>
      </c>
      <c r="S94" s="58">
        <f t="shared" si="47"/>
        <v>1111</v>
      </c>
      <c r="T94" s="58">
        <f t="shared" si="47"/>
        <v>119</v>
      </c>
      <c r="U94" s="58">
        <f t="shared" si="47"/>
        <v>1230</v>
      </c>
      <c r="V94" s="58">
        <f t="shared" si="47"/>
        <v>14189</v>
      </c>
      <c r="W94" s="58">
        <f t="shared" si="47"/>
        <v>-208</v>
      </c>
      <c r="X94" s="58">
        <f t="shared" si="47"/>
        <v>13981</v>
      </c>
      <c r="Y94" s="58">
        <f t="shared" si="47"/>
        <v>5767</v>
      </c>
      <c r="Z94" s="58">
        <f t="shared" si="47"/>
        <v>-1959</v>
      </c>
      <c r="AA94" s="58">
        <f t="shared" si="47"/>
        <v>3808</v>
      </c>
      <c r="AB94" s="58">
        <v>1248</v>
      </c>
      <c r="AC94" s="58">
        <f t="shared" ref="AC94:AD94" si="48">+AC92+AC87+AC81+AC71+AC56+AC36+AC10+AC8</f>
        <v>0</v>
      </c>
      <c r="AD94" s="58">
        <f t="shared" si="48"/>
        <v>1248</v>
      </c>
      <c r="AE94" s="58">
        <v>222363</v>
      </c>
      <c r="AF94" s="58">
        <f t="shared" si="47"/>
        <v>597747</v>
      </c>
      <c r="AG94" s="58">
        <f t="shared" si="47"/>
        <v>820110</v>
      </c>
    </row>
    <row r="95" spans="1:33" ht="12.9" customHeight="1">
      <c r="D95" s="62"/>
      <c r="E95" s="62"/>
      <c r="F95" s="62"/>
    </row>
    <row r="96" spans="1:33" ht="12.9" customHeight="1">
      <c r="A96" s="72" t="s">
        <v>265</v>
      </c>
      <c r="B96" s="1021" t="s">
        <v>264</v>
      </c>
      <c r="C96" s="1022"/>
      <c r="D96" s="62">
        <f t="shared" ref="D96:D104" si="49">+G96+M96+P96+S96+V96+AE96+J96+Y96+AB96</f>
        <v>6673</v>
      </c>
      <c r="E96" s="62">
        <f t="shared" ref="E96:E104" si="50">+H96+N96+Q96+T96+W96+AF96+K96+Z96+AC96</f>
        <v>-6673</v>
      </c>
      <c r="F96" s="62">
        <f t="shared" ref="F96:F104" si="51">+I96+O96+R96+U96+X96+AG96+L96+AA96+AD96</f>
        <v>0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>
        <v>6673</v>
      </c>
      <c r="AF96" s="20">
        <v>-6673</v>
      </c>
      <c r="AG96" s="20">
        <f>+AE96+AF96</f>
        <v>0</v>
      </c>
    </row>
    <row r="97" spans="1:33" ht="12.9" customHeight="1">
      <c r="A97" s="72" t="s">
        <v>378</v>
      </c>
      <c r="B97" s="1021" t="s">
        <v>381</v>
      </c>
      <c r="C97" s="1022"/>
      <c r="D97" s="62">
        <f t="shared" si="49"/>
        <v>0</v>
      </c>
      <c r="E97" s="62">
        <f t="shared" si="50"/>
        <v>0</v>
      </c>
      <c r="F97" s="62">
        <f t="shared" si="51"/>
        <v>0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>
        <f t="shared" ref="AG97:AG98" si="52">+AE97+AF97</f>
        <v>0</v>
      </c>
    </row>
    <row r="98" spans="1:33" ht="12.9" customHeight="1">
      <c r="A98" s="72" t="s">
        <v>379</v>
      </c>
      <c r="B98" s="1021" t="s">
        <v>380</v>
      </c>
      <c r="C98" s="1022"/>
      <c r="D98" s="62">
        <f t="shared" si="49"/>
        <v>0</v>
      </c>
      <c r="E98" s="62">
        <f t="shared" si="50"/>
        <v>6673</v>
      </c>
      <c r="F98" s="62">
        <f t="shared" si="51"/>
        <v>6673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>
        <v>6673</v>
      </c>
      <c r="AG98" s="20">
        <f t="shared" si="52"/>
        <v>6673</v>
      </c>
    </row>
    <row r="99" spans="1:33" s="47" customFormat="1" ht="12.9" customHeight="1">
      <c r="A99" s="71" t="s">
        <v>267</v>
      </c>
      <c r="B99" s="1020" t="s">
        <v>266</v>
      </c>
      <c r="C99" s="1020"/>
      <c r="D99" s="62">
        <f t="shared" si="49"/>
        <v>6673</v>
      </c>
      <c r="E99" s="62">
        <f t="shared" si="50"/>
        <v>0</v>
      </c>
      <c r="F99" s="62">
        <f t="shared" si="51"/>
        <v>6673</v>
      </c>
      <c r="G99" s="48"/>
      <c r="H99" s="48"/>
      <c r="I99" s="48"/>
      <c r="J99" s="48"/>
      <c r="K99" s="48"/>
      <c r="L99" s="48"/>
      <c r="M99" s="48"/>
      <c r="N99" s="48"/>
      <c r="O99" s="48"/>
      <c r="P99" s="48">
        <f t="shared" ref="P99:X99" si="53">SUM(P96:P98)</f>
        <v>0</v>
      </c>
      <c r="Q99" s="48">
        <f t="shared" si="53"/>
        <v>0</v>
      </c>
      <c r="R99" s="48">
        <f t="shared" si="53"/>
        <v>0</v>
      </c>
      <c r="S99" s="48">
        <f t="shared" si="53"/>
        <v>0</v>
      </c>
      <c r="T99" s="48">
        <f t="shared" si="53"/>
        <v>0</v>
      </c>
      <c r="U99" s="48">
        <f t="shared" si="53"/>
        <v>0</v>
      </c>
      <c r="V99" s="48">
        <f t="shared" si="53"/>
        <v>0</v>
      </c>
      <c r="W99" s="48">
        <f t="shared" si="53"/>
        <v>0</v>
      </c>
      <c r="X99" s="48">
        <f t="shared" si="53"/>
        <v>0</v>
      </c>
      <c r="Y99" s="48"/>
      <c r="Z99" s="48"/>
      <c r="AA99" s="48"/>
      <c r="AB99" s="48"/>
      <c r="AC99" s="48"/>
      <c r="AD99" s="48"/>
      <c r="AE99" s="48">
        <v>6673</v>
      </c>
      <c r="AF99" s="48">
        <f>SUM(AF96:AF98)</f>
        <v>0</v>
      </c>
      <c r="AG99" s="48">
        <f>SUM(AG96:AG98)</f>
        <v>6673</v>
      </c>
    </row>
    <row r="100" spans="1:33" s="47" customFormat="1" ht="12.9" customHeight="1">
      <c r="A100" s="71" t="s">
        <v>1015</v>
      </c>
      <c r="B100" s="1020" t="s">
        <v>1016</v>
      </c>
      <c r="C100" s="1020"/>
      <c r="D100" s="62"/>
      <c r="E100" s="62"/>
      <c r="F100" s="62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>
        <v>200000</v>
      </c>
      <c r="AG100" s="48">
        <v>200000</v>
      </c>
    </row>
    <row r="101" spans="1:33" s="47" customFormat="1" ht="12.9" customHeight="1">
      <c r="A101" s="71" t="s">
        <v>741</v>
      </c>
      <c r="B101" s="1020" t="s">
        <v>742</v>
      </c>
      <c r="C101" s="1020"/>
      <c r="D101" s="62">
        <f t="shared" si="49"/>
        <v>19584</v>
      </c>
      <c r="E101" s="62">
        <f t="shared" si="50"/>
        <v>0</v>
      </c>
      <c r="F101" s="62">
        <f t="shared" si="51"/>
        <v>19584</v>
      </c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62">
        <v>19584</v>
      </c>
      <c r="AF101" s="48"/>
      <c r="AG101" s="48">
        <f>+AE101+AF101</f>
        <v>19584</v>
      </c>
    </row>
    <row r="102" spans="1:33" s="47" customFormat="1" ht="12.9" customHeight="1">
      <c r="A102" s="71" t="s">
        <v>382</v>
      </c>
      <c r="B102" s="1018" t="s">
        <v>383</v>
      </c>
      <c r="C102" s="1019"/>
      <c r="D102" s="62">
        <f t="shared" si="49"/>
        <v>395365</v>
      </c>
      <c r="E102" s="62">
        <f t="shared" si="50"/>
        <v>-1710</v>
      </c>
      <c r="F102" s="62">
        <f t="shared" si="51"/>
        <v>393655</v>
      </c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62">
        <v>395365</v>
      </c>
      <c r="AF102" s="48">
        <v>-1710</v>
      </c>
      <c r="AG102" s="48">
        <f>+AE102+AF102</f>
        <v>393655</v>
      </c>
    </row>
    <row r="103" spans="1:33" s="47" customFormat="1" ht="12.9" customHeight="1">
      <c r="A103" s="71" t="s">
        <v>1013</v>
      </c>
      <c r="B103" s="1018" t="s">
        <v>1014</v>
      </c>
      <c r="C103" s="1019"/>
      <c r="D103" s="62">
        <f>+G103+J103+M103+P103+S103+V103+Y103+AB103+AE103</f>
        <v>0</v>
      </c>
      <c r="E103" s="62">
        <f>+H103+K103+N103+Q103+T103+W103+Z103+AC103+AF103</f>
        <v>140000</v>
      </c>
      <c r="F103" s="62">
        <f>+I103+L103+O103+R103+U103+X103+AA103+AD103+AG103</f>
        <v>140000</v>
      </c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62"/>
      <c r="AF103" s="48">
        <v>140000</v>
      </c>
      <c r="AG103" s="48">
        <v>140000</v>
      </c>
    </row>
    <row r="104" spans="1:33" s="47" customFormat="1" ht="12.9" customHeight="1">
      <c r="A104" s="71" t="s">
        <v>268</v>
      </c>
      <c r="B104" s="85" t="s">
        <v>274</v>
      </c>
      <c r="C104" s="97"/>
      <c r="D104" s="62">
        <f t="shared" si="49"/>
        <v>421622</v>
      </c>
      <c r="E104" s="62">
        <f t="shared" si="50"/>
        <v>338290</v>
      </c>
      <c r="F104" s="62">
        <f t="shared" si="51"/>
        <v>759912</v>
      </c>
      <c r="G104" s="48">
        <f>+G103+G102+G101+G99</f>
        <v>0</v>
      </c>
      <c r="H104" s="48">
        <f t="shared" ref="H104:AD104" si="54">+H103+H102+H101+H99</f>
        <v>0</v>
      </c>
      <c r="I104" s="48">
        <f t="shared" si="54"/>
        <v>0</v>
      </c>
      <c r="J104" s="48">
        <f t="shared" si="54"/>
        <v>0</v>
      </c>
      <c r="K104" s="48">
        <f t="shared" si="54"/>
        <v>0</v>
      </c>
      <c r="L104" s="48">
        <f t="shared" si="54"/>
        <v>0</v>
      </c>
      <c r="M104" s="48">
        <f t="shared" si="54"/>
        <v>0</v>
      </c>
      <c r="N104" s="48">
        <f t="shared" si="54"/>
        <v>0</v>
      </c>
      <c r="O104" s="48">
        <f t="shared" si="54"/>
        <v>0</v>
      </c>
      <c r="P104" s="48">
        <f t="shared" si="54"/>
        <v>0</v>
      </c>
      <c r="Q104" s="48">
        <f t="shared" si="54"/>
        <v>0</v>
      </c>
      <c r="R104" s="48">
        <f t="shared" si="54"/>
        <v>0</v>
      </c>
      <c r="S104" s="48">
        <f t="shared" si="54"/>
        <v>0</v>
      </c>
      <c r="T104" s="48">
        <f t="shared" si="54"/>
        <v>0</v>
      </c>
      <c r="U104" s="48">
        <f t="shared" si="54"/>
        <v>0</v>
      </c>
      <c r="V104" s="48">
        <f t="shared" si="54"/>
        <v>0</v>
      </c>
      <c r="W104" s="48">
        <f t="shared" si="54"/>
        <v>0</v>
      </c>
      <c r="X104" s="48">
        <f t="shared" si="54"/>
        <v>0</v>
      </c>
      <c r="Y104" s="48">
        <f t="shared" si="54"/>
        <v>0</v>
      </c>
      <c r="Z104" s="48">
        <f t="shared" si="54"/>
        <v>0</v>
      </c>
      <c r="AA104" s="48">
        <f t="shared" si="54"/>
        <v>0</v>
      </c>
      <c r="AB104" s="48">
        <f t="shared" si="54"/>
        <v>0</v>
      </c>
      <c r="AC104" s="48">
        <f t="shared" si="54"/>
        <v>0</v>
      </c>
      <c r="AD104" s="48">
        <f t="shared" si="54"/>
        <v>0</v>
      </c>
      <c r="AE104" s="62">
        <f>+AE103+AE102+AE101+AE99+AE100</f>
        <v>421622</v>
      </c>
      <c r="AF104" s="62">
        <f t="shared" ref="AF104:AG104" si="55">+AF103+AF102+AF101+AF99+AF100</f>
        <v>338290</v>
      </c>
      <c r="AG104" s="62">
        <f t="shared" si="55"/>
        <v>759912</v>
      </c>
    </row>
  </sheetData>
  <mergeCells count="95"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AB4:AD4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96:C96"/>
    <mergeCell ref="B22:C22"/>
    <mergeCell ref="B90:C90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85:C85"/>
    <mergeCell ref="B86:C86"/>
    <mergeCell ref="B42:C42"/>
    <mergeCell ref="B45:C45"/>
    <mergeCell ref="B47:C47"/>
    <mergeCell ref="B49:C49"/>
    <mergeCell ref="B23:C23"/>
    <mergeCell ref="B76:C76"/>
    <mergeCell ref="B61:C61"/>
    <mergeCell ref="B62:C62"/>
    <mergeCell ref="B63:C63"/>
    <mergeCell ref="B71:C71"/>
    <mergeCell ref="B73:C73"/>
    <mergeCell ref="B74:C74"/>
    <mergeCell ref="B58:C58"/>
    <mergeCell ref="B29:C29"/>
    <mergeCell ref="B30:C30"/>
    <mergeCell ref="B31:C31"/>
    <mergeCell ref="B32:C32"/>
    <mergeCell ref="B41:C41"/>
    <mergeCell ref="B38:C38"/>
    <mergeCell ref="B28:C28"/>
    <mergeCell ref="B89:C89"/>
    <mergeCell ref="B94:C94"/>
    <mergeCell ref="B99:C99"/>
    <mergeCell ref="B101:C101"/>
    <mergeCell ref="B26:C26"/>
    <mergeCell ref="B33:C33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103:C103"/>
    <mergeCell ref="B100:C100"/>
    <mergeCell ref="B97:C97"/>
    <mergeCell ref="B98:C98"/>
    <mergeCell ref="B102:C102"/>
  </mergeCells>
  <printOptions horizontalCentered="1"/>
  <pageMargins left="0.39370078740157483" right="0.31496062992125984" top="0.74803149606299213" bottom="0.15748031496062992" header="0.31496062992125984" footer="0.31496062992125984"/>
  <pageSetup paperSize="8" scale="95" fitToWidth="2" orientation="landscape" r:id="rId1"/>
  <headerFooter>
    <oddHeader>&amp;C&amp;"Times New Roman,Félkövér"&amp;14Martonvásár Város Önkormányzatának kiadásai 2016.
Egyéb tevékenység&amp;R&amp;"-,Félkövér"&amp;12 5.g melléklet&amp;"-,Normál"&amp;11
Adatok E FT-ban</oddHeader>
  </headerFooter>
  <colBreaks count="1" manualBreakCount="1">
    <brk id="24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2"/>
  <sheetViews>
    <sheetView workbookViewId="0">
      <pane xSplit="3" ySplit="3" topLeftCell="D4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H30" sqref="H30"/>
    </sheetView>
  </sheetViews>
  <sheetFormatPr defaultColWidth="9.109375" defaultRowHeight="13.2"/>
  <cols>
    <col min="1" max="1" width="7.44140625" style="749" customWidth="1"/>
    <col min="2" max="2" width="9.44140625" style="78" customWidth="1"/>
    <col min="3" max="3" width="32.33203125" style="78" customWidth="1"/>
    <col min="4" max="4" width="9.44140625" style="19" customWidth="1"/>
    <col min="5" max="5" width="7.5546875" style="19" customWidth="1"/>
    <col min="6" max="6" width="7.44140625" style="19" customWidth="1"/>
    <col min="7" max="7" width="9.44140625" style="19" customWidth="1"/>
    <col min="8" max="8" width="6.33203125" style="19" customWidth="1"/>
    <col min="9" max="9" width="7.33203125" style="19" customWidth="1"/>
    <col min="10" max="10" width="8.88671875" style="19" customWidth="1"/>
    <col min="11" max="11" width="6.5546875" style="19" customWidth="1"/>
    <col min="12" max="12" width="7.33203125" style="19" customWidth="1"/>
    <col min="13" max="13" width="8.88671875" style="19" bestFit="1" customWidth="1"/>
    <col min="14" max="15" width="7" style="19" customWidth="1"/>
    <col min="16" max="16384" width="9.109375" style="19"/>
  </cols>
  <sheetData>
    <row r="1" spans="1:27" s="1" customFormat="1" ht="3.75" customHeight="1">
      <c r="A1" s="749"/>
      <c r="B1" s="28"/>
      <c r="C1" s="28"/>
      <c r="M1" s="990" t="s">
        <v>399</v>
      </c>
      <c r="N1" s="990"/>
      <c r="O1" s="990"/>
      <c r="Z1" s="78"/>
      <c r="AA1" s="78"/>
    </row>
    <row r="2" spans="1:27" ht="29.4" customHeight="1">
      <c r="A2" s="971" t="s">
        <v>0</v>
      </c>
      <c r="B2" s="1045" t="s">
        <v>279</v>
      </c>
      <c r="C2" s="1068"/>
      <c r="D2" s="1036" t="s">
        <v>296</v>
      </c>
      <c r="E2" s="1036"/>
      <c r="F2" s="1036"/>
      <c r="G2" s="1036" t="s">
        <v>288</v>
      </c>
      <c r="H2" s="1036"/>
      <c r="I2" s="1036"/>
      <c r="J2" s="1036" t="s">
        <v>289</v>
      </c>
      <c r="K2" s="1036"/>
      <c r="L2" s="1036"/>
      <c r="M2" s="1036" t="s">
        <v>737</v>
      </c>
      <c r="N2" s="1036"/>
      <c r="O2" s="1036"/>
    </row>
    <row r="3" spans="1:27" ht="26.4" customHeight="1">
      <c r="A3" s="971"/>
      <c r="B3" s="1047"/>
      <c r="C3" s="1069"/>
      <c r="D3" s="828" t="s">
        <v>870</v>
      </c>
      <c r="E3" s="828" t="s">
        <v>732</v>
      </c>
      <c r="F3" s="828" t="s">
        <v>947</v>
      </c>
      <c r="G3" s="828" t="s">
        <v>870</v>
      </c>
      <c r="H3" s="828" t="s">
        <v>732</v>
      </c>
      <c r="I3" s="828" t="s">
        <v>947</v>
      </c>
      <c r="J3" s="828" t="s">
        <v>870</v>
      </c>
      <c r="K3" s="828" t="s">
        <v>732</v>
      </c>
      <c r="L3" s="828" t="s">
        <v>947</v>
      </c>
      <c r="M3" s="828" t="s">
        <v>870</v>
      </c>
      <c r="N3" s="828" t="s">
        <v>732</v>
      </c>
      <c r="O3" s="828" t="s">
        <v>947</v>
      </c>
    </row>
    <row r="4" spans="1:27">
      <c r="A4" s="80" t="s">
        <v>203</v>
      </c>
      <c r="B4" s="1054" t="s">
        <v>202</v>
      </c>
      <c r="C4" s="1058"/>
      <c r="D4" s="568">
        <f>+G4+J4+M4</f>
        <v>3000</v>
      </c>
      <c r="E4" s="568">
        <f t="shared" ref="E4:F19" si="0">+H4+K4+N4</f>
        <v>898</v>
      </c>
      <c r="F4" s="568">
        <f t="shared" si="0"/>
        <v>3898</v>
      </c>
      <c r="G4" s="112">
        <f>SUM(G5:G14)</f>
        <v>0</v>
      </c>
      <c r="H4" s="112">
        <f t="shared" ref="H4:I4" si="1">SUM(H5:H14)</f>
        <v>898</v>
      </c>
      <c r="I4" s="112">
        <f t="shared" si="1"/>
        <v>898</v>
      </c>
      <c r="J4" s="112">
        <f>SUM(J5:J14)</f>
        <v>0</v>
      </c>
      <c r="K4" s="112"/>
      <c r="L4" s="112"/>
      <c r="M4" s="112">
        <f>SUM(M5:M14)</f>
        <v>3000</v>
      </c>
      <c r="N4" s="112">
        <f t="shared" ref="N4:O4" si="2">SUM(N5:N14)</f>
        <v>0</v>
      </c>
      <c r="O4" s="112">
        <f t="shared" si="2"/>
        <v>3000</v>
      </c>
    </row>
    <row r="5" spans="1:27" s="43" customFormat="1">
      <c r="A5" s="111"/>
      <c r="B5" s="1052" t="s">
        <v>328</v>
      </c>
      <c r="C5" s="1053"/>
      <c r="D5" s="568">
        <f t="shared" ref="D5:F27" si="3">+G5+J5+M5</f>
        <v>3000</v>
      </c>
      <c r="E5" s="568">
        <f t="shared" si="0"/>
        <v>898</v>
      </c>
      <c r="F5" s="568">
        <f t="shared" si="0"/>
        <v>3898</v>
      </c>
      <c r="G5" s="113"/>
      <c r="H5" s="113">
        <v>898</v>
      </c>
      <c r="I5" s="113">
        <f>+G5+H5</f>
        <v>898</v>
      </c>
      <c r="J5" s="113"/>
      <c r="K5" s="113"/>
      <c r="L5" s="113"/>
      <c r="M5" s="113">
        <v>3000</v>
      </c>
      <c r="N5" s="113"/>
      <c r="O5" s="110">
        <f>SUM(M5:N5)</f>
        <v>3000</v>
      </c>
    </row>
    <row r="6" spans="1:27" s="43" customFormat="1">
      <c r="A6" s="111"/>
      <c r="B6" s="1052" t="s">
        <v>318</v>
      </c>
      <c r="C6" s="1053"/>
      <c r="D6" s="568">
        <f t="shared" si="3"/>
        <v>0</v>
      </c>
      <c r="E6" s="568">
        <f t="shared" si="0"/>
        <v>0</v>
      </c>
      <c r="F6" s="568">
        <f t="shared" si="0"/>
        <v>0</v>
      </c>
      <c r="G6" s="113"/>
      <c r="H6" s="113"/>
      <c r="I6" s="113"/>
      <c r="J6" s="113"/>
      <c r="K6" s="113"/>
      <c r="L6" s="113"/>
      <c r="M6" s="113"/>
      <c r="N6" s="113"/>
      <c r="O6" s="110"/>
    </row>
    <row r="7" spans="1:27" s="43" customFormat="1">
      <c r="A7" s="111"/>
      <c r="B7" s="1052" t="s">
        <v>319</v>
      </c>
      <c r="C7" s="1053"/>
      <c r="D7" s="568">
        <f t="shared" si="3"/>
        <v>0</v>
      </c>
      <c r="E7" s="568">
        <f t="shared" si="0"/>
        <v>0</v>
      </c>
      <c r="F7" s="568">
        <f t="shared" si="0"/>
        <v>0</v>
      </c>
      <c r="G7" s="113"/>
      <c r="H7" s="113"/>
      <c r="I7" s="113"/>
      <c r="J7" s="113"/>
      <c r="K7" s="113"/>
      <c r="L7" s="113"/>
      <c r="M7" s="113"/>
      <c r="N7" s="113"/>
      <c r="O7" s="110"/>
    </row>
    <row r="8" spans="1:27" s="43" customFormat="1">
      <c r="A8" s="111"/>
      <c r="B8" s="1052" t="s">
        <v>320</v>
      </c>
      <c r="C8" s="1053"/>
      <c r="D8" s="568">
        <f t="shared" si="3"/>
        <v>0</v>
      </c>
      <c r="E8" s="568">
        <f t="shared" si="0"/>
        <v>0</v>
      </c>
      <c r="F8" s="568">
        <f t="shared" si="0"/>
        <v>0</v>
      </c>
      <c r="G8" s="113"/>
      <c r="H8" s="113"/>
      <c r="I8" s="113"/>
      <c r="J8" s="113"/>
      <c r="K8" s="113"/>
      <c r="L8" s="113"/>
      <c r="M8" s="113"/>
      <c r="N8" s="113"/>
      <c r="O8" s="110"/>
    </row>
    <row r="9" spans="1:27" s="43" customFormat="1">
      <c r="A9" s="111"/>
      <c r="B9" s="1052" t="s">
        <v>321</v>
      </c>
      <c r="C9" s="1053"/>
      <c r="D9" s="568">
        <f t="shared" si="3"/>
        <v>0</v>
      </c>
      <c r="E9" s="568">
        <f t="shared" si="0"/>
        <v>0</v>
      </c>
      <c r="F9" s="568">
        <f t="shared" si="0"/>
        <v>0</v>
      </c>
      <c r="G9" s="113"/>
      <c r="H9" s="113"/>
      <c r="I9" s="113"/>
      <c r="J9" s="113"/>
      <c r="K9" s="113"/>
      <c r="L9" s="113"/>
      <c r="M9" s="113"/>
      <c r="N9" s="113"/>
      <c r="O9" s="110"/>
    </row>
    <row r="10" spans="1:27" s="43" customFormat="1">
      <c r="A10" s="111"/>
      <c r="B10" s="1052" t="s">
        <v>322</v>
      </c>
      <c r="C10" s="1053"/>
      <c r="D10" s="568">
        <f t="shared" si="3"/>
        <v>0</v>
      </c>
      <c r="E10" s="568">
        <f t="shared" si="0"/>
        <v>0</v>
      </c>
      <c r="F10" s="568">
        <f t="shared" si="0"/>
        <v>0</v>
      </c>
      <c r="G10" s="113"/>
      <c r="H10" s="113"/>
      <c r="I10" s="113"/>
      <c r="J10" s="113"/>
      <c r="K10" s="113"/>
      <c r="L10" s="113"/>
      <c r="M10" s="113"/>
      <c r="N10" s="113"/>
      <c r="O10" s="110"/>
    </row>
    <row r="11" spans="1:27" s="43" customFormat="1">
      <c r="A11" s="111"/>
      <c r="B11" s="1052" t="s">
        <v>100</v>
      </c>
      <c r="C11" s="1053"/>
      <c r="D11" s="568">
        <f t="shared" si="3"/>
        <v>0</v>
      </c>
      <c r="E11" s="568">
        <f t="shared" si="0"/>
        <v>0</v>
      </c>
      <c r="F11" s="568">
        <f t="shared" si="0"/>
        <v>0</v>
      </c>
      <c r="G11" s="113"/>
      <c r="H11" s="113"/>
      <c r="I11" s="113"/>
      <c r="J11" s="113"/>
      <c r="K11" s="113"/>
      <c r="L11" s="113"/>
      <c r="M11" s="113"/>
      <c r="N11" s="113"/>
      <c r="O11" s="110"/>
    </row>
    <row r="12" spans="1:27" s="43" customFormat="1">
      <c r="A12" s="111"/>
      <c r="B12" s="1052" t="s">
        <v>101</v>
      </c>
      <c r="C12" s="1053"/>
      <c r="D12" s="568">
        <f t="shared" si="3"/>
        <v>0</v>
      </c>
      <c r="E12" s="568">
        <f t="shared" si="0"/>
        <v>0</v>
      </c>
      <c r="F12" s="568">
        <f t="shared" si="0"/>
        <v>0</v>
      </c>
      <c r="G12" s="113"/>
      <c r="H12" s="113"/>
      <c r="I12" s="113"/>
      <c r="J12" s="113"/>
      <c r="K12" s="113"/>
      <c r="L12" s="113"/>
      <c r="M12" s="113"/>
      <c r="N12" s="113"/>
      <c r="O12" s="110"/>
    </row>
    <row r="13" spans="1:27" s="43" customFormat="1">
      <c r="A13" s="111"/>
      <c r="B13" s="1052" t="s">
        <v>323</v>
      </c>
      <c r="C13" s="1053"/>
      <c r="D13" s="568">
        <f t="shared" si="3"/>
        <v>0</v>
      </c>
      <c r="E13" s="568">
        <f t="shared" si="0"/>
        <v>0</v>
      </c>
      <c r="F13" s="568">
        <f t="shared" si="0"/>
        <v>0</v>
      </c>
      <c r="G13" s="113"/>
      <c r="H13" s="113"/>
      <c r="I13" s="113"/>
      <c r="J13" s="113"/>
      <c r="K13" s="113"/>
      <c r="L13" s="113"/>
      <c r="M13" s="113"/>
      <c r="N13" s="113"/>
      <c r="O13" s="110"/>
    </row>
    <row r="14" spans="1:27" s="43" customFormat="1">
      <c r="A14" s="111"/>
      <c r="B14" s="1052" t="s">
        <v>324</v>
      </c>
      <c r="C14" s="1053"/>
      <c r="D14" s="568">
        <f t="shared" si="3"/>
        <v>0</v>
      </c>
      <c r="E14" s="568">
        <f t="shared" si="0"/>
        <v>0</v>
      </c>
      <c r="F14" s="568">
        <f t="shared" si="0"/>
        <v>0</v>
      </c>
      <c r="G14" s="113"/>
      <c r="H14" s="113"/>
      <c r="I14" s="113"/>
      <c r="J14" s="113"/>
      <c r="K14" s="113"/>
      <c r="L14" s="113"/>
      <c r="M14" s="113"/>
      <c r="N14" s="113"/>
      <c r="O14" s="110"/>
    </row>
    <row r="15" spans="1:27" s="47" customFormat="1">
      <c r="A15" s="81" t="s">
        <v>204</v>
      </c>
      <c r="B15" s="1056" t="s">
        <v>416</v>
      </c>
      <c r="C15" s="1057"/>
      <c r="D15" s="227">
        <f t="shared" si="3"/>
        <v>3000</v>
      </c>
      <c r="E15" s="227">
        <f t="shared" si="0"/>
        <v>898</v>
      </c>
      <c r="F15" s="227">
        <f t="shared" si="0"/>
        <v>3898</v>
      </c>
      <c r="G15" s="114">
        <f>+G4</f>
        <v>0</v>
      </c>
      <c r="H15" s="114">
        <f t="shared" ref="H15:I15" si="4">+H4</f>
        <v>898</v>
      </c>
      <c r="I15" s="114">
        <f t="shared" si="4"/>
        <v>898</v>
      </c>
      <c r="J15" s="114">
        <f>+J4</f>
        <v>0</v>
      </c>
      <c r="K15" s="114"/>
      <c r="L15" s="114"/>
      <c r="M15" s="114">
        <f>+M4</f>
        <v>3000</v>
      </c>
      <c r="N15" s="114">
        <f t="shared" ref="N15:O15" si="5">+N4</f>
        <v>0</v>
      </c>
      <c r="O15" s="114">
        <f t="shared" si="5"/>
        <v>3000</v>
      </c>
    </row>
    <row r="16" spans="1:27">
      <c r="A16" s="80" t="s">
        <v>206</v>
      </c>
      <c r="B16" s="1054" t="s">
        <v>205</v>
      </c>
      <c r="C16" s="1058"/>
      <c r="D16" s="568">
        <f t="shared" si="3"/>
        <v>0</v>
      </c>
      <c r="E16" s="568">
        <f t="shared" si="0"/>
        <v>0</v>
      </c>
      <c r="F16" s="568">
        <f t="shared" si="0"/>
        <v>0</v>
      </c>
      <c r="G16" s="112"/>
      <c r="H16" s="112"/>
      <c r="I16" s="112"/>
      <c r="J16" s="112">
        <f>+J19</f>
        <v>0</v>
      </c>
      <c r="K16" s="112"/>
      <c r="L16" s="112"/>
      <c r="M16" s="112">
        <f>+M19</f>
        <v>0</v>
      </c>
      <c r="N16" s="112"/>
      <c r="O16" s="75"/>
    </row>
    <row r="17" spans="1:15" s="43" customFormat="1" ht="12.75" customHeight="1">
      <c r="A17" s="111"/>
      <c r="B17" s="1052" t="s">
        <v>328</v>
      </c>
      <c r="C17" s="1053"/>
      <c r="D17" s="568">
        <f t="shared" si="3"/>
        <v>0</v>
      </c>
      <c r="E17" s="568">
        <f t="shared" si="0"/>
        <v>0</v>
      </c>
      <c r="F17" s="568">
        <f t="shared" si="0"/>
        <v>0</v>
      </c>
      <c r="G17" s="113"/>
      <c r="H17" s="113"/>
      <c r="I17" s="113"/>
      <c r="J17" s="113"/>
      <c r="K17" s="113"/>
      <c r="L17" s="113"/>
      <c r="M17" s="113"/>
      <c r="N17" s="113"/>
      <c r="O17" s="110"/>
    </row>
    <row r="18" spans="1:15" s="43" customFormat="1" ht="12.75" customHeight="1">
      <c r="A18" s="111"/>
      <c r="B18" s="1052" t="s">
        <v>318</v>
      </c>
      <c r="C18" s="1053"/>
      <c r="D18" s="568">
        <f t="shared" si="3"/>
        <v>0</v>
      </c>
      <c r="E18" s="568">
        <f t="shared" si="0"/>
        <v>0</v>
      </c>
      <c r="F18" s="568">
        <f t="shared" si="0"/>
        <v>0</v>
      </c>
      <c r="G18" s="113"/>
      <c r="H18" s="113"/>
      <c r="I18" s="113"/>
      <c r="J18" s="113"/>
      <c r="K18" s="113"/>
      <c r="L18" s="113"/>
      <c r="M18" s="113"/>
      <c r="N18" s="113"/>
      <c r="O18" s="110"/>
    </row>
    <row r="19" spans="1:15" s="43" customFormat="1" ht="12.75" customHeight="1">
      <c r="A19" s="111"/>
      <c r="B19" s="1052" t="s">
        <v>319</v>
      </c>
      <c r="C19" s="1053"/>
      <c r="D19" s="568">
        <f t="shared" si="3"/>
        <v>0</v>
      </c>
      <c r="E19" s="568">
        <f t="shared" si="0"/>
        <v>0</v>
      </c>
      <c r="F19" s="568">
        <f t="shared" si="0"/>
        <v>0</v>
      </c>
      <c r="G19" s="113"/>
      <c r="H19" s="113"/>
      <c r="I19" s="113"/>
      <c r="J19" s="113"/>
      <c r="K19" s="113"/>
      <c r="L19" s="113"/>
      <c r="M19" s="113"/>
      <c r="N19" s="113"/>
      <c r="O19" s="110"/>
    </row>
    <row r="20" spans="1:15" s="43" customFormat="1" ht="12.75" customHeight="1">
      <c r="A20" s="111"/>
      <c r="B20" s="1052" t="s">
        <v>320</v>
      </c>
      <c r="C20" s="1053"/>
      <c r="D20" s="568">
        <f t="shared" si="3"/>
        <v>0</v>
      </c>
      <c r="E20" s="568">
        <f t="shared" si="3"/>
        <v>0</v>
      </c>
      <c r="F20" s="568">
        <f t="shared" si="3"/>
        <v>0</v>
      </c>
      <c r="G20" s="113"/>
      <c r="H20" s="113"/>
      <c r="I20" s="113"/>
      <c r="J20" s="113"/>
      <c r="K20" s="113"/>
      <c r="L20" s="113"/>
      <c r="M20" s="113"/>
      <c r="N20" s="113"/>
      <c r="O20" s="110"/>
    </row>
    <row r="21" spans="1:15" s="43" customFormat="1" ht="12.75" customHeight="1">
      <c r="A21" s="111"/>
      <c r="B21" s="1052" t="s">
        <v>321</v>
      </c>
      <c r="C21" s="1053"/>
      <c r="D21" s="568">
        <f t="shared" si="3"/>
        <v>0</v>
      </c>
      <c r="E21" s="568">
        <f t="shared" si="3"/>
        <v>0</v>
      </c>
      <c r="F21" s="568">
        <f t="shared" si="3"/>
        <v>0</v>
      </c>
      <c r="G21" s="113"/>
      <c r="H21" s="113"/>
      <c r="I21" s="113"/>
      <c r="J21" s="113"/>
      <c r="K21" s="113"/>
      <c r="L21" s="113"/>
      <c r="M21" s="113"/>
      <c r="N21" s="113"/>
      <c r="O21" s="110"/>
    </row>
    <row r="22" spans="1:15" s="43" customFormat="1" ht="12.75" customHeight="1">
      <c r="A22" s="111"/>
      <c r="B22" s="1052" t="s">
        <v>322</v>
      </c>
      <c r="C22" s="1053"/>
      <c r="D22" s="568">
        <f t="shared" si="3"/>
        <v>0</v>
      </c>
      <c r="E22" s="568">
        <f t="shared" si="3"/>
        <v>0</v>
      </c>
      <c r="F22" s="568">
        <f t="shared" si="3"/>
        <v>0</v>
      </c>
      <c r="G22" s="113"/>
      <c r="H22" s="113"/>
      <c r="I22" s="113"/>
      <c r="J22" s="113"/>
      <c r="K22" s="113"/>
      <c r="L22" s="113"/>
      <c r="M22" s="113"/>
      <c r="N22" s="113"/>
      <c r="O22" s="110"/>
    </row>
    <row r="23" spans="1:15" s="43" customFormat="1" ht="12.75" customHeight="1">
      <c r="A23" s="111"/>
      <c r="B23" s="1052" t="s">
        <v>100</v>
      </c>
      <c r="C23" s="1053"/>
      <c r="D23" s="568">
        <f t="shared" si="3"/>
        <v>0</v>
      </c>
      <c r="E23" s="568">
        <f t="shared" si="3"/>
        <v>0</v>
      </c>
      <c r="F23" s="568">
        <f t="shared" si="3"/>
        <v>0</v>
      </c>
      <c r="G23" s="113"/>
      <c r="H23" s="113"/>
      <c r="I23" s="113"/>
      <c r="J23" s="113"/>
      <c r="K23" s="113"/>
      <c r="L23" s="113"/>
      <c r="M23" s="113"/>
      <c r="N23" s="113"/>
      <c r="O23" s="110"/>
    </row>
    <row r="24" spans="1:15" s="43" customFormat="1" ht="12.75" customHeight="1">
      <c r="A24" s="111"/>
      <c r="B24" s="1052" t="s">
        <v>101</v>
      </c>
      <c r="C24" s="1053"/>
      <c r="D24" s="568">
        <f t="shared" si="3"/>
        <v>0</v>
      </c>
      <c r="E24" s="568">
        <f t="shared" si="3"/>
        <v>0</v>
      </c>
      <c r="F24" s="568">
        <f t="shared" si="3"/>
        <v>0</v>
      </c>
      <c r="G24" s="113"/>
      <c r="H24" s="113"/>
      <c r="I24" s="113"/>
      <c r="J24" s="113"/>
      <c r="K24" s="113"/>
      <c r="L24" s="113"/>
      <c r="M24" s="113"/>
      <c r="N24" s="113"/>
      <c r="O24" s="110"/>
    </row>
    <row r="25" spans="1:15" s="43" customFormat="1" ht="12.75" customHeight="1">
      <c r="A25" s="111"/>
      <c r="B25" s="1052" t="s">
        <v>323</v>
      </c>
      <c r="C25" s="1053"/>
      <c r="D25" s="568">
        <f t="shared" si="3"/>
        <v>0</v>
      </c>
      <c r="E25" s="568">
        <f t="shared" si="3"/>
        <v>0</v>
      </c>
      <c r="F25" s="568">
        <f t="shared" si="3"/>
        <v>0</v>
      </c>
      <c r="G25" s="113"/>
      <c r="H25" s="113"/>
      <c r="I25" s="113"/>
      <c r="J25" s="113"/>
      <c r="K25" s="113"/>
      <c r="L25" s="113"/>
      <c r="M25" s="113"/>
      <c r="N25" s="113"/>
      <c r="O25" s="110"/>
    </row>
    <row r="26" spans="1:15" s="43" customFormat="1" ht="12.75" customHeight="1">
      <c r="A26" s="111"/>
      <c r="B26" s="1052" t="s">
        <v>324</v>
      </c>
      <c r="C26" s="1053"/>
      <c r="D26" s="568">
        <f t="shared" si="3"/>
        <v>0</v>
      </c>
      <c r="E26" s="568">
        <f t="shared" si="3"/>
        <v>0</v>
      </c>
      <c r="F26" s="568">
        <f t="shared" si="3"/>
        <v>0</v>
      </c>
      <c r="G26" s="113"/>
      <c r="H26" s="113"/>
      <c r="I26" s="113"/>
      <c r="J26" s="113"/>
      <c r="K26" s="113"/>
      <c r="L26" s="113"/>
      <c r="M26" s="113"/>
      <c r="N26" s="113"/>
      <c r="O26" s="110"/>
    </row>
    <row r="27" spans="1:15" s="47" customFormat="1" ht="13.2" customHeight="1">
      <c r="A27" s="81" t="s">
        <v>207</v>
      </c>
      <c r="B27" s="1056" t="s">
        <v>326</v>
      </c>
      <c r="C27" s="1057"/>
      <c r="D27" s="227">
        <f t="shared" si="3"/>
        <v>0</v>
      </c>
      <c r="E27" s="227">
        <f t="shared" si="3"/>
        <v>0</v>
      </c>
      <c r="F27" s="227">
        <f t="shared" si="3"/>
        <v>0</v>
      </c>
      <c r="G27" s="114"/>
      <c r="H27" s="114"/>
      <c r="I27" s="114"/>
      <c r="J27" s="114">
        <f>+J16</f>
        <v>0</v>
      </c>
      <c r="K27" s="114"/>
      <c r="L27" s="114"/>
      <c r="M27" s="114">
        <f>+M16</f>
        <v>0</v>
      </c>
      <c r="N27" s="114"/>
      <c r="O27" s="746"/>
    </row>
    <row r="28" spans="1:15" s="47" customFormat="1" ht="15" customHeight="1">
      <c r="A28" s="81" t="s">
        <v>232</v>
      </c>
      <c r="B28" s="1018" t="s">
        <v>389</v>
      </c>
      <c r="C28" s="1019"/>
      <c r="D28" s="227">
        <f>+G28+J28+M28</f>
        <v>0</v>
      </c>
      <c r="E28" s="227">
        <f t="shared" ref="E28:F35" si="6">+H28+K28+N28</f>
        <v>0</v>
      </c>
      <c r="F28" s="227">
        <f t="shared" si="6"/>
        <v>0</v>
      </c>
      <c r="G28" s="114"/>
      <c r="H28" s="114"/>
      <c r="I28" s="114"/>
      <c r="J28" s="114"/>
      <c r="K28" s="114"/>
      <c r="L28" s="114"/>
      <c r="M28" s="114"/>
      <c r="N28" s="114"/>
      <c r="O28" s="746"/>
    </row>
    <row r="29" spans="1:15" ht="13.2" customHeight="1">
      <c r="A29" s="80" t="s">
        <v>236</v>
      </c>
      <c r="B29" s="1054" t="s">
        <v>235</v>
      </c>
      <c r="C29" s="1058"/>
      <c r="D29" s="64">
        <f>+G29+J29+M29</f>
        <v>3783</v>
      </c>
      <c r="E29" s="64">
        <f t="shared" si="6"/>
        <v>5329</v>
      </c>
      <c r="F29" s="64">
        <f>+I29+L29+O29</f>
        <v>9112</v>
      </c>
      <c r="G29" s="64">
        <v>658</v>
      </c>
      <c r="H29" s="64">
        <v>87</v>
      </c>
      <c r="I29" s="30">
        <f>+G29+H29</f>
        <v>745</v>
      </c>
      <c r="J29" s="64">
        <v>172</v>
      </c>
      <c r="K29" s="64"/>
      <c r="L29" s="30">
        <f>SUM(J29:K29)</f>
        <v>172</v>
      </c>
      <c r="M29" s="64">
        <v>2953</v>
      </c>
      <c r="N29" s="64">
        <f>32+5210</f>
        <v>5242</v>
      </c>
      <c r="O29" s="30">
        <f>+M29+N29</f>
        <v>8195</v>
      </c>
    </row>
    <row r="30" spans="1:15" ht="13.2" customHeight="1">
      <c r="A30" s="80" t="s">
        <v>238</v>
      </c>
      <c r="B30" s="1054" t="s">
        <v>237</v>
      </c>
      <c r="C30" s="1055"/>
      <c r="D30" s="64">
        <f t="shared" ref="D30:D35" si="7">+G30+J30+M30</f>
        <v>87</v>
      </c>
      <c r="E30" s="64">
        <f t="shared" si="6"/>
        <v>14</v>
      </c>
      <c r="F30" s="64">
        <f>+I30+L30+O30</f>
        <v>101</v>
      </c>
      <c r="G30" s="64">
        <v>47</v>
      </c>
      <c r="H30" s="64">
        <v>14</v>
      </c>
      <c r="I30" s="30">
        <f>+G30+H30</f>
        <v>61</v>
      </c>
      <c r="J30" s="64"/>
      <c r="K30" s="64"/>
      <c r="L30" s="30"/>
      <c r="M30" s="64">
        <f>+'[4]6. mell. Int.összesen'!$O30</f>
        <v>40</v>
      </c>
      <c r="N30" s="64"/>
      <c r="O30" s="30">
        <f t="shared" ref="O30:O33" si="8">+M30+N30</f>
        <v>40</v>
      </c>
    </row>
    <row r="31" spans="1:15" ht="13.2" customHeight="1">
      <c r="A31" s="80" t="s">
        <v>240</v>
      </c>
      <c r="B31" s="1054" t="s">
        <v>239</v>
      </c>
      <c r="C31" s="1055"/>
      <c r="D31" s="64">
        <f t="shared" si="7"/>
        <v>524</v>
      </c>
      <c r="E31" s="64">
        <f t="shared" si="6"/>
        <v>1656</v>
      </c>
      <c r="F31" s="64">
        <f>+I31+L31+O31</f>
        <v>2180</v>
      </c>
      <c r="G31" s="64">
        <v>0</v>
      </c>
      <c r="H31" s="64"/>
      <c r="I31" s="30">
        <f t="shared" ref="I31:I35" si="9">+G31+H31</f>
        <v>0</v>
      </c>
      <c r="J31" s="64"/>
      <c r="K31" s="64"/>
      <c r="L31" s="30"/>
      <c r="M31" s="64">
        <v>524</v>
      </c>
      <c r="N31" s="64">
        <v>1656</v>
      </c>
      <c r="O31" s="30">
        <f t="shared" si="8"/>
        <v>2180</v>
      </c>
    </row>
    <row r="32" spans="1:15" ht="13.2" customHeight="1">
      <c r="A32" s="80" t="s">
        <v>244</v>
      </c>
      <c r="B32" s="1021" t="s">
        <v>243</v>
      </c>
      <c r="C32" s="1022"/>
      <c r="D32" s="64">
        <f t="shared" si="7"/>
        <v>437</v>
      </c>
      <c r="E32" s="64">
        <f t="shared" si="6"/>
        <v>1321</v>
      </c>
      <c r="F32" s="64">
        <f t="shared" si="6"/>
        <v>1758</v>
      </c>
      <c r="G32" s="64">
        <v>0</v>
      </c>
      <c r="H32" s="64"/>
      <c r="I32" s="30">
        <f t="shared" si="9"/>
        <v>0</v>
      </c>
      <c r="J32" s="64"/>
      <c r="K32" s="64"/>
      <c r="L32" s="20"/>
      <c r="M32" s="64">
        <v>437</v>
      </c>
      <c r="N32" s="64">
        <f>8+1313</f>
        <v>1321</v>
      </c>
      <c r="O32" s="30">
        <f t="shared" si="8"/>
        <v>1758</v>
      </c>
    </row>
    <row r="33" spans="1:15" ht="13.2" customHeight="1">
      <c r="A33" s="80" t="s">
        <v>246</v>
      </c>
      <c r="B33" s="1021" t="s">
        <v>245</v>
      </c>
      <c r="C33" s="1022"/>
      <c r="D33" s="64">
        <f t="shared" si="7"/>
        <v>338</v>
      </c>
      <c r="E33" s="64">
        <f t="shared" si="6"/>
        <v>0</v>
      </c>
      <c r="F33" s="64">
        <f t="shared" si="6"/>
        <v>338</v>
      </c>
      <c r="G33" s="64">
        <v>0</v>
      </c>
      <c r="H33" s="64"/>
      <c r="I33" s="30">
        <f t="shared" si="9"/>
        <v>0</v>
      </c>
      <c r="J33" s="64"/>
      <c r="K33" s="64"/>
      <c r="L33" s="20"/>
      <c r="M33" s="64">
        <f>+'[4]6. mell. Int.összesen'!$O33</f>
        <v>338</v>
      </c>
      <c r="N33" s="64"/>
      <c r="O33" s="30">
        <f t="shared" si="8"/>
        <v>338</v>
      </c>
    </row>
    <row r="34" spans="1:15" ht="13.2" customHeight="1">
      <c r="A34" s="80" t="s">
        <v>248</v>
      </c>
      <c r="B34" s="1054" t="s">
        <v>247</v>
      </c>
      <c r="C34" s="1058"/>
      <c r="D34" s="64">
        <f t="shared" si="7"/>
        <v>0</v>
      </c>
      <c r="E34" s="64">
        <f t="shared" si="6"/>
        <v>0</v>
      </c>
      <c r="F34" s="64">
        <f t="shared" si="6"/>
        <v>0</v>
      </c>
      <c r="G34" s="64">
        <v>0</v>
      </c>
      <c r="H34" s="64"/>
      <c r="I34" s="30">
        <f t="shared" si="9"/>
        <v>0</v>
      </c>
      <c r="J34" s="64"/>
      <c r="K34" s="64"/>
      <c r="L34" s="20"/>
      <c r="M34" s="64">
        <f>+'[4]6. mell. Int.összesen'!$O34</f>
        <v>0</v>
      </c>
      <c r="N34" s="64"/>
      <c r="O34" s="20"/>
    </row>
    <row r="35" spans="1:15" ht="13.2" customHeight="1">
      <c r="A35" s="80" t="s">
        <v>702</v>
      </c>
      <c r="B35" s="1054" t="s">
        <v>251</v>
      </c>
      <c r="C35" s="1058"/>
      <c r="D35" s="64">
        <f t="shared" si="7"/>
        <v>458</v>
      </c>
      <c r="E35" s="64">
        <f t="shared" si="6"/>
        <v>11</v>
      </c>
      <c r="F35" s="64">
        <f t="shared" si="6"/>
        <v>469</v>
      </c>
      <c r="G35" s="64">
        <v>458</v>
      </c>
      <c r="H35" s="64">
        <v>11</v>
      </c>
      <c r="I35" s="30">
        <f t="shared" si="9"/>
        <v>469</v>
      </c>
      <c r="J35" s="64"/>
      <c r="K35" s="64"/>
      <c r="L35" s="20"/>
      <c r="M35" s="64"/>
      <c r="N35" s="64"/>
      <c r="O35" s="20"/>
    </row>
    <row r="36" spans="1:15" ht="13.2" customHeight="1">
      <c r="A36" s="81" t="s">
        <v>252</v>
      </c>
      <c r="B36" s="1060" t="s">
        <v>277</v>
      </c>
      <c r="C36" s="1060"/>
      <c r="D36" s="73">
        <f>SUM(D29:D35)</f>
        <v>5627</v>
      </c>
      <c r="E36" s="73">
        <f>SUM(E29:E35)</f>
        <v>8331</v>
      </c>
      <c r="F36" s="73">
        <f t="shared" ref="F36" si="10">SUM(F29:F35)</f>
        <v>13958</v>
      </c>
      <c r="G36" s="73">
        <v>1163</v>
      </c>
      <c r="H36" s="73">
        <f>SUM(H29:H35)</f>
        <v>112</v>
      </c>
      <c r="I36" s="73">
        <f>SUM(I29:I35)</f>
        <v>1275</v>
      </c>
      <c r="J36" s="73">
        <f>SUM(J29:J35)</f>
        <v>172</v>
      </c>
      <c r="K36" s="73">
        <f t="shared" ref="K36:L36" si="11">SUM(K29:K35)</f>
        <v>0</v>
      </c>
      <c r="L36" s="73">
        <f t="shared" si="11"/>
        <v>172</v>
      </c>
      <c r="M36" s="73">
        <f>SUM(M29:M35)</f>
        <v>4292</v>
      </c>
      <c r="N36" s="73">
        <f>SUM(N29:N35)</f>
        <v>8219</v>
      </c>
      <c r="O36" s="73">
        <f t="shared" ref="O36" si="12">SUM(O29:O35)</f>
        <v>12511</v>
      </c>
    </row>
    <row r="37" spans="1:15" ht="13.2" customHeight="1">
      <c r="A37" s="81" t="s">
        <v>253</v>
      </c>
      <c r="B37" s="1060" t="s">
        <v>276</v>
      </c>
      <c r="C37" s="1060">
        <v>0</v>
      </c>
      <c r="D37" s="73">
        <f>+G37+J37+M37</f>
        <v>0</v>
      </c>
      <c r="E37" s="73">
        <f t="shared" ref="E37:F38" si="13">+H37+K37+N37</f>
        <v>0</v>
      </c>
      <c r="F37" s="73">
        <f t="shared" si="13"/>
        <v>0</v>
      </c>
      <c r="G37" s="73"/>
      <c r="H37" s="73"/>
      <c r="I37" s="48"/>
      <c r="J37" s="73"/>
      <c r="K37" s="73"/>
      <c r="L37" s="48"/>
      <c r="M37" s="73"/>
      <c r="N37" s="73"/>
      <c r="O37" s="48"/>
    </row>
    <row r="38" spans="1:15" ht="13.2" customHeight="1">
      <c r="A38" s="80" t="s">
        <v>255</v>
      </c>
      <c r="B38" s="1067" t="s">
        <v>254</v>
      </c>
      <c r="C38" s="1067">
        <v>42</v>
      </c>
      <c r="D38" s="64">
        <f>+G38+J38+M38</f>
        <v>0</v>
      </c>
      <c r="E38" s="64">
        <f t="shared" si="13"/>
        <v>0</v>
      </c>
      <c r="F38" s="64">
        <f t="shared" si="13"/>
        <v>0</v>
      </c>
      <c r="G38" s="64"/>
      <c r="H38" s="64"/>
      <c r="I38" s="20"/>
      <c r="J38" s="64">
        <v>0</v>
      </c>
      <c r="K38" s="64"/>
      <c r="L38" s="20"/>
      <c r="M38" s="64">
        <v>0</v>
      </c>
      <c r="N38" s="64"/>
      <c r="O38" s="20"/>
    </row>
    <row r="39" spans="1:15" ht="13.2" customHeight="1">
      <c r="A39" s="81" t="s">
        <v>256</v>
      </c>
      <c r="B39" s="1060" t="s">
        <v>275</v>
      </c>
      <c r="C39" s="1060">
        <f>+C38</f>
        <v>42</v>
      </c>
      <c r="D39" s="73">
        <f>SUM(D38)</f>
        <v>0</v>
      </c>
      <c r="E39" s="73">
        <f t="shared" ref="E39:F39" si="14">SUM(E38)</f>
        <v>0</v>
      </c>
      <c r="F39" s="73">
        <f t="shared" si="14"/>
        <v>0</v>
      </c>
      <c r="G39" s="73"/>
      <c r="H39" s="73"/>
      <c r="I39" s="48"/>
      <c r="J39" s="73">
        <f>+J38</f>
        <v>0</v>
      </c>
      <c r="K39" s="73"/>
      <c r="L39" s="48"/>
      <c r="M39" s="73">
        <f>+M38</f>
        <v>0</v>
      </c>
      <c r="N39" s="73"/>
      <c r="O39" s="48"/>
    </row>
    <row r="40" spans="1:15" ht="13.2" customHeight="1">
      <c r="A40" s="80" t="s">
        <v>258</v>
      </c>
      <c r="B40" s="1067" t="s">
        <v>257</v>
      </c>
      <c r="C40" s="1067"/>
      <c r="D40" s="64">
        <f>+G40+J40+M40</f>
        <v>0</v>
      </c>
      <c r="E40" s="64">
        <f t="shared" ref="E40:F40" si="15">+H40+K40+N40</f>
        <v>0</v>
      </c>
      <c r="F40" s="64">
        <f t="shared" si="15"/>
        <v>0</v>
      </c>
      <c r="G40" s="64"/>
      <c r="H40" s="64"/>
      <c r="I40" s="20"/>
      <c r="J40" s="64"/>
      <c r="K40" s="64"/>
      <c r="L40" s="20"/>
      <c r="M40" s="64">
        <v>0</v>
      </c>
      <c r="N40" s="64"/>
      <c r="O40" s="20"/>
    </row>
    <row r="41" spans="1:15" ht="13.2" customHeight="1">
      <c r="A41" s="81" t="s">
        <v>259</v>
      </c>
      <c r="B41" s="1060" t="s">
        <v>280</v>
      </c>
      <c r="C41" s="1060"/>
      <c r="D41" s="73">
        <f>+D40</f>
        <v>0</v>
      </c>
      <c r="E41" s="73">
        <f t="shared" ref="E41:F41" si="16">+E40</f>
        <v>0</v>
      </c>
      <c r="F41" s="73">
        <f t="shared" si="16"/>
        <v>0</v>
      </c>
      <c r="G41" s="73"/>
      <c r="H41" s="73"/>
      <c r="I41" s="48"/>
      <c r="J41" s="73">
        <f>+J40</f>
        <v>0</v>
      </c>
      <c r="K41" s="73"/>
      <c r="L41" s="48"/>
      <c r="M41" s="73">
        <f>+M40</f>
        <v>0</v>
      </c>
      <c r="N41" s="73"/>
      <c r="O41" s="48"/>
    </row>
    <row r="42" spans="1:15" ht="10.5" customHeight="1">
      <c r="A42" s="81" t="s">
        <v>260</v>
      </c>
      <c r="B42" s="1060" t="s">
        <v>273</v>
      </c>
      <c r="C42" s="1060"/>
      <c r="D42" s="73">
        <f>+D41+D39+D37+D36+D27+D15+D28</f>
        <v>8627</v>
      </c>
      <c r="E42" s="73">
        <f t="shared" ref="E42:F42" si="17">+E41+E39+E37+E36+E27+E15+E28</f>
        <v>9229</v>
      </c>
      <c r="F42" s="73">
        <f t="shared" si="17"/>
        <v>17856</v>
      </c>
      <c r="G42" s="73">
        <v>1163</v>
      </c>
      <c r="H42" s="73">
        <f t="shared" ref="H42:O42" si="18">+H41+H39+H37+H36+H27+H15</f>
        <v>1010</v>
      </c>
      <c r="I42" s="73">
        <f t="shared" si="18"/>
        <v>2173</v>
      </c>
      <c r="J42" s="73">
        <f t="shared" si="18"/>
        <v>172</v>
      </c>
      <c r="K42" s="73">
        <f t="shared" si="18"/>
        <v>0</v>
      </c>
      <c r="L42" s="73">
        <f t="shared" si="18"/>
        <v>172</v>
      </c>
      <c r="M42" s="73">
        <f t="shared" si="18"/>
        <v>7292</v>
      </c>
      <c r="N42" s="73">
        <f t="shared" si="18"/>
        <v>8219</v>
      </c>
      <c r="O42" s="73">
        <f t="shared" si="18"/>
        <v>15511</v>
      </c>
    </row>
    <row r="43" spans="1:15" ht="11.25" customHeight="1">
      <c r="A43" s="454" t="s">
        <v>270</v>
      </c>
      <c r="B43" s="1061" t="s">
        <v>269</v>
      </c>
      <c r="C43" s="1061"/>
      <c r="D43" s="64">
        <f>+G43+J43+M43</f>
        <v>888</v>
      </c>
      <c r="E43" s="64">
        <f t="shared" ref="E43:F45" si="19">+H43+K43+N43</f>
        <v>0</v>
      </c>
      <c r="F43" s="64">
        <f t="shared" si="19"/>
        <v>888</v>
      </c>
      <c r="G43" s="64">
        <v>492</v>
      </c>
      <c r="H43" s="64">
        <f t="shared" ref="H43:O43" si="20">+H44+H45</f>
        <v>0</v>
      </c>
      <c r="I43" s="64">
        <f t="shared" si="20"/>
        <v>492</v>
      </c>
      <c r="J43" s="64">
        <f t="shared" si="20"/>
        <v>58</v>
      </c>
      <c r="K43" s="64">
        <f t="shared" si="20"/>
        <v>0</v>
      </c>
      <c r="L43" s="64">
        <f t="shared" si="20"/>
        <v>58</v>
      </c>
      <c r="M43" s="64">
        <f t="shared" si="20"/>
        <v>338</v>
      </c>
      <c r="N43" s="64">
        <f t="shared" si="20"/>
        <v>0</v>
      </c>
      <c r="O43" s="64">
        <f t="shared" si="20"/>
        <v>338</v>
      </c>
    </row>
    <row r="44" spans="1:15" s="43" customFormat="1" ht="13.2" customHeight="1">
      <c r="A44" s="455"/>
      <c r="B44" s="569"/>
      <c r="C44" s="570" t="s">
        <v>403</v>
      </c>
      <c r="D44" s="219">
        <f>+G44+J44+M44</f>
        <v>888</v>
      </c>
      <c r="E44" s="219">
        <f t="shared" si="19"/>
        <v>0</v>
      </c>
      <c r="F44" s="219">
        <f t="shared" si="19"/>
        <v>888</v>
      </c>
      <c r="G44" s="64">
        <v>492</v>
      </c>
      <c r="H44" s="219"/>
      <c r="I44" s="219">
        <f>SUM(G44:H44)</f>
        <v>492</v>
      </c>
      <c r="J44" s="64">
        <f>+'[4]6. mell. Int.összesen'!$L44</f>
        <v>58</v>
      </c>
      <c r="K44" s="219"/>
      <c r="L44" s="219">
        <v>58</v>
      </c>
      <c r="M44" s="64">
        <f>+'[4]6. mell. Int.összesen'!$O44</f>
        <v>338</v>
      </c>
      <c r="N44" s="219"/>
      <c r="O44" s="219">
        <f>SUM(M44:N44)</f>
        <v>338</v>
      </c>
    </row>
    <row r="45" spans="1:15" s="43" customFormat="1" ht="13.2" customHeight="1">
      <c r="A45" s="455"/>
      <c r="B45" s="569"/>
      <c r="C45" s="570" t="s">
        <v>404</v>
      </c>
      <c r="D45" s="219">
        <f>+G45+J45+M45</f>
        <v>0</v>
      </c>
      <c r="E45" s="219">
        <f t="shared" si="19"/>
        <v>0</v>
      </c>
      <c r="F45" s="219">
        <f t="shared" si="19"/>
        <v>0</v>
      </c>
      <c r="G45" s="219"/>
      <c r="H45" s="219"/>
      <c r="I45" s="219"/>
      <c r="J45" s="219"/>
      <c r="K45" s="219"/>
      <c r="L45" s="219"/>
      <c r="M45" s="219"/>
      <c r="N45" s="219"/>
      <c r="O45" s="219"/>
    </row>
    <row r="46" spans="1:15" ht="13.2" customHeight="1">
      <c r="A46" s="218" t="s">
        <v>271</v>
      </c>
      <c r="B46" s="1018" t="s">
        <v>332</v>
      </c>
      <c r="C46" s="1019"/>
      <c r="D46" s="73">
        <f>+D43</f>
        <v>888</v>
      </c>
      <c r="E46" s="73">
        <f t="shared" ref="E46:O46" si="21">+E43</f>
        <v>0</v>
      </c>
      <c r="F46" s="73">
        <f t="shared" si="21"/>
        <v>888</v>
      </c>
      <c r="G46" s="73">
        <v>492</v>
      </c>
      <c r="H46" s="73">
        <f t="shared" si="21"/>
        <v>0</v>
      </c>
      <c r="I46" s="73">
        <f t="shared" si="21"/>
        <v>492</v>
      </c>
      <c r="J46" s="73">
        <f t="shared" si="21"/>
        <v>58</v>
      </c>
      <c r="K46" s="73">
        <f t="shared" si="21"/>
        <v>0</v>
      </c>
      <c r="L46" s="73">
        <f t="shared" si="21"/>
        <v>58</v>
      </c>
      <c r="M46" s="73">
        <f t="shared" si="21"/>
        <v>338</v>
      </c>
      <c r="N46" s="73">
        <f t="shared" si="21"/>
        <v>0</v>
      </c>
      <c r="O46" s="73">
        <f t="shared" si="21"/>
        <v>338</v>
      </c>
    </row>
    <row r="47" spans="1:15">
      <c r="A47" s="80" t="s">
        <v>281</v>
      </c>
      <c r="B47" s="1062" t="s">
        <v>282</v>
      </c>
      <c r="C47" s="1062"/>
      <c r="D47" s="64">
        <f>+G47+J47+M47</f>
        <v>395365</v>
      </c>
      <c r="E47" s="64">
        <f t="shared" ref="E47:F47" si="22">+H47+K47+N47</f>
        <v>-1710</v>
      </c>
      <c r="F47" s="64">
        <f t="shared" si="22"/>
        <v>393655</v>
      </c>
      <c r="G47" s="64">
        <v>162476</v>
      </c>
      <c r="H47" s="64">
        <v>3653</v>
      </c>
      <c r="I47" s="30">
        <f>+G47+H47</f>
        <v>166129</v>
      </c>
      <c r="J47" s="64">
        <f>+'[4]6. mell. Int.összesen'!$L47</f>
        <v>172511</v>
      </c>
      <c r="K47" s="73">
        <f>1331-1598-2105</f>
        <v>-2372</v>
      </c>
      <c r="L47" s="62">
        <f>+J47+K47</f>
        <v>170139</v>
      </c>
      <c r="M47" s="64">
        <v>60378</v>
      </c>
      <c r="N47" s="73">
        <v>-2991</v>
      </c>
      <c r="O47" s="62">
        <f>+M47+N47</f>
        <v>57387</v>
      </c>
    </row>
    <row r="48" spans="1:15">
      <c r="A48" s="81" t="s">
        <v>272</v>
      </c>
      <c r="B48" s="1056" t="s">
        <v>283</v>
      </c>
      <c r="C48" s="1057"/>
      <c r="D48" s="73">
        <f>+D47+D46</f>
        <v>396253</v>
      </c>
      <c r="E48" s="73">
        <f t="shared" ref="E48:O48" si="23">+E47+E46</f>
        <v>-1710</v>
      </c>
      <c r="F48" s="73">
        <f t="shared" si="23"/>
        <v>394543</v>
      </c>
      <c r="G48" s="73">
        <v>162968</v>
      </c>
      <c r="H48" s="73">
        <f t="shared" si="23"/>
        <v>3653</v>
      </c>
      <c r="I48" s="73">
        <f t="shared" si="23"/>
        <v>166621</v>
      </c>
      <c r="J48" s="73">
        <f t="shared" si="23"/>
        <v>172569</v>
      </c>
      <c r="K48" s="73">
        <f>+K47+K46</f>
        <v>-2372</v>
      </c>
      <c r="L48" s="73">
        <f>+L47+L46</f>
        <v>170197</v>
      </c>
      <c r="M48" s="73">
        <f t="shared" si="23"/>
        <v>60716</v>
      </c>
      <c r="N48" s="73">
        <f>+N47+N46</f>
        <v>-2991</v>
      </c>
      <c r="O48" s="73">
        <f t="shared" si="23"/>
        <v>57725</v>
      </c>
    </row>
    <row r="49" spans="1:15" ht="33.75" customHeight="1">
      <c r="A49" s="1063" t="s">
        <v>284</v>
      </c>
      <c r="B49" s="1063"/>
      <c r="C49" s="1063"/>
      <c r="D49" s="73">
        <f t="shared" ref="D49:O49" si="24">+D48+D42</f>
        <v>404880</v>
      </c>
      <c r="E49" s="73">
        <f t="shared" si="24"/>
        <v>7519</v>
      </c>
      <c r="F49" s="73">
        <f t="shared" si="24"/>
        <v>412399</v>
      </c>
      <c r="G49" s="73">
        <v>164131</v>
      </c>
      <c r="H49" s="73">
        <f t="shared" si="24"/>
        <v>4663</v>
      </c>
      <c r="I49" s="73">
        <f t="shared" si="24"/>
        <v>168794</v>
      </c>
      <c r="J49" s="73">
        <f t="shared" si="24"/>
        <v>172741</v>
      </c>
      <c r="K49" s="73">
        <f>+K48+K42</f>
        <v>-2372</v>
      </c>
      <c r="L49" s="73">
        <f t="shared" si="24"/>
        <v>170369</v>
      </c>
      <c r="M49" s="73">
        <f t="shared" si="24"/>
        <v>68008</v>
      </c>
      <c r="N49" s="73">
        <f t="shared" si="24"/>
        <v>5228</v>
      </c>
      <c r="O49" s="73">
        <f t="shared" si="24"/>
        <v>73236</v>
      </c>
    </row>
    <row r="50" spans="1:15" ht="25.5" customHeight="1">
      <c r="D50" s="68"/>
      <c r="E50" s="68"/>
      <c r="F50" s="68"/>
    </row>
    <row r="51" spans="1:15" s="41" customFormat="1" ht="13.2" customHeight="1">
      <c r="A51" s="1043" t="s">
        <v>0</v>
      </c>
      <c r="B51" s="1045" t="s">
        <v>180</v>
      </c>
      <c r="C51" s="1046"/>
      <c r="D51" s="1049" t="s">
        <v>178</v>
      </c>
      <c r="E51" s="1049"/>
      <c r="F51" s="1049"/>
      <c r="G51" s="1036" t="s">
        <v>288</v>
      </c>
      <c r="H51" s="1036"/>
      <c r="I51" s="1036"/>
      <c r="J51" s="1036" t="s">
        <v>289</v>
      </c>
      <c r="K51" s="1036"/>
      <c r="L51" s="1036"/>
      <c r="M51" s="1036" t="s">
        <v>737</v>
      </c>
      <c r="N51" s="1036"/>
      <c r="O51" s="1036"/>
    </row>
    <row r="52" spans="1:15" s="76" customFormat="1" ht="27.6" customHeight="1">
      <c r="A52" s="1044"/>
      <c r="B52" s="1047"/>
      <c r="C52" s="1048"/>
      <c r="D52" s="828" t="s">
        <v>870</v>
      </c>
      <c r="E52" s="828" t="s">
        <v>732</v>
      </c>
      <c r="F52" s="828" t="s">
        <v>947</v>
      </c>
      <c r="G52" s="828" t="s">
        <v>870</v>
      </c>
      <c r="H52" s="828" t="s">
        <v>732</v>
      </c>
      <c r="I52" s="828" t="s">
        <v>947</v>
      </c>
      <c r="J52" s="828" t="s">
        <v>870</v>
      </c>
      <c r="K52" s="828" t="s">
        <v>732</v>
      </c>
      <c r="L52" s="828" t="s">
        <v>947</v>
      </c>
      <c r="M52" s="828" t="s">
        <v>870</v>
      </c>
      <c r="N52" s="828" t="s">
        <v>732</v>
      </c>
      <c r="O52" s="828" t="s">
        <v>947</v>
      </c>
    </row>
    <row r="53" spans="1:15" ht="13.2" customHeight="1">
      <c r="A53" s="3" t="s">
        <v>27</v>
      </c>
      <c r="B53" s="1059" t="s">
        <v>175</v>
      </c>
      <c r="C53" s="1059"/>
      <c r="D53" s="555">
        <f>+G53+J53+M53</f>
        <v>225926</v>
      </c>
      <c r="E53" s="555">
        <f t="shared" ref="E53:F56" si="25">+H53+K53+N53</f>
        <v>2442</v>
      </c>
      <c r="F53" s="555">
        <f t="shared" si="25"/>
        <v>228368</v>
      </c>
      <c r="G53" s="555">
        <f>+'6.a. mell. PH'!D19</f>
        <v>105057</v>
      </c>
      <c r="H53" s="555">
        <f>+'6.a. mell. PH'!E19</f>
        <v>907</v>
      </c>
      <c r="I53" s="555">
        <f>+'6.a. mell. PH'!F19</f>
        <v>105964</v>
      </c>
      <c r="J53" s="555">
        <f>+'6.b. mell. Óvoda'!D19</f>
        <v>105648</v>
      </c>
      <c r="K53" s="555">
        <f>+'6.b. mell. Óvoda'!E19</f>
        <v>-647</v>
      </c>
      <c r="L53" s="555">
        <f>+'6.b. mell. Óvoda'!F19</f>
        <v>105001</v>
      </c>
      <c r="M53" s="555">
        <f>+'6.c. mell. BBKP'!D19</f>
        <v>15221</v>
      </c>
      <c r="N53" s="555">
        <f>+'6.c. mell. BBKP'!E19</f>
        <v>2182</v>
      </c>
      <c r="O53" s="555">
        <f>+'6.c. mell. BBKP'!F19</f>
        <v>17403</v>
      </c>
    </row>
    <row r="54" spans="1:15" ht="13.2" customHeight="1">
      <c r="A54" s="3" t="s">
        <v>34</v>
      </c>
      <c r="B54" s="1059" t="s">
        <v>174</v>
      </c>
      <c r="C54" s="1059"/>
      <c r="D54" s="555">
        <f t="shared" ref="D54:F77" si="26">+G54+J54+M54</f>
        <v>4946</v>
      </c>
      <c r="E54" s="555">
        <f t="shared" si="25"/>
        <v>133</v>
      </c>
      <c r="F54" s="555">
        <f t="shared" si="25"/>
        <v>5079</v>
      </c>
      <c r="G54" s="555">
        <f>+'6.a. mell. PH'!D23</f>
        <v>777</v>
      </c>
      <c r="H54" s="555">
        <f>+'6.a. mell. PH'!E23</f>
        <v>651</v>
      </c>
      <c r="I54" s="555">
        <f>+'6.a. mell. PH'!F23</f>
        <v>1428</v>
      </c>
      <c r="J54" s="555">
        <f>+'6.b. mell. Óvoda'!D23</f>
        <v>2334</v>
      </c>
      <c r="K54" s="555">
        <f>+'6.b. mell. Óvoda'!E23</f>
        <v>-925</v>
      </c>
      <c r="L54" s="555">
        <f>+'6.b. mell. Óvoda'!F23</f>
        <v>1409</v>
      </c>
      <c r="M54" s="555">
        <f>+'6.c. mell. BBKP'!D23</f>
        <v>1835</v>
      </c>
      <c r="N54" s="555">
        <f>+'6.c. mell. BBKP'!E23</f>
        <v>407</v>
      </c>
      <c r="O54" s="555">
        <f>+'6.c. mell. BBKP'!F23</f>
        <v>2242</v>
      </c>
    </row>
    <row r="55" spans="1:15" s="47" customFormat="1">
      <c r="A55" s="5" t="s">
        <v>35</v>
      </c>
      <c r="B55" s="1037" t="s">
        <v>173</v>
      </c>
      <c r="C55" s="1037"/>
      <c r="D55" s="546">
        <f t="shared" si="26"/>
        <v>230872</v>
      </c>
      <c r="E55" s="546">
        <f t="shared" si="25"/>
        <v>2575</v>
      </c>
      <c r="F55" s="546">
        <f t="shared" si="25"/>
        <v>233447</v>
      </c>
      <c r="G55" s="546">
        <f>SUM(G53:G54)</f>
        <v>105834</v>
      </c>
      <c r="H55" s="546">
        <f t="shared" ref="H55:I55" si="27">SUM(H53:H54)</f>
        <v>1558</v>
      </c>
      <c r="I55" s="546">
        <f t="shared" si="27"/>
        <v>107392</v>
      </c>
      <c r="J55" s="546">
        <f>+J54+J53</f>
        <v>107982</v>
      </c>
      <c r="K55" s="546">
        <f t="shared" ref="K55:L55" si="28">+K54+K53</f>
        <v>-1572</v>
      </c>
      <c r="L55" s="546">
        <f t="shared" si="28"/>
        <v>106410</v>
      </c>
      <c r="M55" s="546">
        <f>+M54+M53</f>
        <v>17056</v>
      </c>
      <c r="N55" s="546">
        <f t="shared" ref="N55:O55" si="29">+N54+N53</f>
        <v>2589</v>
      </c>
      <c r="O55" s="546">
        <f t="shared" si="29"/>
        <v>19645</v>
      </c>
    </row>
    <row r="56" spans="1:15" s="47" customFormat="1" ht="13.2" customHeight="1">
      <c r="A56" s="5" t="s">
        <v>36</v>
      </c>
      <c r="B56" s="1037" t="s">
        <v>172</v>
      </c>
      <c r="C56" s="1037"/>
      <c r="D56" s="546">
        <f t="shared" si="26"/>
        <v>64879</v>
      </c>
      <c r="E56" s="546">
        <f t="shared" si="25"/>
        <v>-1497</v>
      </c>
      <c r="F56" s="546">
        <f t="shared" si="25"/>
        <v>63382</v>
      </c>
      <c r="G56" s="546">
        <f>+'6.a. mell. PH'!D26</f>
        <v>30030</v>
      </c>
      <c r="H56" s="546">
        <f>+'6.a. mell. PH'!E26</f>
        <v>-717</v>
      </c>
      <c r="I56" s="546">
        <f>+'6.a. mell. PH'!F26</f>
        <v>29313</v>
      </c>
      <c r="J56" s="546">
        <f>+'6.b. mell. Óvoda'!D26</f>
        <v>30287</v>
      </c>
      <c r="K56" s="546">
        <f>+'6.b. mell. Óvoda'!E26</f>
        <v>-952</v>
      </c>
      <c r="L56" s="546">
        <f>+'6.b. mell. Óvoda'!F26</f>
        <v>29335</v>
      </c>
      <c r="M56" s="546">
        <f>+'6.c. mell. BBKP'!D26</f>
        <v>4562</v>
      </c>
      <c r="N56" s="546">
        <f>+'6.c. mell. BBKP'!E26</f>
        <v>172</v>
      </c>
      <c r="O56" s="546">
        <f>+'6.c. mell. BBKP'!F26</f>
        <v>4734</v>
      </c>
    </row>
    <row r="57" spans="1:15" ht="13.2" customHeight="1">
      <c r="A57" s="1038"/>
      <c r="B57" s="1039"/>
      <c r="C57" s="1040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</row>
    <row r="58" spans="1:15" ht="13.2" customHeight="1">
      <c r="A58" s="3" t="s">
        <v>48</v>
      </c>
      <c r="B58" s="1059" t="s">
        <v>171</v>
      </c>
      <c r="C58" s="1059"/>
      <c r="D58" s="555">
        <f t="shared" si="26"/>
        <v>8429</v>
      </c>
      <c r="E58" s="555">
        <f t="shared" si="26"/>
        <v>600</v>
      </c>
      <c r="F58" s="555">
        <f t="shared" si="26"/>
        <v>9029</v>
      </c>
      <c r="G58" s="555">
        <f>+'6.a. mell. PH'!D36</f>
        <v>2297</v>
      </c>
      <c r="H58" s="555">
        <f>+'6.a. mell. PH'!E36</f>
        <v>149</v>
      </c>
      <c r="I58" s="555">
        <f>+'6.a. mell. PH'!F36</f>
        <v>2446</v>
      </c>
      <c r="J58" s="555">
        <f>+'6.b. mell. Óvoda'!D36</f>
        <v>2006</v>
      </c>
      <c r="K58" s="555">
        <f>+'6.b. mell. Óvoda'!E36</f>
        <v>-134</v>
      </c>
      <c r="L58" s="555">
        <f>+'6.b. mell. Óvoda'!F36</f>
        <v>1872</v>
      </c>
      <c r="M58" s="555">
        <f>+'6.c. mell. BBKP'!D37</f>
        <v>4126</v>
      </c>
      <c r="N58" s="555">
        <f>+'6.c. mell. BBKP'!E37</f>
        <v>585</v>
      </c>
      <c r="O58" s="555">
        <f>+'6.c. mell. BBKP'!F37</f>
        <v>4711</v>
      </c>
    </row>
    <row r="59" spans="1:15" ht="13.2" customHeight="1">
      <c r="A59" s="3" t="s">
        <v>53</v>
      </c>
      <c r="B59" s="1059" t="s">
        <v>170</v>
      </c>
      <c r="C59" s="1059"/>
      <c r="D59" s="555">
        <f t="shared" si="26"/>
        <v>3290</v>
      </c>
      <c r="E59" s="555">
        <f t="shared" si="26"/>
        <v>187</v>
      </c>
      <c r="F59" s="555">
        <f t="shared" si="26"/>
        <v>3477</v>
      </c>
      <c r="G59" s="555">
        <f>+'6.a. mell. PH'!D39</f>
        <v>2500</v>
      </c>
      <c r="H59" s="555">
        <f>+'6.a. mell. PH'!E39</f>
        <v>152</v>
      </c>
      <c r="I59" s="555">
        <f>+'6.a. mell. PH'!F39</f>
        <v>2652</v>
      </c>
      <c r="J59" s="555">
        <f>+'6.b. mell. Óvoda'!D39</f>
        <v>250</v>
      </c>
      <c r="K59" s="555">
        <f>+'6.b. mell. Óvoda'!E39</f>
        <v>14</v>
      </c>
      <c r="L59" s="555">
        <f>+'6.b. mell. Óvoda'!F39</f>
        <v>264</v>
      </c>
      <c r="M59" s="555">
        <f>+'6.c. mell. BBKP'!D40</f>
        <v>540</v>
      </c>
      <c r="N59" s="555">
        <f>+'6.c. mell. BBKP'!E40</f>
        <v>21</v>
      </c>
      <c r="O59" s="555">
        <f>+'6.c. mell. BBKP'!F40</f>
        <v>561</v>
      </c>
    </row>
    <row r="60" spans="1:15" ht="13.2" customHeight="1">
      <c r="A60" s="3" t="s">
        <v>67</v>
      </c>
      <c r="B60" s="1059" t="s">
        <v>157</v>
      </c>
      <c r="C60" s="1059"/>
      <c r="D60" s="555">
        <f t="shared" si="26"/>
        <v>39381</v>
      </c>
      <c r="E60" s="555">
        <f t="shared" si="26"/>
        <v>522</v>
      </c>
      <c r="F60" s="555">
        <f t="shared" si="26"/>
        <v>39903</v>
      </c>
      <c r="G60" s="555">
        <f>+'6.a. mell. PH'!D49</f>
        <v>8608</v>
      </c>
      <c r="H60" s="555">
        <f>+'6.a. mell. PH'!E49</f>
        <v>764</v>
      </c>
      <c r="I60" s="555">
        <f>+'6.a. mell. PH'!F49</f>
        <v>9372</v>
      </c>
      <c r="J60" s="555">
        <f>+'6.b. mell. Óvoda'!D49</f>
        <v>16152</v>
      </c>
      <c r="K60" s="555">
        <f>+'6.b. mell. Óvoda'!E49</f>
        <v>-41</v>
      </c>
      <c r="L60" s="555">
        <f>+'6.b. mell. Óvoda'!F49</f>
        <v>16111</v>
      </c>
      <c r="M60" s="555">
        <f>+'6.c. mell. BBKP'!D50</f>
        <v>14621</v>
      </c>
      <c r="N60" s="555">
        <f>+'6.c. mell. BBKP'!E50</f>
        <v>-201</v>
      </c>
      <c r="O60" s="555">
        <f>+'6.c. mell. BBKP'!F50</f>
        <v>14420</v>
      </c>
    </row>
    <row r="61" spans="1:15" ht="13.2" customHeight="1">
      <c r="A61" s="3" t="s">
        <v>72</v>
      </c>
      <c r="B61" s="1059" t="s">
        <v>156</v>
      </c>
      <c r="C61" s="1059"/>
      <c r="D61" s="555">
        <f t="shared" si="26"/>
        <v>1494</v>
      </c>
      <c r="E61" s="555">
        <f t="shared" si="26"/>
        <v>-33</v>
      </c>
      <c r="F61" s="555">
        <f t="shared" si="26"/>
        <v>1461</v>
      </c>
      <c r="G61" s="555">
        <f>+'6.a. mell. PH'!D52</f>
        <v>450</v>
      </c>
      <c r="H61" s="555">
        <f>+'6.a. mell. PH'!E52</f>
        <v>191</v>
      </c>
      <c r="I61" s="555">
        <f>+'6.a. mell. PH'!F52</f>
        <v>641</v>
      </c>
      <c r="J61" s="555">
        <f>+'6.b. mell. Óvoda'!D52</f>
        <v>50</v>
      </c>
      <c r="K61" s="555">
        <f>+'6.b. mell. Óvoda'!E52</f>
        <v>0</v>
      </c>
      <c r="L61" s="555">
        <f>+'6.b. mell. Óvoda'!F52</f>
        <v>50</v>
      </c>
      <c r="M61" s="555">
        <f>+'6.c. mell. BBKP'!D53</f>
        <v>994</v>
      </c>
      <c r="N61" s="555">
        <f>+'6.c. mell. BBKP'!E53</f>
        <v>-224</v>
      </c>
      <c r="O61" s="555">
        <f>+'6.c. mell. BBKP'!F53</f>
        <v>770</v>
      </c>
    </row>
    <row r="62" spans="1:15">
      <c r="A62" s="3" t="s">
        <v>81</v>
      </c>
      <c r="B62" s="1059" t="s">
        <v>153</v>
      </c>
      <c r="C62" s="1059"/>
      <c r="D62" s="555">
        <f t="shared" si="26"/>
        <v>10348</v>
      </c>
      <c r="E62" s="555">
        <f t="shared" si="26"/>
        <v>1920</v>
      </c>
      <c r="F62" s="555">
        <f t="shared" si="26"/>
        <v>12268</v>
      </c>
      <c r="G62" s="555">
        <f>+'6.a. mell. PH'!D58</f>
        <v>1848</v>
      </c>
      <c r="H62" s="555">
        <f>+'6.a. mell. PH'!E58</f>
        <v>528</v>
      </c>
      <c r="I62" s="555">
        <f>+'6.a. mell. PH'!F58</f>
        <v>2376</v>
      </c>
      <c r="J62" s="555">
        <f>+'6.b. mell. Óvoda'!D58</f>
        <v>4750</v>
      </c>
      <c r="K62" s="555">
        <f>+'6.b. mell. Óvoda'!E58</f>
        <v>72</v>
      </c>
      <c r="L62" s="555">
        <f>+'6.b. mell. Óvoda'!F58</f>
        <v>4822</v>
      </c>
      <c r="M62" s="555">
        <f>+'6.c. mell. BBKP'!D59</f>
        <v>3750</v>
      </c>
      <c r="N62" s="555">
        <f>+'6.c. mell. BBKP'!E59</f>
        <v>1320</v>
      </c>
      <c r="O62" s="555">
        <f>+'6.c. mell. BBKP'!F59</f>
        <v>5070</v>
      </c>
    </row>
    <row r="63" spans="1:15" s="47" customFormat="1" ht="13.2" customHeight="1">
      <c r="A63" s="5" t="s">
        <v>82</v>
      </c>
      <c r="B63" s="1037" t="s">
        <v>152</v>
      </c>
      <c r="C63" s="1037"/>
      <c r="D63" s="546">
        <f t="shared" si="26"/>
        <v>62942</v>
      </c>
      <c r="E63" s="546">
        <f t="shared" si="26"/>
        <v>3196</v>
      </c>
      <c r="F63" s="546">
        <f t="shared" si="26"/>
        <v>66138</v>
      </c>
      <c r="G63" s="546">
        <f>SUM(G58:G62)</f>
        <v>15703</v>
      </c>
      <c r="H63" s="546">
        <f t="shared" ref="H63:I63" si="30">SUM(H58:H62)</f>
        <v>1784</v>
      </c>
      <c r="I63" s="546">
        <f t="shared" si="30"/>
        <v>17487</v>
      </c>
      <c r="J63" s="546">
        <f>SUM(J58:J62)</f>
        <v>23208</v>
      </c>
      <c r="K63" s="546">
        <f t="shared" ref="K63:L63" si="31">SUM(K58:K62)</f>
        <v>-89</v>
      </c>
      <c r="L63" s="546">
        <f t="shared" si="31"/>
        <v>23119</v>
      </c>
      <c r="M63" s="546">
        <f>SUM(M58:M62)</f>
        <v>24031</v>
      </c>
      <c r="N63" s="546">
        <f t="shared" ref="N63:O63" si="32">SUM(N58:N62)</f>
        <v>1501</v>
      </c>
      <c r="O63" s="546">
        <f t="shared" si="32"/>
        <v>25532</v>
      </c>
    </row>
    <row r="64" spans="1:15" ht="13.2" customHeight="1">
      <c r="A64" s="3"/>
      <c r="B64" s="1065"/>
      <c r="C64" s="1066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</row>
    <row r="65" spans="1:15" ht="14.4">
      <c r="A65" s="3" t="s">
        <v>102</v>
      </c>
      <c r="B65" s="1050" t="s">
        <v>818</v>
      </c>
      <c r="C65" s="1051"/>
      <c r="D65" s="555">
        <f t="shared" ref="D65:F66" si="33">+G65+J65+M65</f>
        <v>1178</v>
      </c>
      <c r="E65" s="555">
        <f t="shared" si="33"/>
        <v>0</v>
      </c>
      <c r="F65" s="555">
        <f t="shared" si="33"/>
        <v>1178</v>
      </c>
      <c r="G65" s="555">
        <f>+'6.a. mell. PH'!D61</f>
        <v>499</v>
      </c>
      <c r="H65" s="555">
        <f>+'6.a. mell. PH'!E61</f>
        <v>0</v>
      </c>
      <c r="I65" s="555">
        <f>+'6.a. mell. PH'!F61</f>
        <v>499</v>
      </c>
      <c r="J65" s="555">
        <f>+'6.b. mell. Óvoda'!D61</f>
        <v>95</v>
      </c>
      <c r="K65" s="555">
        <f>+'6.b. mell. Óvoda'!E61</f>
        <v>0</v>
      </c>
      <c r="L65" s="555">
        <f>+'6.b. mell. Óvoda'!F61</f>
        <v>95</v>
      </c>
      <c r="M65" s="555">
        <f>+'6.c. mell. BBKP'!D62</f>
        <v>584</v>
      </c>
      <c r="N65" s="555">
        <f>+'6.c. mell. BBKP'!E62</f>
        <v>0</v>
      </c>
      <c r="O65" s="555">
        <f>+'6.c. mell. BBKP'!F62</f>
        <v>584</v>
      </c>
    </row>
    <row r="66" spans="1:15" ht="13.2" customHeight="1">
      <c r="A66" s="3" t="s">
        <v>106</v>
      </c>
      <c r="B66" s="1064" t="s">
        <v>165</v>
      </c>
      <c r="C66" s="1064"/>
      <c r="D66" s="555">
        <f t="shared" si="26"/>
        <v>38373</v>
      </c>
      <c r="E66" s="555">
        <f t="shared" si="33"/>
        <v>48</v>
      </c>
      <c r="F66" s="555">
        <f t="shared" si="33"/>
        <v>38421</v>
      </c>
      <c r="G66" s="555">
        <f>+'6.a. mell. PH'!D63</f>
        <v>8646</v>
      </c>
      <c r="H66" s="555">
        <f>+'6.a. mell. PH'!E63</f>
        <v>0</v>
      </c>
      <c r="I66" s="555">
        <f>+'6.a. mell. PH'!F63</f>
        <v>8646</v>
      </c>
      <c r="J66" s="555">
        <f>+'6.b. mell. Óvoda'!D63</f>
        <v>11152</v>
      </c>
      <c r="K66" s="555">
        <f>+'6.b. mell. Óvoda'!E63</f>
        <v>36</v>
      </c>
      <c r="L66" s="555">
        <f>+'6.b. mell. Óvoda'!F63</f>
        <v>11188</v>
      </c>
      <c r="M66" s="555">
        <f>+'6.c. mell. BBKP'!D64</f>
        <v>18575</v>
      </c>
      <c r="N66" s="555">
        <f>+'6.c. mell. BBKP'!E64</f>
        <v>12</v>
      </c>
      <c r="O66" s="555">
        <f>+'6.c. mell. BBKP'!F64</f>
        <v>18587</v>
      </c>
    </row>
    <row r="67" spans="1:15" s="47" customFormat="1">
      <c r="A67" s="5" t="s">
        <v>109</v>
      </c>
      <c r="B67" s="1037" t="s">
        <v>164</v>
      </c>
      <c r="C67" s="1037"/>
      <c r="D67" s="546">
        <f t="shared" si="26"/>
        <v>39551</v>
      </c>
      <c r="E67" s="546">
        <f>+H67+K67+N67</f>
        <v>48</v>
      </c>
      <c r="F67" s="546">
        <f>+I67+L67+O67</f>
        <v>39599</v>
      </c>
      <c r="G67" s="546">
        <f t="shared" ref="G67:O67" si="34">+G66+G65</f>
        <v>9145</v>
      </c>
      <c r="H67" s="546">
        <f t="shared" si="34"/>
        <v>0</v>
      </c>
      <c r="I67" s="546">
        <f t="shared" si="34"/>
        <v>9145</v>
      </c>
      <c r="J67" s="546">
        <f t="shared" si="34"/>
        <v>11247</v>
      </c>
      <c r="K67" s="546">
        <f t="shared" si="34"/>
        <v>36</v>
      </c>
      <c r="L67" s="546">
        <f t="shared" si="34"/>
        <v>11283</v>
      </c>
      <c r="M67" s="546">
        <f t="shared" si="34"/>
        <v>19159</v>
      </c>
      <c r="N67" s="546">
        <f t="shared" si="34"/>
        <v>12</v>
      </c>
      <c r="O67" s="546">
        <f t="shared" si="34"/>
        <v>19171</v>
      </c>
    </row>
    <row r="68" spans="1:15" s="47" customFormat="1" ht="13.2" customHeight="1">
      <c r="A68" s="5"/>
      <c r="B68" s="1041"/>
      <c r="C68" s="1042"/>
      <c r="D68" s="546"/>
      <c r="E68" s="546"/>
      <c r="F68" s="546"/>
      <c r="G68" s="546"/>
      <c r="H68" s="546"/>
      <c r="I68" s="546"/>
      <c r="J68" s="546"/>
      <c r="K68" s="546"/>
      <c r="L68" s="546"/>
      <c r="M68" s="546"/>
      <c r="N68" s="546"/>
      <c r="O68" s="546"/>
    </row>
    <row r="69" spans="1:15" s="47" customFormat="1">
      <c r="A69" s="5" t="s">
        <v>124</v>
      </c>
      <c r="B69" s="1037" t="s">
        <v>162</v>
      </c>
      <c r="C69" s="1037"/>
      <c r="D69" s="546">
        <f t="shared" si="26"/>
        <v>6636</v>
      </c>
      <c r="E69" s="546">
        <f t="shared" si="26"/>
        <v>3197</v>
      </c>
      <c r="F69" s="546">
        <f t="shared" si="26"/>
        <v>9833</v>
      </c>
      <c r="G69" s="546">
        <f>+'6.a. mell. PH'!D75</f>
        <v>3419</v>
      </c>
      <c r="H69" s="546">
        <f>+'6.a. mell. PH'!E75</f>
        <v>2038</v>
      </c>
      <c r="I69" s="546">
        <f>+'6.a. mell. PH'!F75</f>
        <v>5457</v>
      </c>
      <c r="J69" s="546">
        <f>+'6.b. mell. Óvoda'!D76</f>
        <v>17</v>
      </c>
      <c r="K69" s="546">
        <f>+'6.b. mell. Óvoda'!E76</f>
        <v>205</v>
      </c>
      <c r="L69" s="546">
        <f>+'6.b. mell. Óvoda'!F76</f>
        <v>222</v>
      </c>
      <c r="M69" s="546">
        <f>+'6.c. mell. BBKP'!D77</f>
        <v>3200</v>
      </c>
      <c r="N69" s="546">
        <f>+'6.c. mell. BBKP'!E77</f>
        <v>954</v>
      </c>
      <c r="O69" s="546">
        <f>+'6.c. mell. BBKP'!F77</f>
        <v>4154</v>
      </c>
    </row>
    <row r="70" spans="1:15" s="47" customFormat="1" ht="13.2" customHeight="1">
      <c r="A70" s="5"/>
      <c r="B70" s="1041"/>
      <c r="C70" s="1042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</row>
    <row r="71" spans="1:15" s="47" customFormat="1">
      <c r="A71" s="5" t="s">
        <v>133</v>
      </c>
      <c r="B71" s="1037" t="s">
        <v>161</v>
      </c>
      <c r="C71" s="1037"/>
      <c r="D71" s="546">
        <f t="shared" si="26"/>
        <v>0</v>
      </c>
      <c r="E71" s="546">
        <f t="shared" si="26"/>
        <v>0</v>
      </c>
      <c r="F71" s="546">
        <f t="shared" si="26"/>
        <v>0</v>
      </c>
      <c r="G71" s="546">
        <f>+'6.a. mell. PH'!D81</f>
        <v>0</v>
      </c>
      <c r="H71" s="546">
        <f>+'6.a. mell. PH'!E81</f>
        <v>0</v>
      </c>
      <c r="I71" s="546">
        <f>+'6.a. mell. PH'!F81</f>
        <v>0</v>
      </c>
      <c r="J71" s="546">
        <f>+'6.b. mell. Óvoda'!D82</f>
        <v>0</v>
      </c>
      <c r="K71" s="546">
        <f>+'6.b. mell. Óvoda'!E82</f>
        <v>0</v>
      </c>
      <c r="L71" s="546">
        <f>+'6.b. mell. Óvoda'!F82</f>
        <v>0</v>
      </c>
      <c r="M71" s="546">
        <f>+'6.c. mell. BBKP'!D83</f>
        <v>0</v>
      </c>
      <c r="N71" s="546">
        <f>+'6.c. mell. BBKP'!E83</f>
        <v>0</v>
      </c>
      <c r="O71" s="546">
        <f>+'6.c. mell. BBKP'!F83</f>
        <v>0</v>
      </c>
    </row>
    <row r="72" spans="1:15" s="47" customFormat="1" ht="13.2" customHeight="1">
      <c r="A72" s="5"/>
      <c r="B72" s="1041"/>
      <c r="C72" s="1042"/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</row>
    <row r="73" spans="1:15" s="47" customFormat="1">
      <c r="A73" s="5" t="s">
        <v>135</v>
      </c>
      <c r="B73" s="1037" t="s">
        <v>159</v>
      </c>
      <c r="C73" s="1037"/>
      <c r="D73" s="546">
        <f t="shared" si="26"/>
        <v>0</v>
      </c>
      <c r="E73" s="546">
        <f t="shared" si="26"/>
        <v>0</v>
      </c>
      <c r="F73" s="546">
        <f t="shared" si="26"/>
        <v>0</v>
      </c>
      <c r="G73" s="546">
        <f>+'6.a. mell. PH'!D83</f>
        <v>0</v>
      </c>
      <c r="H73" s="546">
        <f>+'6.a. mell. PH'!E83</f>
        <v>0</v>
      </c>
      <c r="I73" s="546">
        <f>+'6.a. mell. PH'!F83</f>
        <v>0</v>
      </c>
      <c r="J73" s="546">
        <f>+'6.b. mell. Óvoda'!D84</f>
        <v>0</v>
      </c>
      <c r="K73" s="546">
        <f>+'6.b. mell. Óvoda'!E84</f>
        <v>0</v>
      </c>
      <c r="L73" s="546">
        <f>+'6.b. mell. Óvoda'!F84</f>
        <v>0</v>
      </c>
      <c r="M73" s="546">
        <f>+'6.c. mell. BBKP'!D85</f>
        <v>0</v>
      </c>
      <c r="N73" s="546">
        <f>+'6.c. mell. BBKP'!E85</f>
        <v>0</v>
      </c>
      <c r="O73" s="546">
        <f>+'6.c. mell. BBKP'!F85</f>
        <v>0</v>
      </c>
    </row>
    <row r="74" spans="1:15" s="47" customFormat="1">
      <c r="A74" s="5"/>
      <c r="B74" s="1041"/>
      <c r="C74" s="1042"/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</row>
    <row r="75" spans="1:15" s="47" customFormat="1">
      <c r="A75" s="77" t="s">
        <v>136</v>
      </c>
      <c r="B75" s="1037" t="s">
        <v>158</v>
      </c>
      <c r="C75" s="1037"/>
      <c r="D75" s="546">
        <f t="shared" si="26"/>
        <v>404880</v>
      </c>
      <c r="E75" s="546">
        <f t="shared" si="26"/>
        <v>7519</v>
      </c>
      <c r="F75" s="546">
        <f t="shared" si="26"/>
        <v>412399</v>
      </c>
      <c r="G75" s="546">
        <f>+G73+G71+G69+G67+G63+G56+G55</f>
        <v>164131</v>
      </c>
      <c r="H75" s="546">
        <f t="shared" ref="H75:I75" si="35">+H73+H71+H69+H67+H63+H56+H55</f>
        <v>4663</v>
      </c>
      <c r="I75" s="546">
        <f t="shared" si="35"/>
        <v>168794</v>
      </c>
      <c r="J75" s="546">
        <f>+J73+J71+J69+J67+J63+J56+J55</f>
        <v>172741</v>
      </c>
      <c r="K75" s="546">
        <f t="shared" ref="K75:L75" si="36">+K73+K71+K69+K67+K63+K56+K55</f>
        <v>-2372</v>
      </c>
      <c r="L75" s="546">
        <f t="shared" si="36"/>
        <v>170369</v>
      </c>
      <c r="M75" s="546">
        <f>+M73+M71+M69+M67+M63+M56+M55</f>
        <v>68008</v>
      </c>
      <c r="N75" s="546">
        <f t="shared" ref="N75:O75" si="37">+N73+N71+N69+N67+N63+N56+N55</f>
        <v>5228</v>
      </c>
      <c r="O75" s="546">
        <f t="shared" si="37"/>
        <v>73236</v>
      </c>
    </row>
    <row r="76" spans="1:15" s="47" customFormat="1">
      <c r="A76" s="86"/>
      <c r="B76" s="1031"/>
      <c r="C76" s="1032"/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</row>
    <row r="77" spans="1:15" s="47" customFormat="1">
      <c r="A77" s="86" t="s">
        <v>268</v>
      </c>
      <c r="B77" s="87" t="s">
        <v>274</v>
      </c>
      <c r="C77" s="87"/>
      <c r="D77" s="546">
        <f t="shared" si="26"/>
        <v>0</v>
      </c>
      <c r="E77" s="546">
        <f t="shared" si="26"/>
        <v>0</v>
      </c>
      <c r="F77" s="546">
        <f t="shared" si="26"/>
        <v>0</v>
      </c>
      <c r="G77" s="546">
        <v>0</v>
      </c>
      <c r="H77" s="546">
        <v>0</v>
      </c>
      <c r="I77" s="546">
        <v>0</v>
      </c>
      <c r="J77" s="546">
        <v>0</v>
      </c>
      <c r="K77" s="546">
        <v>0</v>
      </c>
      <c r="L77" s="546">
        <v>0</v>
      </c>
      <c r="M77" s="546">
        <v>0</v>
      </c>
      <c r="N77" s="546">
        <v>0</v>
      </c>
      <c r="O77" s="546">
        <v>0</v>
      </c>
    </row>
    <row r="78" spans="1:15" s="47" customFormat="1">
      <c r="A78" s="86"/>
      <c r="B78" s="1031"/>
      <c r="C78" s="1032"/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</row>
    <row r="79" spans="1:15" s="47" customFormat="1">
      <c r="A79" s="1033" t="s">
        <v>285</v>
      </c>
      <c r="B79" s="1034"/>
      <c r="C79" s="1035"/>
      <c r="D79" s="546">
        <f>+G79+J79+M79</f>
        <v>404880</v>
      </c>
      <c r="E79" s="546">
        <f t="shared" ref="E79:F79" si="38">+H79+K79+N79</f>
        <v>7519</v>
      </c>
      <c r="F79" s="546">
        <f t="shared" si="38"/>
        <v>412399</v>
      </c>
      <c r="G79" s="546">
        <f>+G77+G75</f>
        <v>164131</v>
      </c>
      <c r="H79" s="546">
        <f t="shared" ref="H79:I79" si="39">+H77+H75</f>
        <v>4663</v>
      </c>
      <c r="I79" s="546">
        <f t="shared" si="39"/>
        <v>168794</v>
      </c>
      <c r="J79" s="546">
        <f>+J77+J75</f>
        <v>172741</v>
      </c>
      <c r="K79" s="546">
        <f t="shared" ref="K79:L79" si="40">+K77+K75</f>
        <v>-2372</v>
      </c>
      <c r="L79" s="546">
        <f t="shared" si="40"/>
        <v>170369</v>
      </c>
      <c r="M79" s="546">
        <f>+M77+M75</f>
        <v>68008</v>
      </c>
      <c r="N79" s="546">
        <f t="shared" ref="N79:O79" si="41">+N77+N75</f>
        <v>5228</v>
      </c>
      <c r="O79" s="546">
        <f t="shared" si="41"/>
        <v>73236</v>
      </c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>
      <c r="G89" s="68"/>
      <c r="H89" s="68"/>
      <c r="I89" s="68"/>
      <c r="J89" s="68"/>
      <c r="K89" s="68"/>
      <c r="L89" s="68"/>
      <c r="M89" s="68"/>
      <c r="N89" s="68"/>
      <c r="O89" s="68"/>
    </row>
    <row r="93" spans="1:15">
      <c r="A93" s="82"/>
      <c r="B93" s="79"/>
      <c r="C93" s="79"/>
      <c r="D93" s="65"/>
      <c r="E93" s="65"/>
      <c r="G93" s="65"/>
      <c r="H93" s="65"/>
      <c r="J93" s="65"/>
      <c r="K93" s="65"/>
      <c r="M93" s="65"/>
      <c r="N93" s="65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</sheetData>
  <mergeCells count="83">
    <mergeCell ref="A2:A3"/>
    <mergeCell ref="D2:F2"/>
    <mergeCell ref="B9:C9"/>
    <mergeCell ref="B54:C54"/>
    <mergeCell ref="B40:C40"/>
    <mergeCell ref="B53:C53"/>
    <mergeCell ref="B41:C41"/>
    <mergeCell ref="B39:C39"/>
    <mergeCell ref="B36:C36"/>
    <mergeCell ref="B37:C37"/>
    <mergeCell ref="B38:C38"/>
    <mergeCell ref="B10:C10"/>
    <mergeCell ref="B22:C22"/>
    <mergeCell ref="B2:C3"/>
    <mergeCell ref="B28:C28"/>
    <mergeCell ref="B33:C33"/>
    <mergeCell ref="M1:O1"/>
    <mergeCell ref="M2:O2"/>
    <mergeCell ref="B27:C27"/>
    <mergeCell ref="B20:C20"/>
    <mergeCell ref="B21:C21"/>
    <mergeCell ref="J2:L2"/>
    <mergeCell ref="B4:C4"/>
    <mergeCell ref="B14:C14"/>
    <mergeCell ref="G2:I2"/>
    <mergeCell ref="B12:C12"/>
    <mergeCell ref="B16:C16"/>
    <mergeCell ref="B5:C5"/>
    <mergeCell ref="B6:C6"/>
    <mergeCell ref="B7:C7"/>
    <mergeCell ref="B8:C8"/>
    <mergeCell ref="B11:C11"/>
    <mergeCell ref="B72:C72"/>
    <mergeCell ref="B67:C67"/>
    <mergeCell ref="B68:C68"/>
    <mergeCell ref="B69:C69"/>
    <mergeCell ref="B70:C70"/>
    <mergeCell ref="B60:C60"/>
    <mergeCell ref="B61:C61"/>
    <mergeCell ref="B62:C62"/>
    <mergeCell ref="B63:C63"/>
    <mergeCell ref="B66:C66"/>
    <mergeCell ref="B64:C64"/>
    <mergeCell ref="B32:C32"/>
    <mergeCell ref="B29:C29"/>
    <mergeCell ref="B59:C59"/>
    <mergeCell ref="B23:C23"/>
    <mergeCell ref="B24:C24"/>
    <mergeCell ref="B25:C25"/>
    <mergeCell ref="B56:C56"/>
    <mergeCell ref="B58:C58"/>
    <mergeCell ref="B46:C46"/>
    <mergeCell ref="B34:C34"/>
    <mergeCell ref="B35:C35"/>
    <mergeCell ref="B42:C42"/>
    <mergeCell ref="B43:C43"/>
    <mergeCell ref="B47:C47"/>
    <mergeCell ref="B48:C48"/>
    <mergeCell ref="A49:C49"/>
    <mergeCell ref="B13:C13"/>
    <mergeCell ref="B30:C30"/>
    <mergeCell ref="B31:C31"/>
    <mergeCell ref="B15:C15"/>
    <mergeCell ref="B26:C26"/>
    <mergeCell ref="B17:C17"/>
    <mergeCell ref="B18:C18"/>
    <mergeCell ref="B19:C19"/>
    <mergeCell ref="B78:C78"/>
    <mergeCell ref="A79:C79"/>
    <mergeCell ref="M51:O51"/>
    <mergeCell ref="B55:C55"/>
    <mergeCell ref="A57:C57"/>
    <mergeCell ref="B74:C74"/>
    <mergeCell ref="B76:C76"/>
    <mergeCell ref="A51:A52"/>
    <mergeCell ref="B51:C52"/>
    <mergeCell ref="D51:F51"/>
    <mergeCell ref="G51:I51"/>
    <mergeCell ref="J51:L51"/>
    <mergeCell ref="B75:C75"/>
    <mergeCell ref="B71:C71"/>
    <mergeCell ref="B65:C65"/>
    <mergeCell ref="B73:C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Roman,Félkövér"&amp;12Martonvásár Város Önkormányzatának kiadásai 2016.
Intézmények mindösszesen&amp;R&amp;"Times New Roman,Félkövér"&amp;12 6. melléklet
&amp;"Times New Roman,Normál"&amp;11Adatok E FT-ban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topLeftCell="A58" workbookViewId="0">
      <selection activeCell="C84" sqref="C84"/>
    </sheetView>
  </sheetViews>
  <sheetFormatPr defaultColWidth="9.109375" defaultRowHeight="14.4"/>
  <cols>
    <col min="1" max="1" width="7.33203125" style="749" customWidth="1"/>
    <col min="2" max="2" width="7.109375" style="28" customWidth="1"/>
    <col min="3" max="3" width="48.88671875" style="28" customWidth="1"/>
    <col min="4" max="4" width="10.33203125" style="68" customWidth="1"/>
    <col min="5" max="6" width="10.33203125" style="19" customWidth="1"/>
    <col min="7" max="16384" width="9.109375" style="1"/>
  </cols>
  <sheetData>
    <row r="1" spans="1:6" ht="18.75" customHeight="1">
      <c r="D1" s="990" t="s">
        <v>399</v>
      </c>
      <c r="E1" s="990"/>
      <c r="F1" s="990"/>
    </row>
    <row r="2" spans="1:6" ht="40.950000000000003" customHeight="1">
      <c r="A2" s="1043" t="s">
        <v>0</v>
      </c>
      <c r="B2" s="1068" t="s">
        <v>180</v>
      </c>
      <c r="C2" s="1046"/>
      <c r="D2" s="1036" t="s">
        <v>291</v>
      </c>
      <c r="E2" s="1036"/>
      <c r="F2" s="1036"/>
    </row>
    <row r="3" spans="1:6" s="2" customFormat="1" ht="16.2" customHeight="1">
      <c r="A3" s="1076"/>
      <c r="B3" s="1073"/>
      <c r="C3" s="1074"/>
      <c r="D3" s="828" t="s">
        <v>870</v>
      </c>
      <c r="E3" s="746" t="s">
        <v>732</v>
      </c>
      <c r="F3" s="828" t="s">
        <v>947</v>
      </c>
    </row>
    <row r="4" spans="1:6" s="88" customFormat="1" ht="13.5" customHeight="1">
      <c r="A4" s="1044"/>
      <c r="B4" s="1069"/>
      <c r="C4" s="1048"/>
      <c r="D4" s="1070" t="s">
        <v>187</v>
      </c>
      <c r="E4" s="1071"/>
      <c r="F4" s="1072"/>
    </row>
    <row r="5" spans="1:6" ht="12" customHeight="1">
      <c r="A5" s="12" t="s">
        <v>2</v>
      </c>
      <c r="B5" s="973" t="s">
        <v>1</v>
      </c>
      <c r="C5" s="973"/>
      <c r="D5" s="29">
        <v>87174</v>
      </c>
      <c r="E5" s="4">
        <v>-3416</v>
      </c>
      <c r="F5" s="29">
        <f>+D5+E5</f>
        <v>83758</v>
      </c>
    </row>
    <row r="6" spans="1:6" ht="12" customHeight="1">
      <c r="A6" s="3" t="s">
        <v>4</v>
      </c>
      <c r="B6" s="973" t="s">
        <v>3</v>
      </c>
      <c r="C6" s="973"/>
      <c r="D6" s="29">
        <v>191</v>
      </c>
      <c r="E6" s="4">
        <v>2700</v>
      </c>
      <c r="F6" s="29">
        <f t="shared" ref="F6:F18" si="0">+D6+E6</f>
        <v>2891</v>
      </c>
    </row>
    <row r="7" spans="1:6" ht="12" customHeight="1">
      <c r="A7" s="3" t="s">
        <v>6</v>
      </c>
      <c r="B7" s="973" t="s">
        <v>5</v>
      </c>
      <c r="C7" s="973"/>
      <c r="D7" s="29">
        <v>5776</v>
      </c>
      <c r="E7" s="4">
        <v>120</v>
      </c>
      <c r="F7" s="29">
        <f t="shared" si="0"/>
        <v>5896</v>
      </c>
    </row>
    <row r="8" spans="1:6" ht="12" customHeight="1">
      <c r="A8" s="3" t="s">
        <v>8</v>
      </c>
      <c r="B8" s="973" t="s">
        <v>7</v>
      </c>
      <c r="C8" s="973"/>
      <c r="D8" s="29">
        <v>1303</v>
      </c>
      <c r="E8" s="4">
        <v>1767</v>
      </c>
      <c r="F8" s="29">
        <f t="shared" si="0"/>
        <v>3070</v>
      </c>
    </row>
    <row r="9" spans="1:6" ht="12" customHeight="1">
      <c r="A9" s="3" t="s">
        <v>10</v>
      </c>
      <c r="B9" s="973" t="s">
        <v>9</v>
      </c>
      <c r="C9" s="973"/>
      <c r="D9" s="29">
        <v>0</v>
      </c>
      <c r="E9" s="4"/>
      <c r="F9" s="29">
        <f t="shared" si="0"/>
        <v>0</v>
      </c>
    </row>
    <row r="10" spans="1:6" ht="12" customHeight="1">
      <c r="A10" s="3" t="s">
        <v>12</v>
      </c>
      <c r="B10" s="973" t="s">
        <v>11</v>
      </c>
      <c r="C10" s="973"/>
      <c r="D10" s="29">
        <v>1897</v>
      </c>
      <c r="E10" s="20"/>
      <c r="F10" s="29">
        <f t="shared" si="0"/>
        <v>1897</v>
      </c>
    </row>
    <row r="11" spans="1:6" ht="12" customHeight="1">
      <c r="A11" s="3" t="s">
        <v>14</v>
      </c>
      <c r="B11" s="973" t="s">
        <v>13</v>
      </c>
      <c r="C11" s="973"/>
      <c r="D11" s="29">
        <v>3893</v>
      </c>
      <c r="E11" s="20">
        <v>-15</v>
      </c>
      <c r="F11" s="29">
        <f t="shared" si="0"/>
        <v>3878</v>
      </c>
    </row>
    <row r="12" spans="1:6" ht="12" customHeight="1">
      <c r="A12" s="3" t="s">
        <v>16</v>
      </c>
      <c r="B12" s="973" t="s">
        <v>15</v>
      </c>
      <c r="C12" s="973"/>
      <c r="D12" s="29">
        <v>0</v>
      </c>
      <c r="E12" s="20"/>
      <c r="F12" s="29">
        <f t="shared" si="0"/>
        <v>0</v>
      </c>
    </row>
    <row r="13" spans="1:6" ht="12" customHeight="1">
      <c r="A13" s="3" t="s">
        <v>18</v>
      </c>
      <c r="B13" s="973" t="s">
        <v>17</v>
      </c>
      <c r="C13" s="973"/>
      <c r="D13" s="29">
        <v>2836</v>
      </c>
      <c r="E13" s="20">
        <v>-627</v>
      </c>
      <c r="F13" s="29">
        <f t="shared" si="0"/>
        <v>2209</v>
      </c>
    </row>
    <row r="14" spans="1:6" ht="12" customHeight="1">
      <c r="A14" s="3" t="s">
        <v>20</v>
      </c>
      <c r="B14" s="973" t="s">
        <v>19</v>
      </c>
      <c r="C14" s="973"/>
      <c r="D14" s="29">
        <v>153</v>
      </c>
      <c r="E14" s="20">
        <v>-56</v>
      </c>
      <c r="F14" s="29">
        <f t="shared" si="0"/>
        <v>97</v>
      </c>
    </row>
    <row r="15" spans="1:6" ht="12" customHeight="1">
      <c r="A15" s="3" t="s">
        <v>22</v>
      </c>
      <c r="B15" s="973" t="s">
        <v>21</v>
      </c>
      <c r="C15" s="973"/>
      <c r="D15" s="29">
        <v>0</v>
      </c>
      <c r="E15" s="20"/>
      <c r="F15" s="29">
        <f t="shared" si="0"/>
        <v>0</v>
      </c>
    </row>
    <row r="16" spans="1:6" ht="12" customHeight="1">
      <c r="A16" s="3" t="s">
        <v>24</v>
      </c>
      <c r="B16" s="973" t="s">
        <v>23</v>
      </c>
      <c r="C16" s="973"/>
      <c r="D16" s="29">
        <v>272</v>
      </c>
      <c r="E16" s="20">
        <v>165</v>
      </c>
      <c r="F16" s="29">
        <f t="shared" si="0"/>
        <v>437</v>
      </c>
    </row>
    <row r="17" spans="1:6" ht="12" customHeight="1">
      <c r="A17" s="3" t="s">
        <v>25</v>
      </c>
      <c r="B17" s="973" t="s">
        <v>176</v>
      </c>
      <c r="C17" s="973"/>
      <c r="D17" s="29">
        <v>1562</v>
      </c>
      <c r="E17" s="20">
        <v>269</v>
      </c>
      <c r="F17" s="29">
        <f t="shared" si="0"/>
        <v>1831</v>
      </c>
    </row>
    <row r="18" spans="1:6" ht="12" customHeight="1">
      <c r="A18" s="3" t="s">
        <v>25</v>
      </c>
      <c r="B18" s="973" t="s">
        <v>26</v>
      </c>
      <c r="C18" s="973"/>
      <c r="D18" s="29">
        <v>0</v>
      </c>
      <c r="E18" s="20"/>
      <c r="F18" s="29">
        <f t="shared" si="0"/>
        <v>0</v>
      </c>
    </row>
    <row r="19" spans="1:6" ht="12" customHeight="1">
      <c r="A19" s="5" t="s">
        <v>27</v>
      </c>
      <c r="B19" s="972" t="s">
        <v>175</v>
      </c>
      <c r="C19" s="972"/>
      <c r="D19" s="62">
        <v>105057</v>
      </c>
      <c r="E19" s="48">
        <f>SUM(E5:E18)</f>
        <v>907</v>
      </c>
      <c r="F19" s="48">
        <f>SUM(F5:F18)</f>
        <v>105964</v>
      </c>
    </row>
    <row r="20" spans="1:6" ht="12" customHeight="1">
      <c r="A20" s="3" t="s">
        <v>29</v>
      </c>
      <c r="B20" s="973" t="s">
        <v>28</v>
      </c>
      <c r="C20" s="973"/>
      <c r="D20" s="29"/>
      <c r="E20" s="20"/>
      <c r="F20" s="20"/>
    </row>
    <row r="21" spans="1:6" ht="12" customHeight="1">
      <c r="A21" s="3" t="s">
        <v>31</v>
      </c>
      <c r="B21" s="973" t="s">
        <v>30</v>
      </c>
      <c r="C21" s="973"/>
      <c r="D21" s="29">
        <v>700</v>
      </c>
      <c r="E21" s="20">
        <f>57+520</f>
        <v>577</v>
      </c>
      <c r="F21" s="30">
        <f>+D21+E21</f>
        <v>1277</v>
      </c>
    </row>
    <row r="22" spans="1:6" ht="12" customHeight="1">
      <c r="A22" s="3" t="s">
        <v>33</v>
      </c>
      <c r="B22" s="973" t="s">
        <v>32</v>
      </c>
      <c r="C22" s="973"/>
      <c r="D22" s="29">
        <v>77</v>
      </c>
      <c r="E22" s="20">
        <f>-4+78</f>
        <v>74</v>
      </c>
      <c r="F22" s="30">
        <f>+D22+E22</f>
        <v>151</v>
      </c>
    </row>
    <row r="23" spans="1:6" ht="12" customHeight="1">
      <c r="A23" s="5" t="s">
        <v>34</v>
      </c>
      <c r="B23" s="972" t="s">
        <v>174</v>
      </c>
      <c r="C23" s="972"/>
      <c r="D23" s="62">
        <v>777</v>
      </c>
      <c r="E23" s="48">
        <f>SUM(E20:E22)</f>
        <v>651</v>
      </c>
      <c r="F23" s="48">
        <f>SUM(F20:F22)</f>
        <v>1428</v>
      </c>
    </row>
    <row r="24" spans="1:6" s="50" customFormat="1" ht="12" customHeight="1">
      <c r="A24" s="6" t="s">
        <v>35</v>
      </c>
      <c r="B24" s="969" t="s">
        <v>173</v>
      </c>
      <c r="C24" s="969"/>
      <c r="D24" s="59">
        <v>105834</v>
      </c>
      <c r="E24" s="46">
        <f>+E23+E19</f>
        <v>1558</v>
      </c>
      <c r="F24" s="46">
        <f>+F23+F19</f>
        <v>107392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969" t="s">
        <v>172</v>
      </c>
      <c r="C26" s="969"/>
      <c r="D26" s="58">
        <v>30030</v>
      </c>
      <c r="E26" s="49">
        <f>SUM(E27:E31)</f>
        <v>-717</v>
      </c>
      <c r="F26" s="49">
        <f>SUM(F27:F31)</f>
        <v>29313</v>
      </c>
    </row>
    <row r="27" spans="1:6" ht="12" customHeight="1">
      <c r="A27" s="35" t="s">
        <v>36</v>
      </c>
      <c r="B27" s="42"/>
      <c r="C27" s="36" t="s">
        <v>37</v>
      </c>
      <c r="D27" s="29">
        <v>26642</v>
      </c>
      <c r="E27" s="20">
        <v>835</v>
      </c>
      <c r="F27" s="30">
        <f>+D27+E27</f>
        <v>27477</v>
      </c>
    </row>
    <row r="28" spans="1:6" ht="12" customHeight="1">
      <c r="A28" s="35" t="s">
        <v>36</v>
      </c>
      <c r="B28" s="42"/>
      <c r="C28" s="36" t="s">
        <v>38</v>
      </c>
      <c r="D28" s="29">
        <v>1929</v>
      </c>
      <c r="E28" s="20">
        <v>-1687</v>
      </c>
      <c r="F28" s="30">
        <f t="shared" ref="F28:F31" si="1">+D28+E28</f>
        <v>242</v>
      </c>
    </row>
    <row r="29" spans="1:6" ht="12" customHeight="1">
      <c r="A29" s="35" t="s">
        <v>36</v>
      </c>
      <c r="B29" s="42"/>
      <c r="C29" s="36" t="s">
        <v>39</v>
      </c>
      <c r="D29" s="29">
        <v>722</v>
      </c>
      <c r="E29" s="20">
        <v>22</v>
      </c>
      <c r="F29" s="30">
        <f t="shared" si="1"/>
        <v>744</v>
      </c>
    </row>
    <row r="30" spans="1:6" ht="12" customHeight="1">
      <c r="A30" s="35" t="s">
        <v>36</v>
      </c>
      <c r="B30" s="42"/>
      <c r="C30" s="36" t="s">
        <v>40</v>
      </c>
      <c r="D30" s="29">
        <v>0</v>
      </c>
      <c r="E30" s="20">
        <v>120</v>
      </c>
      <c r="F30" s="30">
        <f t="shared" si="1"/>
        <v>120</v>
      </c>
    </row>
    <row r="31" spans="1:6" ht="12" customHeight="1">
      <c r="A31" s="37" t="s">
        <v>36</v>
      </c>
      <c r="B31" s="42"/>
      <c r="C31" s="36" t="s">
        <v>41</v>
      </c>
      <c r="D31" s="29">
        <v>737</v>
      </c>
      <c r="E31" s="21">
        <v>-7</v>
      </c>
      <c r="F31" s="30">
        <f t="shared" si="1"/>
        <v>730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970" t="s">
        <v>42</v>
      </c>
      <c r="C33" s="970"/>
      <c r="D33" s="29">
        <v>356</v>
      </c>
      <c r="E33" s="24">
        <v>136</v>
      </c>
      <c r="F33" s="33">
        <f>+D33+E33</f>
        <v>492</v>
      </c>
    </row>
    <row r="34" spans="1:6" ht="12" customHeight="1">
      <c r="A34" s="3" t="s">
        <v>45</v>
      </c>
      <c r="B34" s="973" t="s">
        <v>44</v>
      </c>
      <c r="C34" s="973"/>
      <c r="D34" s="29">
        <v>1941</v>
      </c>
      <c r="E34" s="20">
        <f>-46+54+5</f>
        <v>13</v>
      </c>
      <c r="F34" s="33">
        <f t="shared" ref="F34:F38" si="2">+D34+E34</f>
        <v>1954</v>
      </c>
    </row>
    <row r="35" spans="1:6" ht="12" customHeight="1">
      <c r="A35" s="3" t="s">
        <v>47</v>
      </c>
      <c r="B35" s="973" t="s">
        <v>46</v>
      </c>
      <c r="C35" s="973"/>
      <c r="D35" s="29">
        <v>0</v>
      </c>
      <c r="E35" s="20"/>
      <c r="F35" s="33">
        <f t="shared" si="2"/>
        <v>0</v>
      </c>
    </row>
    <row r="36" spans="1:6" s="50" customFormat="1" ht="12" customHeight="1">
      <c r="A36" s="5" t="s">
        <v>48</v>
      </c>
      <c r="B36" s="972" t="s">
        <v>171</v>
      </c>
      <c r="C36" s="972"/>
      <c r="D36" s="62">
        <v>2297</v>
      </c>
      <c r="E36" s="62">
        <f t="shared" ref="E36:F36" si="3">SUM(E33:E35)</f>
        <v>149</v>
      </c>
      <c r="F36" s="62">
        <f t="shared" si="3"/>
        <v>2446</v>
      </c>
    </row>
    <row r="37" spans="1:6" ht="12" customHeight="1">
      <c r="A37" s="3" t="s">
        <v>50</v>
      </c>
      <c r="B37" s="973" t="s">
        <v>49</v>
      </c>
      <c r="C37" s="973"/>
      <c r="D37" s="29">
        <v>1250</v>
      </c>
      <c r="E37" s="20">
        <v>122</v>
      </c>
      <c r="F37" s="33">
        <f t="shared" si="2"/>
        <v>1372</v>
      </c>
    </row>
    <row r="38" spans="1:6" ht="12" customHeight="1">
      <c r="A38" s="3" t="s">
        <v>52</v>
      </c>
      <c r="B38" s="973" t="s">
        <v>51</v>
      </c>
      <c r="C38" s="973"/>
      <c r="D38" s="29">
        <v>1250</v>
      </c>
      <c r="E38" s="20">
        <v>30</v>
      </c>
      <c r="F38" s="33">
        <f t="shared" si="2"/>
        <v>1280</v>
      </c>
    </row>
    <row r="39" spans="1:6" s="50" customFormat="1" ht="12" customHeight="1">
      <c r="A39" s="5" t="s">
        <v>53</v>
      </c>
      <c r="B39" s="972" t="s">
        <v>170</v>
      </c>
      <c r="C39" s="972"/>
      <c r="D39" s="62">
        <v>2500</v>
      </c>
      <c r="E39" s="62">
        <f t="shared" ref="E39:F39" si="4">SUM(E37:E38)</f>
        <v>152</v>
      </c>
      <c r="F39" s="62">
        <f t="shared" si="4"/>
        <v>2652</v>
      </c>
    </row>
    <row r="40" spans="1:6" ht="12" customHeight="1">
      <c r="A40" s="3" t="s">
        <v>55</v>
      </c>
      <c r="B40" s="973" t="s">
        <v>54</v>
      </c>
      <c r="C40" s="973"/>
      <c r="D40" s="29"/>
      <c r="E40" s="20"/>
      <c r="F40" s="20"/>
    </row>
    <row r="41" spans="1:6" ht="12" customHeight="1">
      <c r="A41" s="3" t="s">
        <v>57</v>
      </c>
      <c r="B41" s="973" t="s">
        <v>56</v>
      </c>
      <c r="C41" s="973"/>
      <c r="D41" s="29"/>
      <c r="E41" s="20"/>
      <c r="F41" s="20"/>
    </row>
    <row r="42" spans="1:6" ht="12" customHeight="1">
      <c r="A42" s="3" t="s">
        <v>58</v>
      </c>
      <c r="B42" s="973" t="s">
        <v>168</v>
      </c>
      <c r="C42" s="973"/>
      <c r="D42" s="29">
        <v>132</v>
      </c>
      <c r="E42" s="20">
        <v>33</v>
      </c>
      <c r="F42" s="33">
        <f t="shared" ref="F42:F50" si="5">+D42+E42</f>
        <v>165</v>
      </c>
    </row>
    <row r="43" spans="1:6" ht="12" customHeight="1">
      <c r="A43" s="3" t="s">
        <v>60</v>
      </c>
      <c r="B43" s="973" t="s">
        <v>59</v>
      </c>
      <c r="C43" s="973"/>
      <c r="D43" s="29">
        <v>1710</v>
      </c>
      <c r="E43" s="20">
        <v>144</v>
      </c>
      <c r="F43" s="33">
        <f t="shared" si="5"/>
        <v>1854</v>
      </c>
    </row>
    <row r="44" spans="1:6" ht="12" customHeight="1">
      <c r="A44" s="3" t="s">
        <v>61</v>
      </c>
      <c r="B44" s="985" t="s">
        <v>167</v>
      </c>
      <c r="C44" s="985"/>
      <c r="D44" s="29">
        <v>40</v>
      </c>
      <c r="E44" s="20">
        <v>2</v>
      </c>
      <c r="F44" s="33">
        <f t="shared" si="5"/>
        <v>42</v>
      </c>
    </row>
    <row r="45" spans="1:6" ht="12" customHeight="1">
      <c r="A45" s="35" t="s">
        <v>61</v>
      </c>
      <c r="B45" s="42"/>
      <c r="C45" s="36" t="s">
        <v>62</v>
      </c>
      <c r="D45" s="29">
        <v>0</v>
      </c>
      <c r="E45" s="20"/>
      <c r="F45" s="33">
        <f t="shared" si="5"/>
        <v>0</v>
      </c>
    </row>
    <row r="46" spans="1:6" ht="12" customHeight="1">
      <c r="A46" s="35" t="s">
        <v>61</v>
      </c>
      <c r="B46" s="42"/>
      <c r="C46" s="36" t="s">
        <v>169</v>
      </c>
      <c r="D46" s="29">
        <v>0</v>
      </c>
      <c r="E46" s="20"/>
      <c r="F46" s="33">
        <f t="shared" si="5"/>
        <v>0</v>
      </c>
    </row>
    <row r="47" spans="1:6" ht="12" customHeight="1">
      <c r="A47" s="3" t="s">
        <v>64</v>
      </c>
      <c r="B47" s="970" t="s">
        <v>63</v>
      </c>
      <c r="C47" s="970"/>
      <c r="D47" s="29">
        <v>1426</v>
      </c>
      <c r="E47" s="20">
        <v>292</v>
      </c>
      <c r="F47" s="33">
        <f t="shared" si="5"/>
        <v>1718</v>
      </c>
    </row>
    <row r="48" spans="1:6" ht="12" customHeight="1">
      <c r="A48" s="3" t="s">
        <v>66</v>
      </c>
      <c r="B48" s="973" t="s">
        <v>65</v>
      </c>
      <c r="C48" s="973"/>
      <c r="D48" s="29">
        <v>5300</v>
      </c>
      <c r="E48" s="20">
        <v>293</v>
      </c>
      <c r="F48" s="33">
        <f t="shared" si="5"/>
        <v>5593</v>
      </c>
    </row>
    <row r="49" spans="1:6" s="50" customFormat="1" ht="12" customHeight="1">
      <c r="A49" s="5" t="s">
        <v>67</v>
      </c>
      <c r="B49" s="972" t="s">
        <v>157</v>
      </c>
      <c r="C49" s="972"/>
      <c r="D49" s="62">
        <v>8608</v>
      </c>
      <c r="E49" s="62">
        <f t="shared" ref="E49" si="6">+E48+E47+E44+E43+E42+E41+E40</f>
        <v>764</v>
      </c>
      <c r="F49" s="62">
        <f>+F48+F47+F44+F43+F42+F41+F40</f>
        <v>9372</v>
      </c>
    </row>
    <row r="50" spans="1:6" ht="12" customHeight="1">
      <c r="A50" s="3" t="s">
        <v>69</v>
      </c>
      <c r="B50" s="973" t="s">
        <v>68</v>
      </c>
      <c r="C50" s="973"/>
      <c r="D50" s="29">
        <v>450</v>
      </c>
      <c r="E50" s="20">
        <f>173+18</f>
        <v>191</v>
      </c>
      <c r="F50" s="33">
        <f t="shared" si="5"/>
        <v>641</v>
      </c>
    </row>
    <row r="51" spans="1:6" ht="12" customHeight="1">
      <c r="A51" s="3" t="s">
        <v>71</v>
      </c>
      <c r="B51" s="973" t="s">
        <v>70</v>
      </c>
      <c r="C51" s="973"/>
      <c r="D51" s="29"/>
      <c r="E51" s="20"/>
      <c r="F51" s="20"/>
    </row>
    <row r="52" spans="1:6" ht="12" customHeight="1">
      <c r="A52" s="5" t="s">
        <v>72</v>
      </c>
      <c r="B52" s="972" t="s">
        <v>156</v>
      </c>
      <c r="C52" s="972"/>
      <c r="D52" s="62">
        <v>450</v>
      </c>
      <c r="E52" s="62">
        <f t="shared" ref="E52:F52" si="7">SUM(E50:E51)</f>
        <v>191</v>
      </c>
      <c r="F52" s="62">
        <f t="shared" si="7"/>
        <v>641</v>
      </c>
    </row>
    <row r="53" spans="1:6" ht="12" customHeight="1">
      <c r="A53" s="3" t="s">
        <v>74</v>
      </c>
      <c r="B53" s="973" t="s">
        <v>73</v>
      </c>
      <c r="C53" s="973"/>
      <c r="D53" s="29">
        <v>1748</v>
      </c>
      <c r="E53" s="20">
        <v>248</v>
      </c>
      <c r="F53" s="33">
        <f t="shared" ref="F53" si="8">+D53+E53</f>
        <v>1996</v>
      </c>
    </row>
    <row r="54" spans="1:6" ht="12" customHeight="1">
      <c r="A54" s="3" t="s">
        <v>76</v>
      </c>
      <c r="B54" s="973" t="s">
        <v>75</v>
      </c>
      <c r="C54" s="973"/>
      <c r="D54" s="29"/>
      <c r="E54" s="20"/>
      <c r="F54" s="20"/>
    </row>
    <row r="55" spans="1:6" ht="12" customHeight="1">
      <c r="A55" s="3" t="s">
        <v>77</v>
      </c>
      <c r="B55" s="973" t="s">
        <v>155</v>
      </c>
      <c r="C55" s="973"/>
      <c r="D55" s="29"/>
      <c r="E55" s="20"/>
      <c r="F55" s="20"/>
    </row>
    <row r="56" spans="1:6" ht="12" customHeight="1">
      <c r="A56" s="3" t="s">
        <v>78</v>
      </c>
      <c r="B56" s="973" t="s">
        <v>154</v>
      </c>
      <c r="C56" s="973"/>
      <c r="D56" s="29"/>
      <c r="E56" s="20"/>
      <c r="F56" s="20"/>
    </row>
    <row r="57" spans="1:6" ht="12" customHeight="1">
      <c r="A57" s="3" t="s">
        <v>80</v>
      </c>
      <c r="B57" s="973" t="s">
        <v>79</v>
      </c>
      <c r="C57" s="973"/>
      <c r="D57" s="29">
        <v>100</v>
      </c>
      <c r="E57" s="20">
        <v>280</v>
      </c>
      <c r="F57" s="33">
        <f t="shared" ref="F57" si="9">+D57+E57</f>
        <v>380</v>
      </c>
    </row>
    <row r="58" spans="1:6" ht="12" customHeight="1">
      <c r="A58" s="5" t="s">
        <v>81</v>
      </c>
      <c r="B58" s="972" t="s">
        <v>153</v>
      </c>
      <c r="C58" s="972"/>
      <c r="D58" s="62">
        <v>1848</v>
      </c>
      <c r="E58" s="62">
        <f t="shared" ref="E58" si="10">SUM(E53:E57)</f>
        <v>528</v>
      </c>
      <c r="F58" s="62">
        <f>SUM(F53:F57)</f>
        <v>2376</v>
      </c>
    </row>
    <row r="59" spans="1:6" ht="12" customHeight="1">
      <c r="A59" s="6" t="s">
        <v>82</v>
      </c>
      <c r="B59" s="969" t="s">
        <v>152</v>
      </c>
      <c r="C59" s="969"/>
      <c r="D59" s="59">
        <v>15703</v>
      </c>
      <c r="E59" s="59">
        <f t="shared" ref="E59" si="11">+E58+E52+E49+E39+E36</f>
        <v>1784</v>
      </c>
      <c r="F59" s="59">
        <f>+F58+F52+F49+F39+F36</f>
        <v>17487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3" t="s">
        <v>102</v>
      </c>
      <c r="B61" s="968" t="s">
        <v>818</v>
      </c>
      <c r="C61" s="968"/>
      <c r="D61" s="30">
        <v>499</v>
      </c>
      <c r="E61" s="20">
        <f>E62</f>
        <v>0</v>
      </c>
      <c r="F61" s="30">
        <f>SUM(D61:E61)</f>
        <v>499</v>
      </c>
    </row>
    <row r="62" spans="1:6" ht="12" customHeight="1">
      <c r="A62" s="3"/>
      <c r="B62" s="854"/>
      <c r="C62" s="38" t="s">
        <v>821</v>
      </c>
      <c r="D62" s="30">
        <v>499</v>
      </c>
      <c r="E62" s="20"/>
      <c r="F62" s="30">
        <f>SUM(D62:E62)</f>
        <v>499</v>
      </c>
    </row>
    <row r="63" spans="1:6" ht="12" customHeight="1">
      <c r="A63" s="12" t="s">
        <v>108</v>
      </c>
      <c r="B63" s="1075" t="s">
        <v>165</v>
      </c>
      <c r="C63" s="1023"/>
      <c r="D63" s="33">
        <v>8646</v>
      </c>
      <c r="E63" s="33"/>
      <c r="F63" s="853">
        <f t="shared" ref="F63" si="12">+F64</f>
        <v>8646</v>
      </c>
    </row>
    <row r="64" spans="1:6" ht="12" customHeight="1">
      <c r="A64" s="44" t="s">
        <v>108</v>
      </c>
      <c r="B64" s="42"/>
      <c r="C64" s="38" t="s">
        <v>105</v>
      </c>
      <c r="D64" s="30">
        <v>8646</v>
      </c>
      <c r="E64" s="20"/>
      <c r="F64" s="33">
        <f t="shared" ref="F64" si="13">+D64+E64</f>
        <v>8646</v>
      </c>
    </row>
    <row r="65" spans="1:6" ht="12" customHeight="1">
      <c r="A65" s="6" t="s">
        <v>109</v>
      </c>
      <c r="B65" s="969" t="s">
        <v>164</v>
      </c>
      <c r="C65" s="969"/>
      <c r="D65" s="59">
        <v>9145</v>
      </c>
      <c r="E65" s="59">
        <f t="shared" ref="E65:F65" si="14">+E61+E63</f>
        <v>0</v>
      </c>
      <c r="F65" s="59">
        <f t="shared" si="14"/>
        <v>9145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970" t="s">
        <v>110</v>
      </c>
      <c r="C67" s="970"/>
      <c r="D67" s="33"/>
      <c r="E67" s="24"/>
      <c r="F67" s="24"/>
    </row>
    <row r="68" spans="1:6" ht="12" customHeight="1">
      <c r="A68" s="3" t="s">
        <v>112</v>
      </c>
      <c r="B68" s="973" t="s">
        <v>163</v>
      </c>
      <c r="C68" s="973"/>
      <c r="D68" s="30"/>
      <c r="E68" s="20"/>
      <c r="F68" s="20"/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20"/>
    </row>
    <row r="70" spans="1:6" ht="12" customHeight="1">
      <c r="A70" s="3" t="s">
        <v>115</v>
      </c>
      <c r="B70" s="973" t="s">
        <v>114</v>
      </c>
      <c r="C70" s="973"/>
      <c r="D70" s="30">
        <v>515</v>
      </c>
      <c r="E70" s="20">
        <v>341</v>
      </c>
      <c r="F70" s="33">
        <f t="shared" ref="F70:F71" si="15">+D70+E70</f>
        <v>856</v>
      </c>
    </row>
    <row r="71" spans="1:6" ht="12" customHeight="1">
      <c r="A71" s="3" t="s">
        <v>117</v>
      </c>
      <c r="B71" s="973" t="s">
        <v>116</v>
      </c>
      <c r="C71" s="973"/>
      <c r="D71" s="30">
        <v>2177</v>
      </c>
      <c r="E71" s="20">
        <v>1359</v>
      </c>
      <c r="F71" s="33">
        <f t="shared" si="15"/>
        <v>3536</v>
      </c>
    </row>
    <row r="72" spans="1:6" ht="12" customHeight="1">
      <c r="A72" s="3" t="s">
        <v>119</v>
      </c>
      <c r="B72" s="973" t="s">
        <v>118</v>
      </c>
      <c r="C72" s="973"/>
      <c r="D72" s="30"/>
      <c r="E72" s="20"/>
      <c r="F72" s="20"/>
    </row>
    <row r="73" spans="1:6" ht="12" customHeight="1">
      <c r="A73" s="3" t="s">
        <v>121</v>
      </c>
      <c r="B73" s="973" t="s">
        <v>120</v>
      </c>
      <c r="C73" s="973"/>
      <c r="D73" s="30"/>
      <c r="E73" s="20"/>
      <c r="F73" s="20"/>
    </row>
    <row r="74" spans="1:6" ht="12" customHeight="1">
      <c r="A74" s="3" t="s">
        <v>123</v>
      </c>
      <c r="B74" s="973" t="s">
        <v>122</v>
      </c>
      <c r="C74" s="973"/>
      <c r="D74" s="30">
        <v>727</v>
      </c>
      <c r="E74" s="20">
        <v>338</v>
      </c>
      <c r="F74" s="33">
        <f t="shared" ref="F74" si="16">+D74+E74</f>
        <v>1065</v>
      </c>
    </row>
    <row r="75" spans="1:6" ht="12" customHeight="1">
      <c r="A75" s="6" t="s">
        <v>124</v>
      </c>
      <c r="B75" s="969" t="s">
        <v>162</v>
      </c>
      <c r="C75" s="969"/>
      <c r="D75" s="59">
        <v>3419</v>
      </c>
      <c r="E75" s="46">
        <f>+E74+E73+E72+E71+E70+E68+E67</f>
        <v>2038</v>
      </c>
      <c r="F75" s="46">
        <f>+F74+F73+F72+F71+F70+F68+F67</f>
        <v>5457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970" t="s">
        <v>125</v>
      </c>
      <c r="C77" s="970"/>
      <c r="D77" s="33"/>
      <c r="E77" s="24"/>
      <c r="F77" s="24"/>
    </row>
    <row r="78" spans="1:6" ht="12" hidden="1" customHeight="1">
      <c r="A78" s="3" t="s">
        <v>128</v>
      </c>
      <c r="B78" s="973" t="s">
        <v>127</v>
      </c>
      <c r="C78" s="973"/>
      <c r="D78" s="30"/>
      <c r="E78" s="20"/>
      <c r="F78" s="20"/>
    </row>
    <row r="79" spans="1:6" ht="12" hidden="1" customHeight="1">
      <c r="A79" s="3" t="s">
        <v>130</v>
      </c>
      <c r="B79" s="973" t="s">
        <v>129</v>
      </c>
      <c r="C79" s="973"/>
      <c r="D79" s="30"/>
      <c r="E79" s="20"/>
      <c r="F79" s="20"/>
    </row>
    <row r="80" spans="1:6" ht="12" hidden="1" customHeight="1">
      <c r="A80" s="3" t="s">
        <v>132</v>
      </c>
      <c r="B80" s="973" t="s">
        <v>131</v>
      </c>
      <c r="C80" s="973"/>
      <c r="D80" s="30"/>
      <c r="E80" s="20"/>
      <c r="F80" s="20"/>
    </row>
    <row r="81" spans="1:6" ht="12" customHeight="1">
      <c r="A81" s="5" t="s">
        <v>133</v>
      </c>
      <c r="B81" s="972" t="s">
        <v>161</v>
      </c>
      <c r="C81" s="972"/>
      <c r="D81" s="62"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974" t="s">
        <v>159</v>
      </c>
      <c r="C83" s="974"/>
      <c r="D83" s="30"/>
      <c r="E83" s="20"/>
      <c r="F83" s="20"/>
    </row>
    <row r="84" spans="1:6" ht="12" customHeight="1" thickBot="1">
      <c r="A84" s="51"/>
      <c r="B84" s="52"/>
      <c r="C84" s="52"/>
      <c r="D84" s="327"/>
      <c r="E84" s="53"/>
      <c r="F84" s="25"/>
    </row>
    <row r="85" spans="1:6" ht="12" customHeight="1" thickBot="1">
      <c r="A85" s="54" t="s">
        <v>136</v>
      </c>
      <c r="B85" s="975" t="s">
        <v>158</v>
      </c>
      <c r="C85" s="975"/>
      <c r="D85" s="69">
        <v>164131</v>
      </c>
      <c r="E85" s="55">
        <f>+E83+E81+E75+E65+E59+E26+E24</f>
        <v>4663</v>
      </c>
      <c r="F85" s="69">
        <f>+F83+F81+F75+F65+F59+F26+F24</f>
        <v>168794</v>
      </c>
    </row>
  </sheetData>
  <mergeCells count="69"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3:C83"/>
    <mergeCell ref="B73:C73"/>
    <mergeCell ref="B75:C75"/>
    <mergeCell ref="B77:C77"/>
    <mergeCell ref="B78:C78"/>
    <mergeCell ref="B55:C55"/>
    <mergeCell ref="B56:C56"/>
    <mergeCell ref="B79:C79"/>
    <mergeCell ref="B81:C81"/>
    <mergeCell ref="B68:C68"/>
    <mergeCell ref="B52:C52"/>
    <mergeCell ref="B53:C53"/>
    <mergeCell ref="B23:C23"/>
    <mergeCell ref="B24:C24"/>
    <mergeCell ref="B70:C70"/>
    <mergeCell ref="B71:C71"/>
    <mergeCell ref="B72:C72"/>
    <mergeCell ref="B57:C57"/>
    <mergeCell ref="B58:C58"/>
    <mergeCell ref="B59:C59"/>
    <mergeCell ref="B61:C61"/>
    <mergeCell ref="B63:C63"/>
    <mergeCell ref="B65:C65"/>
    <mergeCell ref="B67:C67"/>
    <mergeCell ref="B54:C54"/>
    <mergeCell ref="B49:C49"/>
    <mergeCell ref="B40:C40"/>
    <mergeCell ref="B41:C41"/>
    <mergeCell ref="B7:C7"/>
    <mergeCell ref="B8:C8"/>
    <mergeCell ref="B10:C10"/>
    <mergeCell ref="B11:C11"/>
    <mergeCell ref="B17:C17"/>
    <mergeCell ref="B74:C74"/>
    <mergeCell ref="B80:C80"/>
    <mergeCell ref="B85:C85"/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</mergeCells>
  <printOptions horizontalCentered="1"/>
  <pageMargins left="0.70866141732283472" right="0.31496062992125984" top="0.55118110236220474" bottom="0.15748031496062992" header="0.31496062992125984" footer="0.31496062992125984"/>
  <pageSetup paperSize="8" orientation="portrait" r:id="rId1"/>
  <headerFooter>
    <oddHeader>&amp;C&amp;"Times New Roman,Félkövér"&amp;12Martonvásár Város Önkormányzatának kiadásai 2016.
Polgármesteri Hivatal&amp;R&amp;"Times New Roman,Félkövér"&amp;12 6.a melléklet</oddHeader>
  </headerFooter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6"/>
  <sheetViews>
    <sheetView workbookViewId="0">
      <pane xSplit="3" ySplit="4" topLeftCell="D17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L42" sqref="L42"/>
    </sheetView>
  </sheetViews>
  <sheetFormatPr defaultColWidth="8.6640625" defaultRowHeight="14.4"/>
  <cols>
    <col min="1" max="1" width="6.109375" style="282" customWidth="1"/>
    <col min="2" max="2" width="7.109375" style="283" customWidth="1"/>
    <col min="3" max="3" width="25" style="283" customWidth="1"/>
    <col min="4" max="4" width="8.88671875" style="284" bestFit="1" customWidth="1"/>
    <col min="5" max="5" width="6.44140625" style="284" customWidth="1"/>
    <col min="6" max="6" width="8" style="284" customWidth="1"/>
    <col min="7" max="7" width="8.88671875" style="284" bestFit="1" customWidth="1"/>
    <col min="8" max="8" width="6.6640625" style="284" customWidth="1"/>
    <col min="9" max="9" width="7.44140625" style="284" customWidth="1"/>
    <col min="10" max="10" width="8.88671875" style="284" bestFit="1" customWidth="1"/>
    <col min="11" max="11" width="7.109375" style="284" customWidth="1"/>
    <col min="12" max="12" width="6.44140625" style="284" customWidth="1"/>
    <col min="13" max="13" width="6.5546875" style="284" bestFit="1" customWidth="1"/>
    <col min="14" max="15" width="6.88671875" style="284" customWidth="1"/>
    <col min="16" max="16" width="8.88671875" style="284" bestFit="1" customWidth="1"/>
    <col min="17" max="18" width="6.6640625" style="284" bestFit="1" customWidth="1"/>
    <col min="19" max="16384" width="8.6640625" style="247"/>
  </cols>
  <sheetData>
    <row r="1" spans="1:18">
      <c r="A1" s="248"/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085" t="s">
        <v>399</v>
      </c>
      <c r="Q1" s="1085"/>
      <c r="R1" s="1085"/>
    </row>
    <row r="2" spans="1:18" ht="40.5" customHeight="1">
      <c r="A2" s="1080" t="s">
        <v>0</v>
      </c>
      <c r="B2" s="1080" t="s">
        <v>180</v>
      </c>
      <c r="C2" s="1080"/>
      <c r="D2" s="1082" t="s">
        <v>178</v>
      </c>
      <c r="E2" s="1083"/>
      <c r="F2" s="1084"/>
      <c r="G2" s="1030" t="s">
        <v>183</v>
      </c>
      <c r="H2" s="1030"/>
      <c r="I2" s="1030"/>
      <c r="J2" s="1030" t="s">
        <v>286</v>
      </c>
      <c r="K2" s="1030"/>
      <c r="L2" s="1030"/>
      <c r="M2" s="1030" t="s">
        <v>287</v>
      </c>
      <c r="N2" s="1030"/>
      <c r="O2" s="1030"/>
      <c r="P2" s="1030" t="s">
        <v>609</v>
      </c>
      <c r="Q2" s="1030"/>
      <c r="R2" s="1030"/>
    </row>
    <row r="3" spans="1:18">
      <c r="A3" s="1080"/>
      <c r="B3" s="1080"/>
      <c r="C3" s="1080"/>
      <c r="D3" s="1082"/>
      <c r="E3" s="1083"/>
      <c r="F3" s="1084"/>
      <c r="G3" s="1030" t="s">
        <v>187</v>
      </c>
      <c r="H3" s="1030"/>
      <c r="I3" s="1030"/>
      <c r="J3" s="1030" t="s">
        <v>187</v>
      </c>
      <c r="K3" s="1030"/>
      <c r="L3" s="1030"/>
      <c r="M3" s="1030" t="s">
        <v>187</v>
      </c>
      <c r="N3" s="1030"/>
      <c r="O3" s="1030"/>
      <c r="P3" s="1030" t="s">
        <v>187</v>
      </c>
      <c r="Q3" s="1030"/>
      <c r="R3" s="1030"/>
    </row>
    <row r="4" spans="1:18" s="251" customFormat="1" ht="27.6" customHeight="1">
      <c r="A4" s="1080"/>
      <c r="B4" s="1080"/>
      <c r="C4" s="1080"/>
      <c r="D4" s="828" t="s">
        <v>870</v>
      </c>
      <c r="E4" s="828" t="s">
        <v>732</v>
      </c>
      <c r="F4" s="828" t="s">
        <v>947</v>
      </c>
      <c r="G4" s="828" t="s">
        <v>870</v>
      </c>
      <c r="H4" s="828" t="s">
        <v>732</v>
      </c>
      <c r="I4" s="828" t="s">
        <v>947</v>
      </c>
      <c r="J4" s="828" t="s">
        <v>870</v>
      </c>
      <c r="K4" s="828" t="s">
        <v>732</v>
      </c>
      <c r="L4" s="828" t="s">
        <v>947</v>
      </c>
      <c r="M4" s="828" t="s">
        <v>870</v>
      </c>
      <c r="N4" s="828" t="s">
        <v>732</v>
      </c>
      <c r="O4" s="828" t="s">
        <v>947</v>
      </c>
      <c r="P4" s="828" t="s">
        <v>870</v>
      </c>
      <c r="Q4" s="828" t="s">
        <v>732</v>
      </c>
      <c r="R4" s="828" t="s">
        <v>947</v>
      </c>
    </row>
    <row r="5" spans="1:18">
      <c r="A5" s="252" t="s">
        <v>2</v>
      </c>
      <c r="B5" s="1077" t="s">
        <v>1</v>
      </c>
      <c r="C5" s="1077"/>
      <c r="D5" s="310">
        <f>+G5+J5+M5+P5</f>
        <v>95820</v>
      </c>
      <c r="E5" s="310">
        <f t="shared" ref="E5:F18" si="0">+H5+K5+N5+Q5</f>
        <v>-5224</v>
      </c>
      <c r="F5" s="310">
        <f t="shared" si="0"/>
        <v>90596</v>
      </c>
      <c r="G5" s="310">
        <v>95820</v>
      </c>
      <c r="H5" s="310">
        <f>-3988-1236</f>
        <v>-5224</v>
      </c>
      <c r="I5" s="310">
        <f>+G5+H5</f>
        <v>90596</v>
      </c>
      <c r="J5" s="310"/>
      <c r="K5" s="310"/>
      <c r="L5" s="310"/>
      <c r="M5" s="310"/>
      <c r="N5" s="310"/>
      <c r="O5" s="310"/>
      <c r="P5" s="310"/>
      <c r="Q5" s="310"/>
      <c r="R5" s="310"/>
    </row>
    <row r="6" spans="1:18">
      <c r="A6" s="252" t="s">
        <v>4</v>
      </c>
      <c r="B6" s="1077" t="s">
        <v>3</v>
      </c>
      <c r="C6" s="1077"/>
      <c r="D6" s="310">
        <f t="shared" ref="D6:D18" si="1">+G6+J6+M6+P6</f>
        <v>0</v>
      </c>
      <c r="E6" s="310">
        <f t="shared" si="0"/>
        <v>592</v>
      </c>
      <c r="F6" s="310">
        <f t="shared" si="0"/>
        <v>592</v>
      </c>
      <c r="G6" s="310">
        <v>0</v>
      </c>
      <c r="H6" s="310">
        <f>592</f>
        <v>592</v>
      </c>
      <c r="I6" s="310">
        <f t="shared" ref="I6:I17" si="2">+G6+H6</f>
        <v>592</v>
      </c>
      <c r="J6" s="310"/>
      <c r="K6" s="310"/>
      <c r="L6" s="310"/>
      <c r="M6" s="310"/>
      <c r="N6" s="310"/>
      <c r="O6" s="310"/>
      <c r="P6" s="310"/>
      <c r="Q6" s="310"/>
      <c r="R6" s="310"/>
    </row>
    <row r="7" spans="1:18">
      <c r="A7" s="252" t="s">
        <v>6</v>
      </c>
      <c r="B7" s="1077" t="s">
        <v>5</v>
      </c>
      <c r="C7" s="1077"/>
      <c r="D7" s="310">
        <f t="shared" si="1"/>
        <v>0</v>
      </c>
      <c r="E7" s="310">
        <f t="shared" si="0"/>
        <v>2828</v>
      </c>
      <c r="F7" s="310">
        <f t="shared" si="0"/>
        <v>2828</v>
      </c>
      <c r="G7" s="310">
        <v>0</v>
      </c>
      <c r="H7" s="310">
        <v>2828</v>
      </c>
      <c r="I7" s="310">
        <f t="shared" si="2"/>
        <v>2828</v>
      </c>
      <c r="J7" s="310"/>
      <c r="K7" s="310"/>
      <c r="L7" s="310"/>
      <c r="M7" s="310"/>
      <c r="N7" s="310"/>
      <c r="O7" s="310"/>
      <c r="P7" s="310"/>
      <c r="Q7" s="310"/>
      <c r="R7" s="310"/>
    </row>
    <row r="8" spans="1:18">
      <c r="A8" s="252" t="s">
        <v>8</v>
      </c>
      <c r="B8" s="1077" t="s">
        <v>7</v>
      </c>
      <c r="C8" s="1077"/>
      <c r="D8" s="310">
        <f t="shared" si="1"/>
        <v>505</v>
      </c>
      <c r="E8" s="310">
        <f t="shared" si="0"/>
        <v>20</v>
      </c>
      <c r="F8" s="310">
        <f t="shared" si="0"/>
        <v>525</v>
      </c>
      <c r="G8" s="310">
        <v>505</v>
      </c>
      <c r="H8" s="310">
        <v>20</v>
      </c>
      <c r="I8" s="310">
        <f t="shared" si="2"/>
        <v>525</v>
      </c>
      <c r="J8" s="310"/>
      <c r="K8" s="310"/>
      <c r="L8" s="310"/>
      <c r="M8" s="310"/>
      <c r="N8" s="310"/>
      <c r="O8" s="310"/>
      <c r="P8" s="310"/>
      <c r="Q8" s="310"/>
      <c r="R8" s="310"/>
    </row>
    <row r="9" spans="1:18">
      <c r="A9" s="252" t="s">
        <v>10</v>
      </c>
      <c r="B9" s="1077" t="s">
        <v>9</v>
      </c>
      <c r="C9" s="1077"/>
      <c r="D9" s="310">
        <f t="shared" si="1"/>
        <v>0</v>
      </c>
      <c r="E9" s="310">
        <f t="shared" si="0"/>
        <v>0</v>
      </c>
      <c r="F9" s="310">
        <f t="shared" si="0"/>
        <v>0</v>
      </c>
      <c r="G9" s="310">
        <v>0</v>
      </c>
      <c r="H9" s="310"/>
      <c r="I9" s="310">
        <f t="shared" si="2"/>
        <v>0</v>
      </c>
      <c r="J9" s="310"/>
      <c r="K9" s="310"/>
      <c r="L9" s="310"/>
      <c r="M9" s="310"/>
      <c r="N9" s="310"/>
      <c r="O9" s="310"/>
      <c r="P9" s="310"/>
      <c r="Q9" s="310"/>
      <c r="R9" s="310"/>
    </row>
    <row r="10" spans="1:18">
      <c r="A10" s="252" t="s">
        <v>12</v>
      </c>
      <c r="B10" s="1077" t="s">
        <v>11</v>
      </c>
      <c r="C10" s="1077"/>
      <c r="D10" s="310">
        <f t="shared" si="1"/>
        <v>4826</v>
      </c>
      <c r="E10" s="310">
        <f t="shared" si="0"/>
        <v>0</v>
      </c>
      <c r="F10" s="310">
        <f t="shared" si="0"/>
        <v>4826</v>
      </c>
      <c r="G10" s="310">
        <v>4826</v>
      </c>
      <c r="H10" s="310"/>
      <c r="I10" s="310">
        <f t="shared" si="2"/>
        <v>4826</v>
      </c>
      <c r="J10" s="310"/>
      <c r="K10" s="310"/>
      <c r="L10" s="310"/>
      <c r="M10" s="310"/>
      <c r="N10" s="310"/>
      <c r="O10" s="310"/>
      <c r="P10" s="310"/>
      <c r="Q10" s="310"/>
      <c r="R10" s="310"/>
    </row>
    <row r="11" spans="1:18">
      <c r="A11" s="252" t="s">
        <v>14</v>
      </c>
      <c r="B11" s="1077" t="s">
        <v>13</v>
      </c>
      <c r="C11" s="1077"/>
      <c r="D11" s="310">
        <f t="shared" si="1"/>
        <v>2100</v>
      </c>
      <c r="E11" s="310">
        <f t="shared" si="0"/>
        <v>521</v>
      </c>
      <c r="F11" s="310">
        <f t="shared" si="0"/>
        <v>2621</v>
      </c>
      <c r="G11" s="310">
        <v>2100</v>
      </c>
      <c r="H11" s="310">
        <v>521</v>
      </c>
      <c r="I11" s="310">
        <f t="shared" si="2"/>
        <v>2621</v>
      </c>
      <c r="J11" s="310"/>
      <c r="K11" s="310"/>
      <c r="L11" s="310"/>
      <c r="M11" s="310"/>
      <c r="N11" s="310"/>
      <c r="O11" s="310"/>
      <c r="P11" s="310"/>
      <c r="Q11" s="310"/>
      <c r="R11" s="310"/>
    </row>
    <row r="12" spans="1:18">
      <c r="A12" s="252" t="s">
        <v>16</v>
      </c>
      <c r="B12" s="1077" t="s">
        <v>15</v>
      </c>
      <c r="C12" s="1077"/>
      <c r="D12" s="310">
        <f t="shared" si="1"/>
        <v>0</v>
      </c>
      <c r="E12" s="310">
        <f t="shared" si="0"/>
        <v>0</v>
      </c>
      <c r="F12" s="310">
        <f t="shared" si="0"/>
        <v>0</v>
      </c>
      <c r="G12" s="310">
        <v>0</v>
      </c>
      <c r="H12" s="310"/>
      <c r="I12" s="310">
        <f t="shared" si="2"/>
        <v>0</v>
      </c>
      <c r="J12" s="310"/>
      <c r="K12" s="310"/>
      <c r="L12" s="310"/>
      <c r="M12" s="310"/>
      <c r="N12" s="310"/>
      <c r="O12" s="310"/>
      <c r="P12" s="310"/>
      <c r="Q12" s="310"/>
      <c r="R12" s="310"/>
    </row>
    <row r="13" spans="1:18">
      <c r="A13" s="252" t="s">
        <v>18</v>
      </c>
      <c r="B13" s="1077" t="s">
        <v>17</v>
      </c>
      <c r="C13" s="1077"/>
      <c r="D13" s="310">
        <f t="shared" si="1"/>
        <v>952</v>
      </c>
      <c r="E13" s="310">
        <f t="shared" si="0"/>
        <v>-63</v>
      </c>
      <c r="F13" s="310">
        <f t="shared" si="0"/>
        <v>889</v>
      </c>
      <c r="G13" s="310">
        <v>952</v>
      </c>
      <c r="H13" s="310">
        <v>-63</v>
      </c>
      <c r="I13" s="310">
        <f t="shared" si="2"/>
        <v>889</v>
      </c>
      <c r="J13" s="310"/>
      <c r="K13" s="310"/>
      <c r="L13" s="310"/>
      <c r="M13" s="310"/>
      <c r="N13" s="310"/>
      <c r="O13" s="310"/>
      <c r="P13" s="310"/>
      <c r="Q13" s="310"/>
      <c r="R13" s="310"/>
    </row>
    <row r="14" spans="1:18">
      <c r="A14" s="252" t="s">
        <v>20</v>
      </c>
      <c r="B14" s="1077" t="s">
        <v>19</v>
      </c>
      <c r="C14" s="1077"/>
      <c r="D14" s="310">
        <f t="shared" si="1"/>
        <v>0</v>
      </c>
      <c r="E14" s="310">
        <f t="shared" si="0"/>
        <v>0</v>
      </c>
      <c r="F14" s="310">
        <f t="shared" si="0"/>
        <v>0</v>
      </c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</row>
    <row r="15" spans="1:18">
      <c r="A15" s="252" t="s">
        <v>22</v>
      </c>
      <c r="B15" s="1077" t="s">
        <v>21</v>
      </c>
      <c r="C15" s="1077"/>
      <c r="D15" s="310">
        <f t="shared" si="1"/>
        <v>0</v>
      </c>
      <c r="E15" s="310">
        <f t="shared" si="0"/>
        <v>0</v>
      </c>
      <c r="F15" s="310">
        <f t="shared" si="0"/>
        <v>0</v>
      </c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</row>
    <row r="16" spans="1:18">
      <c r="A16" s="252" t="s">
        <v>24</v>
      </c>
      <c r="B16" s="1077" t="s">
        <v>23</v>
      </c>
      <c r="C16" s="1077"/>
      <c r="D16" s="310">
        <f t="shared" si="1"/>
        <v>0</v>
      </c>
      <c r="E16" s="310">
        <f t="shared" si="0"/>
        <v>0</v>
      </c>
      <c r="F16" s="310">
        <f t="shared" si="0"/>
        <v>0</v>
      </c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</row>
    <row r="17" spans="1:18">
      <c r="A17" s="252" t="s">
        <v>25</v>
      </c>
      <c r="B17" s="1077" t="s">
        <v>176</v>
      </c>
      <c r="C17" s="1077"/>
      <c r="D17" s="310">
        <f t="shared" si="1"/>
        <v>1445</v>
      </c>
      <c r="E17" s="310">
        <f t="shared" si="0"/>
        <v>679</v>
      </c>
      <c r="F17" s="310">
        <f t="shared" si="0"/>
        <v>2124</v>
      </c>
      <c r="G17" s="310">
        <v>1445</v>
      </c>
      <c r="H17" s="310">
        <v>679</v>
      </c>
      <c r="I17" s="310">
        <f t="shared" si="2"/>
        <v>2124</v>
      </c>
      <c r="J17" s="310"/>
      <c r="K17" s="310"/>
      <c r="L17" s="310"/>
      <c r="M17" s="310"/>
      <c r="N17" s="310"/>
      <c r="O17" s="310"/>
      <c r="P17" s="310"/>
      <c r="Q17" s="310"/>
      <c r="R17" s="310"/>
    </row>
    <row r="18" spans="1:18">
      <c r="A18" s="252" t="s">
        <v>25</v>
      </c>
      <c r="B18" s="1077" t="s">
        <v>26</v>
      </c>
      <c r="C18" s="1077"/>
      <c r="D18" s="310">
        <f t="shared" si="1"/>
        <v>0</v>
      </c>
      <c r="E18" s="310">
        <f t="shared" si="0"/>
        <v>0</v>
      </c>
      <c r="F18" s="310">
        <f t="shared" si="0"/>
        <v>0</v>
      </c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</row>
    <row r="19" spans="1:18" s="313" customFormat="1">
      <c r="A19" s="311" t="s">
        <v>27</v>
      </c>
      <c r="B19" s="1078" t="s">
        <v>434</v>
      </c>
      <c r="C19" s="1078"/>
      <c r="D19" s="312">
        <f>SUM(D5:D18)</f>
        <v>105648</v>
      </c>
      <c r="E19" s="312">
        <f t="shared" ref="E19:R19" si="3">SUM(E5:E18)</f>
        <v>-647</v>
      </c>
      <c r="F19" s="312">
        <f t="shared" si="3"/>
        <v>105001</v>
      </c>
      <c r="G19" s="312">
        <v>105648</v>
      </c>
      <c r="H19" s="312">
        <f t="shared" si="3"/>
        <v>-647</v>
      </c>
      <c r="I19" s="312">
        <f t="shared" si="3"/>
        <v>105001</v>
      </c>
      <c r="J19" s="312">
        <f t="shared" si="3"/>
        <v>0</v>
      </c>
      <c r="K19" s="312">
        <f t="shared" si="3"/>
        <v>0</v>
      </c>
      <c r="L19" s="312">
        <f t="shared" si="3"/>
        <v>0</v>
      </c>
      <c r="M19" s="312">
        <f t="shared" si="3"/>
        <v>0</v>
      </c>
      <c r="N19" s="312">
        <f t="shared" si="3"/>
        <v>0</v>
      </c>
      <c r="O19" s="312">
        <f t="shared" si="3"/>
        <v>0</v>
      </c>
      <c r="P19" s="312">
        <f t="shared" si="3"/>
        <v>0</v>
      </c>
      <c r="Q19" s="312">
        <f t="shared" si="3"/>
        <v>0</v>
      </c>
      <c r="R19" s="312">
        <f t="shared" si="3"/>
        <v>0</v>
      </c>
    </row>
    <row r="20" spans="1:18">
      <c r="A20" s="252" t="s">
        <v>29</v>
      </c>
      <c r="B20" s="1077" t="s">
        <v>28</v>
      </c>
      <c r="C20" s="1077"/>
      <c r="D20" s="310">
        <f>+G20+J20+M20+P20</f>
        <v>0</v>
      </c>
      <c r="E20" s="310">
        <f t="shared" ref="E20:F22" si="4">+H20+K20+N20+Q20</f>
        <v>0</v>
      </c>
      <c r="F20" s="310">
        <f t="shared" si="4"/>
        <v>0</v>
      </c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</row>
    <row r="21" spans="1:18" ht="28.5" customHeight="1">
      <c r="A21" s="252" t="s">
        <v>31</v>
      </c>
      <c r="B21" s="1077" t="s">
        <v>30</v>
      </c>
      <c r="C21" s="1077"/>
      <c r="D21" s="310">
        <f t="shared" ref="D21:D22" si="5">+G21+J21+M21+P21</f>
        <v>2324</v>
      </c>
      <c r="E21" s="310">
        <f t="shared" si="4"/>
        <v>-925</v>
      </c>
      <c r="F21" s="310">
        <f t="shared" si="4"/>
        <v>1399</v>
      </c>
      <c r="G21" s="310">
        <v>529</v>
      </c>
      <c r="H21" s="310"/>
      <c r="I21" s="310">
        <f>SUM(G21:H21)</f>
        <v>529</v>
      </c>
      <c r="J21" s="310"/>
      <c r="K21" s="310"/>
      <c r="L21" s="310"/>
      <c r="M21" s="310">
        <f>+'[4]6.b. mell. Óvoda'!$O$21</f>
        <v>1795</v>
      </c>
      <c r="N21" s="310">
        <f>-125-800</f>
        <v>-925</v>
      </c>
      <c r="O21" s="310">
        <f>+M21+N21</f>
        <v>870</v>
      </c>
      <c r="P21" s="310"/>
      <c r="Q21" s="310"/>
      <c r="R21" s="310"/>
    </row>
    <row r="22" spans="1:18">
      <c r="A22" s="252" t="s">
        <v>33</v>
      </c>
      <c r="B22" s="1077" t="s">
        <v>32</v>
      </c>
      <c r="C22" s="1077"/>
      <c r="D22" s="310">
        <f t="shared" si="5"/>
        <v>10</v>
      </c>
      <c r="E22" s="310">
        <f t="shared" si="4"/>
        <v>0</v>
      </c>
      <c r="F22" s="310">
        <f t="shared" si="4"/>
        <v>10</v>
      </c>
      <c r="G22" s="310">
        <v>10</v>
      </c>
      <c r="H22" s="310"/>
      <c r="I22" s="310">
        <f>SUM(G22:H22)</f>
        <v>10</v>
      </c>
      <c r="J22" s="310"/>
      <c r="K22" s="310"/>
      <c r="L22" s="310"/>
      <c r="M22" s="310"/>
      <c r="N22" s="310"/>
      <c r="O22" s="310"/>
      <c r="P22" s="310"/>
      <c r="Q22" s="310"/>
      <c r="R22" s="310"/>
    </row>
    <row r="23" spans="1:18" s="313" customFormat="1">
      <c r="A23" s="311" t="s">
        <v>34</v>
      </c>
      <c r="B23" s="1078" t="s">
        <v>435</v>
      </c>
      <c r="C23" s="1078"/>
      <c r="D23" s="312">
        <f>SUM(D20:D22)</f>
        <v>2334</v>
      </c>
      <c r="E23" s="312">
        <f t="shared" ref="E23:R23" si="6">SUM(E20:E22)</f>
        <v>-925</v>
      </c>
      <c r="F23" s="312">
        <f t="shared" si="6"/>
        <v>1409</v>
      </c>
      <c r="G23" s="312">
        <v>539</v>
      </c>
      <c r="H23" s="312">
        <f t="shared" si="6"/>
        <v>0</v>
      </c>
      <c r="I23" s="312">
        <f t="shared" si="6"/>
        <v>539</v>
      </c>
      <c r="J23" s="312">
        <f t="shared" si="6"/>
        <v>0</v>
      </c>
      <c r="K23" s="312">
        <f t="shared" si="6"/>
        <v>0</v>
      </c>
      <c r="L23" s="312">
        <f t="shared" si="6"/>
        <v>0</v>
      </c>
      <c r="M23" s="312">
        <f t="shared" si="6"/>
        <v>1795</v>
      </c>
      <c r="N23" s="312">
        <f t="shared" si="6"/>
        <v>-925</v>
      </c>
      <c r="O23" s="312">
        <f t="shared" si="6"/>
        <v>870</v>
      </c>
      <c r="P23" s="312">
        <f t="shared" si="6"/>
        <v>0</v>
      </c>
      <c r="Q23" s="312">
        <f t="shared" si="6"/>
        <v>0</v>
      </c>
      <c r="R23" s="312">
        <f t="shared" si="6"/>
        <v>0</v>
      </c>
    </row>
    <row r="24" spans="1:18" s="314" customFormat="1">
      <c r="A24" s="311" t="s">
        <v>35</v>
      </c>
      <c r="B24" s="1078" t="s">
        <v>436</v>
      </c>
      <c r="C24" s="1078"/>
      <c r="D24" s="312">
        <f t="shared" ref="D24:R24" si="7">+D23+D19</f>
        <v>107982</v>
      </c>
      <c r="E24" s="312">
        <f t="shared" si="7"/>
        <v>-1572</v>
      </c>
      <c r="F24" s="312">
        <f t="shared" si="7"/>
        <v>106410</v>
      </c>
      <c r="G24" s="312">
        <v>106187</v>
      </c>
      <c r="H24" s="312">
        <f t="shared" si="7"/>
        <v>-647</v>
      </c>
      <c r="I24" s="312">
        <f t="shared" si="7"/>
        <v>105540</v>
      </c>
      <c r="J24" s="312">
        <f t="shared" si="7"/>
        <v>0</v>
      </c>
      <c r="K24" s="312">
        <f t="shared" si="7"/>
        <v>0</v>
      </c>
      <c r="L24" s="312">
        <f t="shared" si="7"/>
        <v>0</v>
      </c>
      <c r="M24" s="312">
        <f t="shared" si="7"/>
        <v>1795</v>
      </c>
      <c r="N24" s="312">
        <f>+N23+N19</f>
        <v>-925</v>
      </c>
      <c r="O24" s="312">
        <f t="shared" si="7"/>
        <v>870</v>
      </c>
      <c r="P24" s="312">
        <f t="shared" si="7"/>
        <v>0</v>
      </c>
      <c r="Q24" s="312">
        <f t="shared" si="7"/>
        <v>0</v>
      </c>
      <c r="R24" s="312">
        <f t="shared" si="7"/>
        <v>0</v>
      </c>
    </row>
    <row r="25" spans="1:18">
      <c r="A25" s="253"/>
      <c r="B25" s="747"/>
      <c r="C25" s="747"/>
      <c r="D25" s="254"/>
      <c r="E25" s="254"/>
      <c r="F25" s="254"/>
      <c r="G25" s="256"/>
      <c r="H25" s="254"/>
      <c r="I25" s="255"/>
      <c r="J25" s="256"/>
      <c r="K25" s="254"/>
      <c r="L25" s="255"/>
      <c r="M25" s="256"/>
      <c r="N25" s="254"/>
      <c r="O25" s="255"/>
      <c r="P25" s="256"/>
      <c r="Q25" s="254"/>
      <c r="R25" s="255"/>
    </row>
    <row r="26" spans="1:18" s="314" customFormat="1">
      <c r="A26" s="311" t="s">
        <v>36</v>
      </c>
      <c r="B26" s="1078" t="s">
        <v>437</v>
      </c>
      <c r="C26" s="1078"/>
      <c r="D26" s="312">
        <f>SUM(D27:D31)</f>
        <v>30287</v>
      </c>
      <c r="E26" s="312">
        <f t="shared" ref="E26:R26" si="8">SUM(E27:E31)</f>
        <v>-952</v>
      </c>
      <c r="F26" s="312">
        <f t="shared" si="8"/>
        <v>29335</v>
      </c>
      <c r="G26" s="312">
        <v>29748</v>
      </c>
      <c r="H26" s="312">
        <f t="shared" si="8"/>
        <v>-652</v>
      </c>
      <c r="I26" s="312">
        <f t="shared" si="8"/>
        <v>29096</v>
      </c>
      <c r="J26" s="312">
        <f t="shared" si="8"/>
        <v>0</v>
      </c>
      <c r="K26" s="312">
        <f t="shared" si="8"/>
        <v>0</v>
      </c>
      <c r="L26" s="312">
        <f t="shared" si="8"/>
        <v>0</v>
      </c>
      <c r="M26" s="312">
        <f t="shared" si="8"/>
        <v>539</v>
      </c>
      <c r="N26" s="312">
        <f t="shared" si="8"/>
        <v>-300</v>
      </c>
      <c r="O26" s="312">
        <f t="shared" si="8"/>
        <v>239</v>
      </c>
      <c r="P26" s="312">
        <f t="shared" si="8"/>
        <v>0</v>
      </c>
      <c r="Q26" s="312">
        <f t="shared" si="8"/>
        <v>0</v>
      </c>
      <c r="R26" s="312">
        <f t="shared" si="8"/>
        <v>0</v>
      </c>
    </row>
    <row r="27" spans="1:18" ht="26.4">
      <c r="A27" s="257" t="s">
        <v>36</v>
      </c>
      <c r="B27" s="258"/>
      <c r="C27" s="259" t="s">
        <v>37</v>
      </c>
      <c r="D27" s="310">
        <f>+G27+J27+M27+P27</f>
        <v>28244</v>
      </c>
      <c r="E27" s="310">
        <f t="shared" ref="E27:F31" si="9">+H27+K27+N27+Q27</f>
        <v>-938</v>
      </c>
      <c r="F27" s="310">
        <f t="shared" si="9"/>
        <v>27306</v>
      </c>
      <c r="G27" s="310">
        <v>27705</v>
      </c>
      <c r="H27" s="310">
        <f>62-700</f>
        <v>-638</v>
      </c>
      <c r="I27" s="310">
        <f>+G27+H27</f>
        <v>27067</v>
      </c>
      <c r="J27" s="310"/>
      <c r="K27" s="310"/>
      <c r="L27" s="310"/>
      <c r="M27" s="310">
        <v>539</v>
      </c>
      <c r="N27" s="310">
        <v>-300</v>
      </c>
      <c r="O27" s="310">
        <f>+M27+N27</f>
        <v>239</v>
      </c>
      <c r="P27" s="310"/>
      <c r="Q27" s="310"/>
      <c r="R27" s="310"/>
    </row>
    <row r="28" spans="1:18" ht="26.4">
      <c r="A28" s="257" t="s">
        <v>36</v>
      </c>
      <c r="B28" s="258"/>
      <c r="C28" s="259" t="s">
        <v>38</v>
      </c>
      <c r="D28" s="310">
        <f t="shared" ref="D28:D31" si="10">+G28+J28+M28+P28</f>
        <v>965</v>
      </c>
      <c r="E28" s="310">
        <f t="shared" si="9"/>
        <v>-305</v>
      </c>
      <c r="F28" s="310">
        <f t="shared" si="9"/>
        <v>660</v>
      </c>
      <c r="G28" s="310">
        <v>965</v>
      </c>
      <c r="H28" s="310">
        <v>-305</v>
      </c>
      <c r="I28" s="310">
        <f t="shared" ref="I28:I34" si="11">+G28+H28</f>
        <v>660</v>
      </c>
      <c r="J28" s="310"/>
      <c r="K28" s="310"/>
      <c r="L28" s="310"/>
      <c r="M28" s="310"/>
      <c r="N28" s="310"/>
      <c r="O28" s="310"/>
      <c r="P28" s="310"/>
      <c r="Q28" s="310"/>
      <c r="R28" s="310"/>
    </row>
    <row r="29" spans="1:18" ht="26.4">
      <c r="A29" s="257" t="s">
        <v>36</v>
      </c>
      <c r="B29" s="258"/>
      <c r="C29" s="259" t="s">
        <v>39</v>
      </c>
      <c r="D29" s="310">
        <f t="shared" si="10"/>
        <v>350</v>
      </c>
      <c r="E29" s="310">
        <f t="shared" si="9"/>
        <v>117</v>
      </c>
      <c r="F29" s="310">
        <f t="shared" si="9"/>
        <v>467</v>
      </c>
      <c r="G29" s="310">
        <v>350</v>
      </c>
      <c r="H29" s="310">
        <v>117</v>
      </c>
      <c r="I29" s="310">
        <f t="shared" si="11"/>
        <v>467</v>
      </c>
      <c r="J29" s="310"/>
      <c r="K29" s="310"/>
      <c r="L29" s="310"/>
      <c r="M29" s="310"/>
      <c r="N29" s="310"/>
      <c r="O29" s="310"/>
      <c r="P29" s="310"/>
      <c r="Q29" s="310"/>
      <c r="R29" s="310"/>
    </row>
    <row r="30" spans="1:18" ht="13.5" customHeight="1">
      <c r="A30" s="257" t="s">
        <v>36</v>
      </c>
      <c r="B30" s="258"/>
      <c r="C30" s="259" t="s">
        <v>40</v>
      </c>
      <c r="D30" s="310">
        <f t="shared" si="10"/>
        <v>353</v>
      </c>
      <c r="E30" s="310">
        <f t="shared" si="9"/>
        <v>79</v>
      </c>
      <c r="F30" s="310">
        <f t="shared" si="9"/>
        <v>432</v>
      </c>
      <c r="G30" s="310">
        <v>353</v>
      </c>
      <c r="H30" s="310">
        <v>79</v>
      </c>
      <c r="I30" s="310">
        <f t="shared" si="11"/>
        <v>432</v>
      </c>
      <c r="J30" s="310"/>
      <c r="K30" s="310"/>
      <c r="L30" s="310"/>
      <c r="M30" s="310"/>
      <c r="N30" s="310"/>
      <c r="O30" s="310"/>
      <c r="P30" s="310"/>
      <c r="Q30" s="310"/>
      <c r="R30" s="310"/>
    </row>
    <row r="31" spans="1:18" ht="25.5" customHeight="1">
      <c r="A31" s="257" t="s">
        <v>36</v>
      </c>
      <c r="B31" s="258"/>
      <c r="C31" s="259" t="s">
        <v>41</v>
      </c>
      <c r="D31" s="310">
        <f t="shared" si="10"/>
        <v>375</v>
      </c>
      <c r="E31" s="310">
        <f t="shared" si="9"/>
        <v>95</v>
      </c>
      <c r="F31" s="310">
        <f t="shared" si="9"/>
        <v>470</v>
      </c>
      <c r="G31" s="310">
        <v>375</v>
      </c>
      <c r="H31" s="310">
        <v>95</v>
      </c>
      <c r="I31" s="310">
        <f t="shared" si="11"/>
        <v>470</v>
      </c>
      <c r="J31" s="310"/>
      <c r="K31" s="310"/>
      <c r="L31" s="310"/>
      <c r="M31" s="310"/>
      <c r="N31" s="310"/>
      <c r="O31" s="310"/>
      <c r="P31" s="310"/>
      <c r="Q31" s="310"/>
      <c r="R31" s="310"/>
    </row>
    <row r="32" spans="1:18">
      <c r="A32" s="260"/>
      <c r="B32" s="261"/>
      <c r="C32" s="262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</row>
    <row r="33" spans="1:18">
      <c r="A33" s="252" t="s">
        <v>43</v>
      </c>
      <c r="B33" s="1077" t="s">
        <v>42</v>
      </c>
      <c r="C33" s="1077"/>
      <c r="D33" s="310">
        <f>+G33+J33+M33+P33</f>
        <v>750</v>
      </c>
      <c r="E33" s="310">
        <f t="shared" ref="E33:F35" si="12">+H33+K33+N33+Q33</f>
        <v>-134</v>
      </c>
      <c r="F33" s="310">
        <f t="shared" si="12"/>
        <v>616</v>
      </c>
      <c r="G33" s="310">
        <v>750</v>
      </c>
      <c r="H33" s="310">
        <f>-162+28</f>
        <v>-134</v>
      </c>
      <c r="I33" s="310">
        <f t="shared" si="11"/>
        <v>616</v>
      </c>
      <c r="J33" s="310"/>
      <c r="K33" s="310"/>
      <c r="L33" s="310"/>
      <c r="M33" s="310"/>
      <c r="N33" s="310"/>
      <c r="O33" s="310"/>
      <c r="P33" s="310"/>
      <c r="Q33" s="310"/>
      <c r="R33" s="310"/>
    </row>
    <row r="34" spans="1:18">
      <c r="A34" s="837" t="s">
        <v>45</v>
      </c>
      <c r="B34" s="1077" t="s">
        <v>44</v>
      </c>
      <c r="C34" s="1077"/>
      <c r="D34" s="310">
        <f t="shared" ref="D34:D35" si="13">+G34+J34+M34+P34</f>
        <v>1256</v>
      </c>
      <c r="E34" s="310">
        <f t="shared" si="12"/>
        <v>0</v>
      </c>
      <c r="F34" s="838">
        <f t="shared" si="12"/>
        <v>1256</v>
      </c>
      <c r="G34" s="310">
        <v>1249</v>
      </c>
      <c r="H34" s="310"/>
      <c r="I34" s="310">
        <f t="shared" si="11"/>
        <v>1249</v>
      </c>
      <c r="J34" s="310">
        <f>+'[4]6.b. mell. Óvoda'!L34</f>
        <v>7</v>
      </c>
      <c r="K34" s="310"/>
      <c r="L34" s="310">
        <f>SUM(J34:K34)</f>
        <v>7</v>
      </c>
      <c r="M34" s="310"/>
      <c r="N34" s="310"/>
      <c r="O34" s="310"/>
      <c r="P34" s="310"/>
      <c r="Q34" s="310"/>
      <c r="R34" s="310"/>
    </row>
    <row r="35" spans="1:18">
      <c r="A35" s="252" t="s">
        <v>47</v>
      </c>
      <c r="B35" s="1077" t="s">
        <v>46</v>
      </c>
      <c r="C35" s="1077"/>
      <c r="D35" s="310">
        <f t="shared" si="13"/>
        <v>0</v>
      </c>
      <c r="E35" s="310">
        <f t="shared" si="12"/>
        <v>0</v>
      </c>
      <c r="F35" s="310">
        <f t="shared" si="12"/>
        <v>0</v>
      </c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</row>
    <row r="36" spans="1:18" s="314" customFormat="1">
      <c r="A36" s="311" t="s">
        <v>48</v>
      </c>
      <c r="B36" s="1078" t="s">
        <v>439</v>
      </c>
      <c r="C36" s="1078"/>
      <c r="D36" s="312">
        <f>SUM(D33:D35)</f>
        <v>2006</v>
      </c>
      <c r="E36" s="312">
        <f t="shared" ref="E36:R36" si="14">SUM(E33:E35)</f>
        <v>-134</v>
      </c>
      <c r="F36" s="312">
        <f t="shared" si="14"/>
        <v>1872</v>
      </c>
      <c r="G36" s="312">
        <v>1999</v>
      </c>
      <c r="H36" s="312">
        <f t="shared" si="14"/>
        <v>-134</v>
      </c>
      <c r="I36" s="312">
        <f t="shared" si="14"/>
        <v>1865</v>
      </c>
      <c r="J36" s="312">
        <f t="shared" si="14"/>
        <v>7</v>
      </c>
      <c r="K36" s="312">
        <f t="shared" si="14"/>
        <v>0</v>
      </c>
      <c r="L36" s="312">
        <f t="shared" si="14"/>
        <v>7</v>
      </c>
      <c r="M36" s="312">
        <f t="shared" si="14"/>
        <v>0</v>
      </c>
      <c r="N36" s="312">
        <f t="shared" si="14"/>
        <v>0</v>
      </c>
      <c r="O36" s="312">
        <f t="shared" si="14"/>
        <v>0</v>
      </c>
      <c r="P36" s="312">
        <f t="shared" si="14"/>
        <v>0</v>
      </c>
      <c r="Q36" s="312">
        <f t="shared" si="14"/>
        <v>0</v>
      </c>
      <c r="R36" s="312">
        <f t="shared" si="14"/>
        <v>0</v>
      </c>
    </row>
    <row r="37" spans="1:18">
      <c r="A37" s="252" t="s">
        <v>50</v>
      </c>
      <c r="B37" s="1077" t="s">
        <v>49</v>
      </c>
      <c r="C37" s="1077"/>
      <c r="D37" s="310">
        <f>+G37+J37+M37+P37</f>
        <v>0</v>
      </c>
      <c r="E37" s="310">
        <f t="shared" ref="E37:F38" si="15">+H37+K37+N37+Q37</f>
        <v>0</v>
      </c>
      <c r="F37" s="310">
        <f t="shared" si="15"/>
        <v>0</v>
      </c>
      <c r="G37" s="310"/>
      <c r="H37" s="310"/>
      <c r="I37" s="310"/>
      <c r="J37" s="310">
        <f>+'[4]6.b. mell. Óvoda'!L37</f>
        <v>0</v>
      </c>
      <c r="K37" s="310"/>
      <c r="L37" s="310">
        <f>+J37+K37</f>
        <v>0</v>
      </c>
      <c r="M37" s="310"/>
      <c r="N37" s="310"/>
      <c r="O37" s="310"/>
      <c r="P37" s="310"/>
      <c r="Q37" s="310"/>
      <c r="R37" s="310"/>
    </row>
    <row r="38" spans="1:18">
      <c r="A38" s="252" t="s">
        <v>52</v>
      </c>
      <c r="B38" s="1077" t="s">
        <v>51</v>
      </c>
      <c r="C38" s="1077"/>
      <c r="D38" s="310">
        <f>+G38+J38+M38+P38</f>
        <v>250</v>
      </c>
      <c r="E38" s="310">
        <f t="shared" si="15"/>
        <v>14</v>
      </c>
      <c r="F38" s="310">
        <f t="shared" si="15"/>
        <v>264</v>
      </c>
      <c r="G38" s="310"/>
      <c r="H38" s="310"/>
      <c r="I38" s="310"/>
      <c r="J38" s="310">
        <f>+'[4]6.b. mell. Óvoda'!L38</f>
        <v>250</v>
      </c>
      <c r="K38" s="310">
        <v>14</v>
      </c>
      <c r="L38" s="310">
        <f>+J38+K38</f>
        <v>264</v>
      </c>
      <c r="M38" s="310"/>
      <c r="N38" s="310"/>
      <c r="O38" s="310"/>
      <c r="P38" s="310"/>
      <c r="Q38" s="310"/>
      <c r="R38" s="310"/>
    </row>
    <row r="39" spans="1:18" s="314" customFormat="1">
      <c r="A39" s="311" t="s">
        <v>53</v>
      </c>
      <c r="B39" s="1078" t="s">
        <v>440</v>
      </c>
      <c r="C39" s="1078"/>
      <c r="D39" s="312">
        <f t="shared" ref="D39" si="16">SUM(D37:D38)</f>
        <v>250</v>
      </c>
      <c r="E39" s="312">
        <f t="shared" ref="E39:F39" si="17">SUM(E37:E38)</f>
        <v>14</v>
      </c>
      <c r="F39" s="312">
        <f t="shared" si="17"/>
        <v>264</v>
      </c>
      <c r="G39" s="312">
        <v>0</v>
      </c>
      <c r="H39" s="312">
        <f t="shared" ref="H39:R39" si="18">+H38+H37</f>
        <v>0</v>
      </c>
      <c r="I39" s="312">
        <f t="shared" si="18"/>
        <v>0</v>
      </c>
      <c r="J39" s="312">
        <f t="shared" si="18"/>
        <v>250</v>
      </c>
      <c r="K39" s="312">
        <f t="shared" si="18"/>
        <v>14</v>
      </c>
      <c r="L39" s="312">
        <f t="shared" si="18"/>
        <v>264</v>
      </c>
      <c r="M39" s="312">
        <f t="shared" si="18"/>
        <v>0</v>
      </c>
      <c r="N39" s="312">
        <f t="shared" si="18"/>
        <v>0</v>
      </c>
      <c r="O39" s="312">
        <f t="shared" si="18"/>
        <v>0</v>
      </c>
      <c r="P39" s="312">
        <f t="shared" si="18"/>
        <v>0</v>
      </c>
      <c r="Q39" s="312">
        <f t="shared" si="18"/>
        <v>0</v>
      </c>
      <c r="R39" s="312">
        <f t="shared" si="18"/>
        <v>0</v>
      </c>
    </row>
    <row r="40" spans="1:18">
      <c r="A40" s="252" t="s">
        <v>55</v>
      </c>
      <c r="B40" s="1077" t="s">
        <v>54</v>
      </c>
      <c r="C40" s="1077"/>
      <c r="D40" s="310">
        <f>+G40+J40+M40+P40</f>
        <v>0</v>
      </c>
      <c r="E40" s="310">
        <f t="shared" ref="E40:F44" si="19">+H40+K40+N40+Q40</f>
        <v>0</v>
      </c>
      <c r="F40" s="310">
        <f t="shared" si="19"/>
        <v>0</v>
      </c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</row>
    <row r="41" spans="1:18">
      <c r="A41" s="252" t="s">
        <v>57</v>
      </c>
      <c r="B41" s="1077" t="s">
        <v>56</v>
      </c>
      <c r="C41" s="1077"/>
      <c r="D41" s="310">
        <f t="shared" ref="D41:D44" si="20">+G41+J41+M41+P41</f>
        <v>15242</v>
      </c>
      <c r="E41" s="310">
        <f t="shared" si="19"/>
        <v>-361</v>
      </c>
      <c r="F41" s="310">
        <f t="shared" si="19"/>
        <v>14881</v>
      </c>
      <c r="G41" s="310"/>
      <c r="H41" s="310"/>
      <c r="I41" s="310"/>
      <c r="J41" s="310"/>
      <c r="K41" s="310">
        <v>-361</v>
      </c>
      <c r="L41" s="310">
        <v>-361</v>
      </c>
      <c r="M41" s="310"/>
      <c r="N41" s="310"/>
      <c r="O41" s="310"/>
      <c r="P41" s="310">
        <v>15242</v>
      </c>
      <c r="Q41" s="310"/>
      <c r="R41" s="310">
        <f>+P41+Q41</f>
        <v>15242</v>
      </c>
    </row>
    <row r="42" spans="1:18">
      <c r="A42" s="252" t="s">
        <v>58</v>
      </c>
      <c r="B42" s="1077" t="s">
        <v>441</v>
      </c>
      <c r="C42" s="1077"/>
      <c r="D42" s="310">
        <f t="shared" si="20"/>
        <v>0</v>
      </c>
      <c r="E42" s="310">
        <f t="shared" si="19"/>
        <v>0</v>
      </c>
      <c r="F42" s="310">
        <f t="shared" si="19"/>
        <v>0</v>
      </c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</row>
    <row r="43" spans="1:18">
      <c r="A43" s="252" t="s">
        <v>60</v>
      </c>
      <c r="B43" s="1077" t="s">
        <v>59</v>
      </c>
      <c r="C43" s="1077"/>
      <c r="D43" s="310">
        <f t="shared" si="20"/>
        <v>150</v>
      </c>
      <c r="E43" s="310">
        <f t="shared" si="19"/>
        <v>-75</v>
      </c>
      <c r="F43" s="310">
        <f t="shared" si="19"/>
        <v>75</v>
      </c>
      <c r="G43" s="310"/>
      <c r="H43" s="310"/>
      <c r="I43" s="310"/>
      <c r="J43" s="310">
        <v>150</v>
      </c>
      <c r="K43" s="310">
        <v>-75</v>
      </c>
      <c r="L43" s="310">
        <f>+J43+K43</f>
        <v>75</v>
      </c>
      <c r="M43" s="310"/>
      <c r="N43" s="310"/>
      <c r="O43" s="310"/>
      <c r="P43" s="310"/>
      <c r="Q43" s="310"/>
      <c r="R43" s="310"/>
    </row>
    <row r="44" spans="1:18">
      <c r="A44" s="252" t="s">
        <v>61</v>
      </c>
      <c r="B44" s="1077" t="s">
        <v>167</v>
      </c>
      <c r="C44" s="1077"/>
      <c r="D44" s="310">
        <f t="shared" si="20"/>
        <v>0</v>
      </c>
      <c r="E44" s="310">
        <f t="shared" si="19"/>
        <v>0</v>
      </c>
      <c r="F44" s="310">
        <f t="shared" si="19"/>
        <v>0</v>
      </c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</row>
    <row r="45" spans="1:18" ht="26.4">
      <c r="A45" s="257" t="s">
        <v>61</v>
      </c>
      <c r="B45" s="258"/>
      <c r="C45" s="259" t="s">
        <v>62</v>
      </c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</row>
    <row r="46" spans="1:18" ht="26.4">
      <c r="A46" s="257" t="s">
        <v>61</v>
      </c>
      <c r="B46" s="258"/>
      <c r="C46" s="259" t="s">
        <v>169</v>
      </c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</row>
    <row r="47" spans="1:18">
      <c r="A47" s="252" t="s">
        <v>64</v>
      </c>
      <c r="B47" s="1077" t="s">
        <v>442</v>
      </c>
      <c r="C47" s="1077"/>
      <c r="D47" s="310">
        <f>+G47+J47+M47+P47</f>
        <v>400</v>
      </c>
      <c r="E47" s="310">
        <f t="shared" ref="E47:F48" si="21">+H47+K47+N47+Q47</f>
        <v>125</v>
      </c>
      <c r="F47" s="310">
        <f t="shared" si="21"/>
        <v>525</v>
      </c>
      <c r="G47" s="310">
        <v>200</v>
      </c>
      <c r="H47" s="310"/>
      <c r="I47" s="310">
        <f t="shared" ref="I47:I48" si="22">+G47+H47</f>
        <v>200</v>
      </c>
      <c r="J47" s="310"/>
      <c r="K47" s="310"/>
      <c r="L47" s="310"/>
      <c r="M47" s="310">
        <f>+'[4]6.b. mell. Óvoda'!$O$47</f>
        <v>200</v>
      </c>
      <c r="N47" s="310">
        <v>125</v>
      </c>
      <c r="O47" s="310">
        <f>SUM(M47:N47)</f>
        <v>325</v>
      </c>
      <c r="P47" s="310"/>
      <c r="Q47" s="310"/>
      <c r="R47" s="310"/>
    </row>
    <row r="48" spans="1:18">
      <c r="A48" s="252" t="s">
        <v>66</v>
      </c>
      <c r="B48" s="1077" t="s">
        <v>443</v>
      </c>
      <c r="C48" s="1077"/>
      <c r="D48" s="310">
        <f>+G48+J48+M48+P48</f>
        <v>360</v>
      </c>
      <c r="E48" s="310">
        <f t="shared" si="21"/>
        <v>270</v>
      </c>
      <c r="F48" s="310">
        <f t="shared" si="21"/>
        <v>630</v>
      </c>
      <c r="G48" s="310">
        <v>280</v>
      </c>
      <c r="H48" s="310">
        <v>270</v>
      </c>
      <c r="I48" s="310">
        <f t="shared" si="22"/>
        <v>550</v>
      </c>
      <c r="J48" s="310">
        <v>80</v>
      </c>
      <c r="K48" s="310"/>
      <c r="L48" s="310">
        <f>+J48+K48</f>
        <v>80</v>
      </c>
      <c r="M48" s="310"/>
      <c r="N48" s="310"/>
      <c r="O48" s="310"/>
      <c r="P48" s="310"/>
      <c r="Q48" s="310"/>
      <c r="R48" s="310"/>
    </row>
    <row r="49" spans="1:18" s="314" customFormat="1">
      <c r="A49" s="311" t="s">
        <v>67</v>
      </c>
      <c r="B49" s="1078" t="s">
        <v>444</v>
      </c>
      <c r="C49" s="1078"/>
      <c r="D49" s="312">
        <f t="shared" ref="D49" si="23">SUM(D40:D48)</f>
        <v>16152</v>
      </c>
      <c r="E49" s="312">
        <f t="shared" ref="E49:R49" si="24">SUM(E40:E48)</f>
        <v>-41</v>
      </c>
      <c r="F49" s="312">
        <f t="shared" si="24"/>
        <v>16111</v>
      </c>
      <c r="G49" s="312">
        <v>480</v>
      </c>
      <c r="H49" s="312">
        <f t="shared" si="24"/>
        <v>270</v>
      </c>
      <c r="I49" s="312">
        <f t="shared" si="24"/>
        <v>750</v>
      </c>
      <c r="J49" s="312">
        <f t="shared" si="24"/>
        <v>230</v>
      </c>
      <c r="K49" s="312">
        <f t="shared" si="24"/>
        <v>-436</v>
      </c>
      <c r="L49" s="312">
        <f t="shared" si="24"/>
        <v>-206</v>
      </c>
      <c r="M49" s="312">
        <f t="shared" si="24"/>
        <v>200</v>
      </c>
      <c r="N49" s="312">
        <f t="shared" si="24"/>
        <v>125</v>
      </c>
      <c r="O49" s="312">
        <f t="shared" si="24"/>
        <v>325</v>
      </c>
      <c r="P49" s="312">
        <f t="shared" si="24"/>
        <v>15242</v>
      </c>
      <c r="Q49" s="312">
        <f t="shared" si="24"/>
        <v>0</v>
      </c>
      <c r="R49" s="312">
        <f t="shared" si="24"/>
        <v>15242</v>
      </c>
    </row>
    <row r="50" spans="1:18">
      <c r="A50" s="252" t="s">
        <v>69</v>
      </c>
      <c r="B50" s="1077" t="s">
        <v>68</v>
      </c>
      <c r="C50" s="1077"/>
      <c r="D50" s="310">
        <f>G50</f>
        <v>50</v>
      </c>
      <c r="E50" s="310">
        <f t="shared" ref="E50:F50" si="25">H50</f>
        <v>0</v>
      </c>
      <c r="F50" s="310">
        <f t="shared" si="25"/>
        <v>50</v>
      </c>
      <c r="G50" s="310">
        <v>50</v>
      </c>
      <c r="H50" s="310"/>
      <c r="I50" s="310">
        <f t="shared" ref="I50" si="26">+G50+H50</f>
        <v>50</v>
      </c>
      <c r="J50" s="310"/>
      <c r="K50" s="310"/>
      <c r="L50" s="310"/>
      <c r="M50" s="310"/>
      <c r="N50" s="310"/>
      <c r="O50" s="310"/>
      <c r="P50" s="310"/>
      <c r="Q50" s="310"/>
      <c r="R50" s="310"/>
    </row>
    <row r="51" spans="1:18">
      <c r="A51" s="252" t="s">
        <v>71</v>
      </c>
      <c r="B51" s="1077" t="s">
        <v>70</v>
      </c>
      <c r="C51" s="1077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</row>
    <row r="52" spans="1:18" s="313" customFormat="1">
      <c r="A52" s="311" t="s">
        <v>72</v>
      </c>
      <c r="B52" s="1078" t="s">
        <v>156</v>
      </c>
      <c r="C52" s="1078"/>
      <c r="D52" s="312">
        <f>SUM(D50:D51)</f>
        <v>50</v>
      </c>
      <c r="E52" s="312">
        <f t="shared" ref="E52:F52" si="27">SUM(E50:E51)</f>
        <v>0</v>
      </c>
      <c r="F52" s="312">
        <f t="shared" si="27"/>
        <v>50</v>
      </c>
      <c r="G52" s="312">
        <v>50</v>
      </c>
      <c r="H52" s="312">
        <f t="shared" ref="H52:R52" si="28">+H51+H50</f>
        <v>0</v>
      </c>
      <c r="I52" s="312">
        <f t="shared" si="28"/>
        <v>50</v>
      </c>
      <c r="J52" s="312">
        <f t="shared" si="28"/>
        <v>0</v>
      </c>
      <c r="K52" s="312">
        <f t="shared" si="28"/>
        <v>0</v>
      </c>
      <c r="L52" s="312">
        <f t="shared" si="28"/>
        <v>0</v>
      </c>
      <c r="M52" s="312">
        <f t="shared" si="28"/>
        <v>0</v>
      </c>
      <c r="N52" s="312">
        <f t="shared" si="28"/>
        <v>0</v>
      </c>
      <c r="O52" s="312">
        <f t="shared" si="28"/>
        <v>0</v>
      </c>
      <c r="P52" s="312">
        <f t="shared" si="28"/>
        <v>0</v>
      </c>
      <c r="Q52" s="312">
        <f t="shared" si="28"/>
        <v>0</v>
      </c>
      <c r="R52" s="312">
        <f t="shared" si="28"/>
        <v>0</v>
      </c>
    </row>
    <row r="53" spans="1:18">
      <c r="A53" s="252" t="s">
        <v>74</v>
      </c>
      <c r="B53" s="1077" t="s">
        <v>73</v>
      </c>
      <c r="C53" s="1077"/>
      <c r="D53" s="310">
        <f>+G53+J53+M53+P53</f>
        <v>4550</v>
      </c>
      <c r="E53" s="310">
        <f t="shared" ref="E53:F57" si="29">+H53+K53+N53+Q53</f>
        <v>50</v>
      </c>
      <c r="F53" s="310">
        <f t="shared" si="29"/>
        <v>4600</v>
      </c>
      <c r="G53" s="310">
        <v>333</v>
      </c>
      <c r="H53" s="310">
        <v>50</v>
      </c>
      <c r="I53" s="310">
        <f t="shared" ref="I53" si="30">+G53+H53</f>
        <v>383</v>
      </c>
      <c r="J53" s="310">
        <f>+'[4]6.b. mell. Óvoda'!L53</f>
        <v>102</v>
      </c>
      <c r="K53" s="310"/>
      <c r="L53" s="310">
        <f>+J53+K53</f>
        <v>102</v>
      </c>
      <c r="M53" s="310"/>
      <c r="N53" s="310"/>
      <c r="O53" s="310"/>
      <c r="P53" s="310">
        <v>4115</v>
      </c>
      <c r="Q53" s="310"/>
      <c r="R53" s="310">
        <f>+P53+Q53</f>
        <v>4115</v>
      </c>
    </row>
    <row r="54" spans="1:18">
      <c r="A54" s="252" t="s">
        <v>76</v>
      </c>
      <c r="B54" s="1077" t="s">
        <v>445</v>
      </c>
      <c r="C54" s="1077"/>
      <c r="D54" s="310">
        <f t="shared" ref="D54:D57" si="31">+G54+J54+M54+P54</f>
        <v>0</v>
      </c>
      <c r="E54" s="310">
        <f t="shared" si="29"/>
        <v>0</v>
      </c>
      <c r="F54" s="310">
        <f t="shared" si="29"/>
        <v>0</v>
      </c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</row>
    <row r="55" spans="1:18">
      <c r="A55" s="252" t="s">
        <v>77</v>
      </c>
      <c r="B55" s="1077" t="s">
        <v>446</v>
      </c>
      <c r="C55" s="1077"/>
      <c r="D55" s="310">
        <f t="shared" si="31"/>
        <v>0</v>
      </c>
      <c r="E55" s="310">
        <f t="shared" si="29"/>
        <v>0</v>
      </c>
      <c r="F55" s="310">
        <f t="shared" si="29"/>
        <v>0</v>
      </c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</row>
    <row r="56" spans="1:18">
      <c r="A56" s="252" t="s">
        <v>78</v>
      </c>
      <c r="B56" s="1077" t="s">
        <v>447</v>
      </c>
      <c r="C56" s="1077"/>
      <c r="D56" s="310">
        <f t="shared" si="31"/>
        <v>0</v>
      </c>
      <c r="E56" s="310">
        <f t="shared" si="29"/>
        <v>0</v>
      </c>
      <c r="F56" s="310">
        <f t="shared" si="29"/>
        <v>0</v>
      </c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</row>
    <row r="57" spans="1:18">
      <c r="A57" s="252" t="s">
        <v>80</v>
      </c>
      <c r="B57" s="1077" t="s">
        <v>79</v>
      </c>
      <c r="C57" s="1077"/>
      <c r="D57" s="310">
        <f t="shared" si="31"/>
        <v>200</v>
      </c>
      <c r="E57" s="310">
        <f t="shared" si="29"/>
        <v>22</v>
      </c>
      <c r="F57" s="310">
        <f t="shared" si="29"/>
        <v>222</v>
      </c>
      <c r="G57" s="310">
        <v>200</v>
      </c>
      <c r="H57" s="310">
        <v>22</v>
      </c>
      <c r="I57" s="310">
        <f>SUM(G57:H57)</f>
        <v>222</v>
      </c>
      <c r="J57" s="310"/>
      <c r="K57" s="310"/>
      <c r="L57" s="310"/>
      <c r="M57" s="310"/>
      <c r="N57" s="310"/>
      <c r="O57" s="310"/>
      <c r="P57" s="310"/>
      <c r="Q57" s="310"/>
      <c r="R57" s="310"/>
    </row>
    <row r="58" spans="1:18" s="313" customFormat="1">
      <c r="A58" s="311" t="s">
        <v>81</v>
      </c>
      <c r="B58" s="1078" t="s">
        <v>153</v>
      </c>
      <c r="C58" s="1078"/>
      <c r="D58" s="312">
        <f>SUM(D53:D57)</f>
        <v>4750</v>
      </c>
      <c r="E58" s="312">
        <f t="shared" ref="E58:R58" si="32">SUM(E53:E57)</f>
        <v>72</v>
      </c>
      <c r="F58" s="312">
        <f t="shared" si="32"/>
        <v>4822</v>
      </c>
      <c r="G58" s="312">
        <v>533</v>
      </c>
      <c r="H58" s="312">
        <f t="shared" si="32"/>
        <v>72</v>
      </c>
      <c r="I58" s="312">
        <f t="shared" si="32"/>
        <v>605</v>
      </c>
      <c r="J58" s="312">
        <f t="shared" si="32"/>
        <v>102</v>
      </c>
      <c r="K58" s="312">
        <f t="shared" si="32"/>
        <v>0</v>
      </c>
      <c r="L58" s="312">
        <f t="shared" si="32"/>
        <v>102</v>
      </c>
      <c r="M58" s="312">
        <f t="shared" si="32"/>
        <v>0</v>
      </c>
      <c r="N58" s="312">
        <f t="shared" si="32"/>
        <v>0</v>
      </c>
      <c r="O58" s="312">
        <f t="shared" si="32"/>
        <v>0</v>
      </c>
      <c r="P58" s="312">
        <f t="shared" si="32"/>
        <v>4115</v>
      </c>
      <c r="Q58" s="312">
        <f t="shared" si="32"/>
        <v>0</v>
      </c>
      <c r="R58" s="312">
        <f t="shared" si="32"/>
        <v>4115</v>
      </c>
    </row>
    <row r="59" spans="1:18">
      <c r="A59" s="311" t="s">
        <v>82</v>
      </c>
      <c r="B59" s="1078" t="s">
        <v>339</v>
      </c>
      <c r="C59" s="1078"/>
      <c r="D59" s="312">
        <f t="shared" ref="D59:R59" si="33">+D58+D52+D49+D39+D36</f>
        <v>23208</v>
      </c>
      <c r="E59" s="312">
        <f t="shared" si="33"/>
        <v>-89</v>
      </c>
      <c r="F59" s="312">
        <f t="shared" si="33"/>
        <v>23119</v>
      </c>
      <c r="G59" s="312">
        <v>3062</v>
      </c>
      <c r="H59" s="312">
        <f t="shared" si="33"/>
        <v>208</v>
      </c>
      <c r="I59" s="312">
        <f t="shared" si="33"/>
        <v>3270</v>
      </c>
      <c r="J59" s="312">
        <f t="shared" si="33"/>
        <v>589</v>
      </c>
      <c r="K59" s="312">
        <f t="shared" si="33"/>
        <v>-422</v>
      </c>
      <c r="L59" s="312">
        <f t="shared" si="33"/>
        <v>167</v>
      </c>
      <c r="M59" s="312">
        <f t="shared" si="33"/>
        <v>200</v>
      </c>
      <c r="N59" s="738">
        <f>+N58+N52+N49+N39+N36</f>
        <v>125</v>
      </c>
      <c r="O59" s="312">
        <f t="shared" si="33"/>
        <v>325</v>
      </c>
      <c r="P59" s="312">
        <f t="shared" si="33"/>
        <v>19357</v>
      </c>
      <c r="Q59" s="312">
        <f t="shared" si="33"/>
        <v>0</v>
      </c>
      <c r="R59" s="312">
        <f t="shared" si="33"/>
        <v>19357</v>
      </c>
    </row>
    <row r="60" spans="1:18">
      <c r="A60" s="253"/>
      <c r="B60" s="1081"/>
      <c r="C60" s="1081"/>
      <c r="D60" s="254"/>
      <c r="E60" s="254"/>
      <c r="F60" s="254"/>
      <c r="G60" s="256"/>
      <c r="H60" s="254"/>
      <c r="I60" s="255"/>
      <c r="J60" s="256"/>
      <c r="K60" s="254"/>
      <c r="L60" s="255"/>
      <c r="M60" s="256"/>
      <c r="N60" s="254"/>
      <c r="O60" s="255"/>
      <c r="P60" s="256"/>
      <c r="Q60" s="254"/>
      <c r="R60" s="255"/>
    </row>
    <row r="61" spans="1:18" ht="25.5" customHeight="1">
      <c r="A61" s="739" t="s">
        <v>102</v>
      </c>
      <c r="B61" s="1079" t="s">
        <v>818</v>
      </c>
      <c r="C61" s="1079"/>
      <c r="D61" s="310">
        <f t="shared" ref="D61:F64" si="34">+G61+J61+M61+P61</f>
        <v>95</v>
      </c>
      <c r="E61" s="310">
        <f t="shared" si="34"/>
        <v>0</v>
      </c>
      <c r="F61" s="310">
        <f t="shared" si="34"/>
        <v>95</v>
      </c>
      <c r="G61" s="310">
        <v>58</v>
      </c>
      <c r="H61" s="310"/>
      <c r="I61" s="310">
        <f>I62</f>
        <v>58</v>
      </c>
      <c r="J61" s="310">
        <f>+'[4]6.b. mell. Óvoda'!L61</f>
        <v>37</v>
      </c>
      <c r="K61" s="310">
        <f>K62</f>
        <v>0</v>
      </c>
      <c r="L61" s="310">
        <f>L62</f>
        <v>37</v>
      </c>
      <c r="M61" s="310"/>
      <c r="N61" s="310"/>
      <c r="O61" s="310"/>
      <c r="P61" s="310"/>
      <c r="Q61" s="310"/>
      <c r="R61" s="310"/>
    </row>
    <row r="62" spans="1:18">
      <c r="A62" s="740" t="s">
        <v>102</v>
      </c>
      <c r="B62" s="748"/>
      <c r="C62" s="741" t="s">
        <v>819</v>
      </c>
      <c r="D62" s="310">
        <f t="shared" si="34"/>
        <v>95</v>
      </c>
      <c r="E62" s="310">
        <f t="shared" si="34"/>
        <v>0</v>
      </c>
      <c r="F62" s="310">
        <f t="shared" si="34"/>
        <v>95</v>
      </c>
      <c r="G62" s="310">
        <v>58</v>
      </c>
      <c r="H62" s="310"/>
      <c r="I62" s="310">
        <f>SUM(G62:H62)</f>
        <v>58</v>
      </c>
      <c r="J62" s="310">
        <f>+'[4]6.b. mell. Óvoda'!L62</f>
        <v>37</v>
      </c>
      <c r="K62" s="310"/>
      <c r="L62" s="310">
        <f>SUM(J62:K62)</f>
        <v>37</v>
      </c>
      <c r="M62" s="310"/>
      <c r="N62" s="310"/>
      <c r="O62" s="310"/>
      <c r="P62" s="310"/>
      <c r="Q62" s="310"/>
      <c r="R62" s="310"/>
    </row>
    <row r="63" spans="1:18" ht="26.25" customHeight="1">
      <c r="A63" s="252" t="s">
        <v>108</v>
      </c>
      <c r="B63" s="1077" t="s">
        <v>165</v>
      </c>
      <c r="C63" s="1077"/>
      <c r="D63" s="310">
        <f>+G63+J63+M63+P63</f>
        <v>11152</v>
      </c>
      <c r="E63" s="310">
        <f t="shared" si="34"/>
        <v>36</v>
      </c>
      <c r="F63" s="310">
        <f t="shared" si="34"/>
        <v>11188</v>
      </c>
      <c r="G63" s="310"/>
      <c r="H63" s="310"/>
      <c r="I63" s="310"/>
      <c r="J63" s="310">
        <f>+'[4]6.b. mell. Óvoda'!L63</f>
        <v>11152</v>
      </c>
      <c r="K63" s="310">
        <v>36</v>
      </c>
      <c r="L63" s="310">
        <f>+J63+K63</f>
        <v>11188</v>
      </c>
      <c r="M63" s="310"/>
      <c r="N63" s="310"/>
      <c r="O63" s="310"/>
      <c r="P63" s="310"/>
      <c r="Q63" s="310"/>
      <c r="R63" s="310"/>
    </row>
    <row r="64" spans="1:18" ht="25.5" customHeight="1">
      <c r="A64" s="268" t="s">
        <v>108</v>
      </c>
      <c r="B64" s="258"/>
      <c r="C64" s="269" t="s">
        <v>105</v>
      </c>
      <c r="D64" s="310">
        <f>+G64+J64+M64+P64</f>
        <v>11152</v>
      </c>
      <c r="E64" s="310">
        <f t="shared" si="34"/>
        <v>36</v>
      </c>
      <c r="F64" s="310">
        <f t="shared" si="34"/>
        <v>11188</v>
      </c>
      <c r="G64" s="310"/>
      <c r="H64" s="310"/>
      <c r="I64" s="310"/>
      <c r="J64" s="310">
        <f>+'[4]6.b. mell. Óvoda'!L64</f>
        <v>11152</v>
      </c>
      <c r="K64" s="310">
        <v>36</v>
      </c>
      <c r="L64" s="310">
        <f>+J64+K64</f>
        <v>11188</v>
      </c>
      <c r="M64" s="310"/>
      <c r="N64" s="310"/>
      <c r="O64" s="310"/>
      <c r="P64" s="310"/>
      <c r="Q64" s="310"/>
      <c r="R64" s="310"/>
    </row>
    <row r="65" spans="1:18">
      <c r="A65" s="311" t="s">
        <v>109</v>
      </c>
      <c r="B65" s="1078" t="s">
        <v>164</v>
      </c>
      <c r="C65" s="1078"/>
      <c r="D65" s="312">
        <f>+D63+D61</f>
        <v>11247</v>
      </c>
      <c r="E65" s="312">
        <f>+E63+E61</f>
        <v>36</v>
      </c>
      <c r="F65" s="312">
        <f>+F63+F61</f>
        <v>11283</v>
      </c>
      <c r="G65" s="312">
        <v>58</v>
      </c>
      <c r="H65" s="312">
        <f t="shared" ref="H65" si="35">H61+H63</f>
        <v>0</v>
      </c>
      <c r="I65" s="312">
        <f>I61+I63</f>
        <v>58</v>
      </c>
      <c r="J65" s="312">
        <f>+J61+J63</f>
        <v>11189</v>
      </c>
      <c r="K65" s="312">
        <f>+K63+K61</f>
        <v>36</v>
      </c>
      <c r="L65" s="312">
        <f>SUM(J65:K65)</f>
        <v>11225</v>
      </c>
      <c r="M65" s="312">
        <f t="shared" ref="M65:R65" si="36">+M63</f>
        <v>0</v>
      </c>
      <c r="N65" s="312">
        <f t="shared" si="36"/>
        <v>0</v>
      </c>
      <c r="O65" s="312">
        <f t="shared" si="36"/>
        <v>0</v>
      </c>
      <c r="P65" s="312">
        <f t="shared" si="36"/>
        <v>0</v>
      </c>
      <c r="Q65" s="312">
        <f t="shared" si="36"/>
        <v>0</v>
      </c>
      <c r="R65" s="312">
        <f t="shared" si="36"/>
        <v>0</v>
      </c>
    </row>
    <row r="66" spans="1:18" ht="8.25" customHeight="1">
      <c r="A66" s="270"/>
      <c r="B66" s="271"/>
      <c r="C66" s="271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</row>
    <row r="67" spans="1:18" ht="11.25" customHeight="1">
      <c r="A67" s="273"/>
      <c r="B67" s="274"/>
      <c r="C67" s="274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</row>
    <row r="68" spans="1:18">
      <c r="A68" s="252" t="s">
        <v>111</v>
      </c>
      <c r="B68" s="1077" t="s">
        <v>110</v>
      </c>
      <c r="C68" s="1077"/>
      <c r="D68" s="310">
        <f>+G68+J68+M68+P68</f>
        <v>0</v>
      </c>
      <c r="E68" s="310">
        <f t="shared" ref="E68:F75" si="37">+H68+K68+N68+Q68</f>
        <v>0</v>
      </c>
      <c r="F68" s="310">
        <f t="shared" si="37"/>
        <v>0</v>
      </c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</row>
    <row r="69" spans="1:18">
      <c r="A69" s="252" t="s">
        <v>112</v>
      </c>
      <c r="B69" s="1077" t="s">
        <v>448</v>
      </c>
      <c r="C69" s="1077"/>
      <c r="D69" s="310">
        <f t="shared" ref="D69:D75" si="38">+G69+J69+M69+P69</f>
        <v>0</v>
      </c>
      <c r="E69" s="310">
        <f t="shared" si="37"/>
        <v>0</v>
      </c>
      <c r="F69" s="310">
        <f t="shared" si="37"/>
        <v>0</v>
      </c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</row>
    <row r="70" spans="1:18" ht="26.4">
      <c r="A70" s="257" t="s">
        <v>112</v>
      </c>
      <c r="B70" s="258"/>
      <c r="C70" s="269" t="s">
        <v>113</v>
      </c>
      <c r="D70" s="310">
        <f t="shared" si="38"/>
        <v>0</v>
      </c>
      <c r="E70" s="310">
        <f t="shared" si="37"/>
        <v>0</v>
      </c>
      <c r="F70" s="310">
        <f t="shared" si="37"/>
        <v>0</v>
      </c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</row>
    <row r="71" spans="1:18">
      <c r="A71" s="252" t="s">
        <v>115</v>
      </c>
      <c r="B71" s="1077" t="s">
        <v>114</v>
      </c>
      <c r="C71" s="1077"/>
      <c r="D71" s="310">
        <f t="shared" si="38"/>
        <v>0</v>
      </c>
      <c r="E71" s="310">
        <f t="shared" si="37"/>
        <v>0</v>
      </c>
      <c r="F71" s="310">
        <f t="shared" si="37"/>
        <v>0</v>
      </c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</row>
    <row r="72" spans="1:18">
      <c r="A72" s="252" t="s">
        <v>117</v>
      </c>
      <c r="B72" s="1077" t="s">
        <v>116</v>
      </c>
      <c r="C72" s="1077"/>
      <c r="D72" s="310">
        <f t="shared" si="38"/>
        <v>13</v>
      </c>
      <c r="E72" s="310">
        <f t="shared" si="37"/>
        <v>162</v>
      </c>
      <c r="F72" s="310">
        <f t="shared" si="37"/>
        <v>175</v>
      </c>
      <c r="G72" s="310">
        <v>13</v>
      </c>
      <c r="H72" s="310">
        <v>162</v>
      </c>
      <c r="I72" s="310">
        <f>SUM(G72:H72)</f>
        <v>175</v>
      </c>
      <c r="J72" s="310"/>
      <c r="K72" s="310"/>
      <c r="L72" s="310"/>
      <c r="M72" s="310"/>
      <c r="N72" s="310"/>
      <c r="O72" s="310"/>
      <c r="P72" s="310"/>
      <c r="Q72" s="310"/>
      <c r="R72" s="310"/>
    </row>
    <row r="73" spans="1:18">
      <c r="A73" s="252" t="s">
        <v>119</v>
      </c>
      <c r="B73" s="1077" t="s">
        <v>118</v>
      </c>
      <c r="C73" s="1077"/>
      <c r="D73" s="310">
        <f t="shared" si="38"/>
        <v>0</v>
      </c>
      <c r="E73" s="310">
        <f t="shared" si="37"/>
        <v>0</v>
      </c>
      <c r="F73" s="310">
        <f t="shared" si="37"/>
        <v>0</v>
      </c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</row>
    <row r="74" spans="1:18">
      <c r="A74" s="252" t="s">
        <v>121</v>
      </c>
      <c r="B74" s="1077" t="s">
        <v>120</v>
      </c>
      <c r="C74" s="1077"/>
      <c r="D74" s="310">
        <f t="shared" si="38"/>
        <v>0</v>
      </c>
      <c r="E74" s="310">
        <f t="shared" si="37"/>
        <v>0</v>
      </c>
      <c r="F74" s="310">
        <f t="shared" si="37"/>
        <v>0</v>
      </c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</row>
    <row r="75" spans="1:18">
      <c r="A75" s="252" t="s">
        <v>123</v>
      </c>
      <c r="B75" s="1077" t="s">
        <v>122</v>
      </c>
      <c r="C75" s="1077"/>
      <c r="D75" s="310">
        <f t="shared" si="38"/>
        <v>4</v>
      </c>
      <c r="E75" s="310">
        <f t="shared" si="37"/>
        <v>43</v>
      </c>
      <c r="F75" s="310">
        <f t="shared" si="37"/>
        <v>47</v>
      </c>
      <c r="G75" s="310">
        <v>4</v>
      </c>
      <c r="H75" s="310">
        <v>43</v>
      </c>
      <c r="I75" s="310">
        <f>SUM(G75:H75)</f>
        <v>47</v>
      </c>
      <c r="J75" s="310"/>
      <c r="K75" s="310"/>
      <c r="L75" s="310"/>
      <c r="M75" s="310"/>
      <c r="N75" s="310"/>
      <c r="O75" s="310"/>
      <c r="P75" s="310"/>
      <c r="Q75" s="310"/>
      <c r="R75" s="310"/>
    </row>
    <row r="76" spans="1:18">
      <c r="A76" s="311" t="s">
        <v>124</v>
      </c>
      <c r="B76" s="1078" t="s">
        <v>162</v>
      </c>
      <c r="C76" s="1078"/>
      <c r="D76" s="312">
        <f t="shared" ref="D76" si="39">SUM(D68:D75)</f>
        <v>17</v>
      </c>
      <c r="E76" s="312">
        <f t="shared" ref="E76:F76" si="40">SUM(E68:E75)</f>
        <v>205</v>
      </c>
      <c r="F76" s="312">
        <f t="shared" si="40"/>
        <v>222</v>
      </c>
      <c r="G76" s="312">
        <v>17</v>
      </c>
      <c r="H76" s="312">
        <f t="shared" ref="H76:R76" si="41">(((((+H75+H74)+H73)+H72)+H71)+H69)+H68</f>
        <v>205</v>
      </c>
      <c r="I76" s="312">
        <f t="shared" si="41"/>
        <v>222</v>
      </c>
      <c r="J76" s="312">
        <f t="shared" si="41"/>
        <v>0</v>
      </c>
      <c r="K76" s="312">
        <f t="shared" si="41"/>
        <v>0</v>
      </c>
      <c r="L76" s="312">
        <f t="shared" si="41"/>
        <v>0</v>
      </c>
      <c r="M76" s="312">
        <f t="shared" si="41"/>
        <v>0</v>
      </c>
      <c r="N76" s="312">
        <f t="shared" si="41"/>
        <v>0</v>
      </c>
      <c r="O76" s="312">
        <f t="shared" si="41"/>
        <v>0</v>
      </c>
      <c r="P76" s="312">
        <f t="shared" si="41"/>
        <v>0</v>
      </c>
      <c r="Q76" s="312">
        <f t="shared" si="41"/>
        <v>0</v>
      </c>
      <c r="R76" s="312">
        <f t="shared" si="41"/>
        <v>0</v>
      </c>
    </row>
    <row r="77" spans="1:18">
      <c r="A77" s="253"/>
      <c r="B77" s="747"/>
      <c r="C77" s="747"/>
      <c r="D77" s="254"/>
      <c r="E77" s="254"/>
      <c r="F77" s="254"/>
      <c r="G77" s="256"/>
      <c r="H77" s="254"/>
      <c r="I77" s="255"/>
      <c r="J77" s="256"/>
      <c r="K77" s="254"/>
      <c r="L77" s="255"/>
      <c r="M77" s="256"/>
      <c r="N77" s="254"/>
      <c r="O77" s="255"/>
      <c r="P77" s="256"/>
      <c r="Q77" s="254"/>
      <c r="R77" s="255"/>
    </row>
    <row r="78" spans="1:18" hidden="1">
      <c r="A78" s="252" t="s">
        <v>126</v>
      </c>
      <c r="B78" s="1077" t="s">
        <v>125</v>
      </c>
      <c r="C78" s="1077"/>
      <c r="D78" s="310">
        <f>+G78+J78+M78+P78</f>
        <v>0</v>
      </c>
      <c r="E78" s="310">
        <f t="shared" ref="E78:F81" si="42">+H78+K78+N78+Q78</f>
        <v>0</v>
      </c>
      <c r="F78" s="310">
        <f t="shared" si="42"/>
        <v>0</v>
      </c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</row>
    <row r="79" spans="1:18" hidden="1">
      <c r="A79" s="252" t="s">
        <v>128</v>
      </c>
      <c r="B79" s="1077" t="s">
        <v>127</v>
      </c>
      <c r="C79" s="1077"/>
      <c r="D79" s="310">
        <f t="shared" ref="D79:D81" si="43">+G79+J79+M79+P79</f>
        <v>0</v>
      </c>
      <c r="E79" s="310">
        <f t="shared" si="42"/>
        <v>0</v>
      </c>
      <c r="F79" s="310">
        <f t="shared" si="42"/>
        <v>0</v>
      </c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</row>
    <row r="80" spans="1:18" hidden="1">
      <c r="A80" s="252" t="s">
        <v>130</v>
      </c>
      <c r="B80" s="1077" t="s">
        <v>449</v>
      </c>
      <c r="C80" s="1077"/>
      <c r="D80" s="310">
        <f t="shared" si="43"/>
        <v>0</v>
      </c>
      <c r="E80" s="310">
        <f t="shared" si="42"/>
        <v>0</v>
      </c>
      <c r="F80" s="310">
        <f t="shared" si="42"/>
        <v>0</v>
      </c>
      <c r="G80" s="310"/>
      <c r="H80" s="310"/>
      <c r="I80" s="310"/>
      <c r="J80" s="310"/>
      <c r="K80" s="310"/>
      <c r="L80" s="310"/>
      <c r="M80" s="310"/>
      <c r="N80" s="310"/>
      <c r="O80" s="310"/>
      <c r="P80" s="310"/>
      <c r="Q80" s="310"/>
      <c r="R80" s="310"/>
    </row>
    <row r="81" spans="1:18" hidden="1">
      <c r="A81" s="252" t="s">
        <v>132</v>
      </c>
      <c r="B81" s="1077" t="s">
        <v>131</v>
      </c>
      <c r="C81" s="1077"/>
      <c r="D81" s="310">
        <f t="shared" si="43"/>
        <v>0</v>
      </c>
      <c r="E81" s="310">
        <f t="shared" si="42"/>
        <v>0</v>
      </c>
      <c r="F81" s="310">
        <f t="shared" si="42"/>
        <v>0</v>
      </c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</row>
    <row r="82" spans="1:18">
      <c r="A82" s="311" t="s">
        <v>133</v>
      </c>
      <c r="B82" s="1078" t="s">
        <v>310</v>
      </c>
      <c r="C82" s="1078"/>
      <c r="D82" s="312">
        <f t="shared" ref="D82:R82" si="44">SUM(D78:D81)</f>
        <v>0</v>
      </c>
      <c r="E82" s="312">
        <f t="shared" ref="E82:F82" si="45">SUM(E78:E81)</f>
        <v>0</v>
      </c>
      <c r="F82" s="312">
        <f t="shared" si="45"/>
        <v>0</v>
      </c>
      <c r="G82" s="312">
        <v>0</v>
      </c>
      <c r="H82" s="312">
        <f t="shared" si="44"/>
        <v>0</v>
      </c>
      <c r="I82" s="312">
        <f t="shared" si="44"/>
        <v>0</v>
      </c>
      <c r="J82" s="312">
        <f t="shared" si="44"/>
        <v>0</v>
      </c>
      <c r="K82" s="312">
        <f t="shared" si="44"/>
        <v>0</v>
      </c>
      <c r="L82" s="312">
        <f t="shared" si="44"/>
        <v>0</v>
      </c>
      <c r="M82" s="312">
        <f t="shared" si="44"/>
        <v>0</v>
      </c>
      <c r="N82" s="312">
        <f t="shared" si="44"/>
        <v>0</v>
      </c>
      <c r="O82" s="312">
        <f t="shared" si="44"/>
        <v>0</v>
      </c>
      <c r="P82" s="312">
        <f t="shared" si="44"/>
        <v>0</v>
      </c>
      <c r="Q82" s="312">
        <f t="shared" si="44"/>
        <v>0</v>
      </c>
      <c r="R82" s="312">
        <f t="shared" si="44"/>
        <v>0</v>
      </c>
    </row>
    <row r="83" spans="1:18">
      <c r="A83" s="253"/>
      <c r="B83" s="748"/>
      <c r="C83" s="748"/>
      <c r="D83" s="254"/>
      <c r="E83" s="254"/>
      <c r="F83" s="254"/>
      <c r="G83" s="256"/>
      <c r="H83" s="254"/>
      <c r="I83" s="255"/>
      <c r="J83" s="256"/>
      <c r="K83" s="254"/>
      <c r="L83" s="255"/>
      <c r="M83" s="256"/>
      <c r="N83" s="254"/>
      <c r="O83" s="255"/>
      <c r="P83" s="256"/>
      <c r="Q83" s="254"/>
      <c r="R83" s="255"/>
    </row>
    <row r="84" spans="1:18">
      <c r="A84" s="311" t="s">
        <v>135</v>
      </c>
      <c r="B84" s="1078" t="s">
        <v>159</v>
      </c>
      <c r="C84" s="1078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</row>
    <row r="85" spans="1:18" ht="15.75" customHeight="1" thickBot="1">
      <c r="A85" s="491"/>
      <c r="B85" s="271"/>
      <c r="C85" s="271"/>
      <c r="D85" s="263"/>
      <c r="E85" s="263"/>
      <c r="F85" s="263"/>
      <c r="G85" s="493"/>
      <c r="H85" s="263"/>
      <c r="I85" s="492"/>
      <c r="J85" s="493"/>
      <c r="K85" s="263"/>
      <c r="L85" s="492"/>
      <c r="M85" s="493"/>
      <c r="N85" s="263"/>
      <c r="O85" s="492"/>
      <c r="P85" s="493"/>
      <c r="Q85" s="263"/>
      <c r="R85" s="492"/>
    </row>
    <row r="86" spans="1:18" s="595" customFormat="1" ht="40.5" customHeight="1" thickBot="1">
      <c r="A86" s="594" t="s">
        <v>136</v>
      </c>
      <c r="B86" s="1086" t="s">
        <v>720</v>
      </c>
      <c r="C86" s="1087"/>
      <c r="D86" s="596">
        <f t="shared" ref="D86:R86" si="46">+D84+D82+D76+D65+D59+D26+D24</f>
        <v>172741</v>
      </c>
      <c r="E86" s="596">
        <f t="shared" si="46"/>
        <v>-2372</v>
      </c>
      <c r="F86" s="596">
        <f t="shared" si="46"/>
        <v>170369</v>
      </c>
      <c r="G86" s="596">
        <v>139072</v>
      </c>
      <c r="H86" s="596">
        <f t="shared" si="46"/>
        <v>-886</v>
      </c>
      <c r="I86" s="596">
        <f t="shared" si="46"/>
        <v>138186</v>
      </c>
      <c r="J86" s="596">
        <f t="shared" si="46"/>
        <v>11778</v>
      </c>
      <c r="K86" s="596">
        <f t="shared" si="46"/>
        <v>-386</v>
      </c>
      <c r="L86" s="596">
        <f t="shared" si="46"/>
        <v>11392</v>
      </c>
      <c r="M86" s="596">
        <f t="shared" si="46"/>
        <v>2534</v>
      </c>
      <c r="N86" s="742">
        <f t="shared" si="46"/>
        <v>-1100</v>
      </c>
      <c r="O86" s="742">
        <f t="shared" si="46"/>
        <v>1434</v>
      </c>
      <c r="P86" s="596">
        <f t="shared" si="46"/>
        <v>19357</v>
      </c>
      <c r="Q86" s="596">
        <f t="shared" si="46"/>
        <v>0</v>
      </c>
      <c r="R86" s="597">
        <f t="shared" si="46"/>
        <v>19357</v>
      </c>
    </row>
  </sheetData>
  <mergeCells count="77">
    <mergeCell ref="B65:C65"/>
    <mergeCell ref="B68:C68"/>
    <mergeCell ref="B75:C75"/>
    <mergeCell ref="B81:C81"/>
    <mergeCell ref="B86:C86"/>
    <mergeCell ref="B80:C80"/>
    <mergeCell ref="B82:C82"/>
    <mergeCell ref="B71:C71"/>
    <mergeCell ref="B72:C72"/>
    <mergeCell ref="B74:C74"/>
    <mergeCell ref="B76:C76"/>
    <mergeCell ref="B79:C79"/>
    <mergeCell ref="B78:C78"/>
    <mergeCell ref="B69:C69"/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36:C36"/>
    <mergeCell ref="B37:C37"/>
    <mergeCell ref="B60:C60"/>
    <mergeCell ref="B59:C59"/>
    <mergeCell ref="B58:C58"/>
    <mergeCell ref="B39:C39"/>
    <mergeCell ref="B40:C40"/>
    <mergeCell ref="B41:C41"/>
    <mergeCell ref="B42:C42"/>
    <mergeCell ref="B56:C56"/>
    <mergeCell ref="B43:C43"/>
    <mergeCell ref="B55:C55"/>
    <mergeCell ref="B38:C38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4:C84"/>
    <mergeCell ref="B44:C44"/>
    <mergeCell ref="B61:C61"/>
    <mergeCell ref="B63:C63"/>
    <mergeCell ref="B73:C73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</mergeCells>
  <pageMargins left="0.31496062992125984" right="0.11811023622047245" top="0.74803149606299213" bottom="0.74803149606299213" header="0.31496062992125984" footer="0.31496062992125984"/>
  <pageSetup paperSize="9" scale="66" fitToHeight="2" orientation="portrait" cellComments="asDisplayed" r:id="rId1"/>
  <headerFooter>
    <oddHeader>&amp;C&amp;"Times New Roman,Félkövér"&amp;12Martonvásár Város Önkormányzatának kiadásai 2016.
Brunszvik Teréz Óvoda&amp;R&amp;"Times New Roman,Félkövér"&amp;12 6/b. melléklet</oddHeader>
  </headerFooter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0"/>
  <sheetViews>
    <sheetView topLeftCell="A28" workbookViewId="0">
      <selection activeCell="E44" sqref="E44"/>
    </sheetView>
  </sheetViews>
  <sheetFormatPr defaultColWidth="9.109375" defaultRowHeight="15.6"/>
  <cols>
    <col min="1" max="1" width="5.44140625" style="209" customWidth="1"/>
    <col min="2" max="2" width="54.88671875" style="203" customWidth="1"/>
    <col min="3" max="3" width="10.44140625" style="203" customWidth="1"/>
    <col min="4" max="4" width="9.109375" style="203" customWidth="1"/>
    <col min="5" max="5" width="10.109375" style="203" customWidth="1"/>
    <col min="6" max="20" width="9.109375" style="104"/>
    <col min="21" max="16384" width="9.109375" style="203"/>
  </cols>
  <sheetData>
    <row r="1" spans="1:20" ht="15.9" customHeight="1">
      <c r="A1" s="98" t="s">
        <v>298</v>
      </c>
      <c r="B1" s="99"/>
      <c r="C1" s="99"/>
      <c r="D1" s="99"/>
      <c r="E1" s="99"/>
    </row>
    <row r="2" spans="1:20" ht="15.9" customHeight="1">
      <c r="A2" s="919" t="s">
        <v>299</v>
      </c>
      <c r="B2" s="919"/>
      <c r="D2" s="922" t="s">
        <v>396</v>
      </c>
      <c r="E2" s="922"/>
    </row>
    <row r="3" spans="1:20" ht="35.25" customHeight="1">
      <c r="A3" s="210"/>
      <c r="B3" s="210" t="s">
        <v>180</v>
      </c>
      <c r="C3" s="75" t="s">
        <v>869</v>
      </c>
      <c r="D3" s="75" t="s">
        <v>732</v>
      </c>
      <c r="E3" s="75" t="s">
        <v>946</v>
      </c>
      <c r="O3" s="203"/>
      <c r="P3" s="203"/>
      <c r="Q3" s="203"/>
      <c r="R3" s="203"/>
      <c r="S3" s="203"/>
      <c r="T3" s="203"/>
    </row>
    <row r="4" spans="1:20" s="223" customFormat="1">
      <c r="A4" s="221" t="s">
        <v>408</v>
      </c>
      <c r="B4" s="214" t="s">
        <v>407</v>
      </c>
      <c r="C4" s="227">
        <f t="shared" ref="C4" si="0">+C7+C8+C13+C14</f>
        <v>1002444</v>
      </c>
      <c r="D4" s="227">
        <f t="shared" ref="D4:E4" si="1">+D7+D8+D13+D14</f>
        <v>42010</v>
      </c>
      <c r="E4" s="227">
        <f t="shared" si="1"/>
        <v>1044454</v>
      </c>
      <c r="F4" s="222"/>
      <c r="G4" s="222"/>
      <c r="H4" s="222"/>
      <c r="I4" s="222"/>
      <c r="J4" s="222"/>
      <c r="K4" s="222"/>
      <c r="L4" s="222"/>
      <c r="M4" s="222"/>
      <c r="N4" s="222"/>
    </row>
    <row r="5" spans="1:20" s="204" customFormat="1" ht="12" customHeight="1">
      <c r="A5" s="111" t="s">
        <v>405</v>
      </c>
      <c r="B5" s="226" t="s">
        <v>327</v>
      </c>
      <c r="C5" s="108">
        <f>+'3.mell. Bevétel'!C11</f>
        <v>598540</v>
      </c>
      <c r="D5" s="108">
        <f>+'3.mell. Bevétel'!D11</f>
        <v>-7147</v>
      </c>
      <c r="E5" s="108">
        <f>+'3.mell. Bevétel'!E11</f>
        <v>591393</v>
      </c>
      <c r="F5" s="104"/>
      <c r="G5" s="104"/>
      <c r="H5" s="104"/>
      <c r="I5" s="104"/>
      <c r="J5" s="104"/>
      <c r="K5" s="104"/>
      <c r="L5" s="104"/>
      <c r="M5" s="104"/>
      <c r="N5" s="104"/>
    </row>
    <row r="6" spans="1:20" s="204" customFormat="1" ht="13.5" customHeight="1">
      <c r="A6" s="225" t="s">
        <v>406</v>
      </c>
      <c r="B6" s="226" t="s">
        <v>202</v>
      </c>
      <c r="C6" s="108">
        <f>+'3.mell. Bevétel'!C12+'6. mell. Int.összesen'!D4</f>
        <v>57575</v>
      </c>
      <c r="D6" s="108">
        <f>+'3.mell. Bevétel'!D12+'6. mell. Int.összesen'!E4</f>
        <v>1243</v>
      </c>
      <c r="E6" s="108">
        <f>+'3.mell. Bevétel'!E12+'6. mell. Int.összesen'!F4</f>
        <v>58818</v>
      </c>
      <c r="F6" s="104"/>
      <c r="G6" s="104"/>
      <c r="H6" s="104"/>
      <c r="I6" s="104"/>
      <c r="J6" s="104"/>
      <c r="K6" s="104"/>
      <c r="L6" s="104"/>
      <c r="M6" s="104"/>
      <c r="N6" s="104"/>
    </row>
    <row r="7" spans="1:20" s="224" customFormat="1" ht="12" customHeight="1">
      <c r="A7" s="80" t="s">
        <v>304</v>
      </c>
      <c r="B7" s="66" t="s">
        <v>325</v>
      </c>
      <c r="C7" s="91">
        <f t="shared" ref="C7" si="2">+C5+C6</f>
        <v>656115</v>
      </c>
      <c r="D7" s="91">
        <f t="shared" ref="D7:E7" si="3">+D5+D6</f>
        <v>-5904</v>
      </c>
      <c r="E7" s="91">
        <f t="shared" si="3"/>
        <v>650211</v>
      </c>
      <c r="F7" s="222"/>
      <c r="G7" s="222"/>
      <c r="H7" s="222"/>
      <c r="I7" s="222"/>
      <c r="J7" s="222"/>
      <c r="K7" s="222"/>
      <c r="L7" s="222"/>
      <c r="M7" s="222"/>
      <c r="N7" s="222"/>
    </row>
    <row r="8" spans="1:20" s="204" customFormat="1" ht="12" customHeight="1">
      <c r="A8" s="216" t="s">
        <v>409</v>
      </c>
      <c r="B8" s="66" t="s">
        <v>331</v>
      </c>
      <c r="C8" s="91">
        <f t="shared" ref="C8" si="4">SUM(C9:C12)</f>
        <v>284500</v>
      </c>
      <c r="D8" s="91">
        <f t="shared" ref="D8:E8" si="5">SUM(D9:D12)</f>
        <v>38833</v>
      </c>
      <c r="E8" s="91">
        <f t="shared" si="5"/>
        <v>323333</v>
      </c>
      <c r="F8" s="104"/>
      <c r="G8" s="104"/>
      <c r="H8" s="104"/>
      <c r="I8" s="104"/>
      <c r="J8" s="104"/>
      <c r="K8" s="104"/>
      <c r="L8" s="104"/>
      <c r="M8" s="104"/>
      <c r="N8" s="104"/>
    </row>
    <row r="9" spans="1:20" s="204" customFormat="1" ht="12" customHeight="1">
      <c r="A9" s="111" t="s">
        <v>410</v>
      </c>
      <c r="B9" s="226" t="s">
        <v>329</v>
      </c>
      <c r="C9" s="91">
        <f>+'3.mell. Bevétel'!C40</f>
        <v>0</v>
      </c>
      <c r="D9" s="91">
        <f>+'3.mell. Bevétel'!D40</f>
        <v>0</v>
      </c>
      <c r="E9" s="91">
        <f>+'3.mell. Bevétel'!E40</f>
        <v>0</v>
      </c>
      <c r="F9" s="104"/>
      <c r="G9" s="104"/>
      <c r="H9" s="104"/>
      <c r="I9" s="104"/>
      <c r="J9" s="104"/>
      <c r="K9" s="104"/>
      <c r="L9" s="104"/>
      <c r="M9" s="104"/>
      <c r="N9" s="104"/>
    </row>
    <row r="10" spans="1:20" s="204" customFormat="1" ht="12" customHeight="1">
      <c r="A10" s="225" t="s">
        <v>411</v>
      </c>
      <c r="B10" s="226" t="s">
        <v>217</v>
      </c>
      <c r="C10" s="91">
        <f>+'3.mell. Bevétel'!C43</f>
        <v>147800</v>
      </c>
      <c r="D10" s="91">
        <f>+'3.mell. Bevétel'!D43</f>
        <v>28470</v>
      </c>
      <c r="E10" s="91">
        <f>+'3.mell. Bevétel'!E43</f>
        <v>176270</v>
      </c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20" s="204" customFormat="1" ht="12" customHeight="1">
      <c r="A11" s="111" t="s">
        <v>412</v>
      </c>
      <c r="B11" s="226" t="s">
        <v>330</v>
      </c>
      <c r="C11" s="91">
        <f>+'3.mell. Bevétel'!C52</f>
        <v>135000</v>
      </c>
      <c r="D11" s="91">
        <f>+'3.mell. Bevétel'!D52</f>
        <v>7231</v>
      </c>
      <c r="E11" s="91">
        <f>+'3.mell. Bevétel'!E52</f>
        <v>142231</v>
      </c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20" s="204" customFormat="1" ht="12" customHeight="1">
      <c r="A12" s="225" t="s">
        <v>413</v>
      </c>
      <c r="B12" s="226" t="s">
        <v>230</v>
      </c>
      <c r="C12" s="91">
        <f>+'3.mell. Bevétel'!C53</f>
        <v>1700</v>
      </c>
      <c r="D12" s="91">
        <f>+'3.mell. Bevétel'!D53</f>
        <v>3132</v>
      </c>
      <c r="E12" s="91">
        <f>+'3.mell. Bevétel'!E53</f>
        <v>4832</v>
      </c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20" s="204" customFormat="1" ht="12" customHeight="1">
      <c r="A13" s="80">
        <v>3</v>
      </c>
      <c r="B13" s="66" t="s">
        <v>277</v>
      </c>
      <c r="C13" s="91">
        <f>+'3.mell. Bevétel'!C65+'6. mell. Int.összesen'!D36</f>
        <v>42804</v>
      </c>
      <c r="D13" s="91">
        <f>+'3.mell. Bevétel'!D65+'6. mell. Int.összesen'!E36</f>
        <v>8331</v>
      </c>
      <c r="E13" s="91">
        <f>+'3.mell. Bevétel'!E65+'6. mell. Int.összesen'!F36</f>
        <v>51135</v>
      </c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20" s="204" customFormat="1" ht="12" customHeight="1">
      <c r="A14" s="216">
        <v>4</v>
      </c>
      <c r="B14" s="66" t="s">
        <v>275</v>
      </c>
      <c r="C14" s="91">
        <f>+'3.mell. Bevétel'!C69</f>
        <v>19025</v>
      </c>
      <c r="D14" s="91">
        <f>+'3.mell. Bevétel'!D69</f>
        <v>750</v>
      </c>
      <c r="E14" s="91">
        <f>+'3.mell. Bevétel'!E69</f>
        <v>19775</v>
      </c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20" s="224" customFormat="1" ht="12" customHeight="1">
      <c r="A15" s="81" t="s">
        <v>414</v>
      </c>
      <c r="B15" s="214" t="s">
        <v>276</v>
      </c>
      <c r="C15" s="95">
        <f t="shared" ref="C15" si="6">SUM(C16:C18)</f>
        <v>49905</v>
      </c>
      <c r="D15" s="95">
        <f t="shared" ref="D15:E15" si="7">SUM(D16:D18)</f>
        <v>806803</v>
      </c>
      <c r="E15" s="95">
        <f t="shared" si="7"/>
        <v>856708</v>
      </c>
      <c r="F15" s="222"/>
      <c r="G15" s="222"/>
      <c r="H15" s="222"/>
      <c r="I15" s="222"/>
      <c r="J15" s="222"/>
      <c r="K15" s="222"/>
      <c r="L15" s="222"/>
      <c r="M15" s="222"/>
      <c r="N15" s="222"/>
    </row>
    <row r="16" spans="1:20" s="204" customFormat="1" ht="12" customHeight="1">
      <c r="A16" s="216">
        <v>1</v>
      </c>
      <c r="B16" s="66" t="s">
        <v>326</v>
      </c>
      <c r="C16" s="91">
        <f>+'3.mell. Bevétel'!C37+'6. mell. Int.összesen'!D16</f>
        <v>300</v>
      </c>
      <c r="D16" s="91">
        <f>+'3.mell. Bevétel'!D37+'6. mell. Int.összesen'!E16</f>
        <v>806803</v>
      </c>
      <c r="E16" s="91">
        <f>+'3.mell. Bevétel'!E37+'6. mell. Int.összesen'!F16</f>
        <v>807103</v>
      </c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20" s="204" customFormat="1" ht="12" customHeight="1">
      <c r="A17" s="80">
        <v>2</v>
      </c>
      <c r="B17" s="66" t="s">
        <v>276</v>
      </c>
      <c r="C17" s="91">
        <f>+'3.mell. Bevétel'!C66</f>
        <v>49605</v>
      </c>
      <c r="D17" s="91">
        <f>+'3.mell. Bevétel'!D66</f>
        <v>0</v>
      </c>
      <c r="E17" s="91">
        <f>+'3.mell. Bevétel'!E66</f>
        <v>49605</v>
      </c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20" s="204" customFormat="1" ht="12" customHeight="1">
      <c r="A18" s="216">
        <v>3</v>
      </c>
      <c r="B18" s="66" t="s">
        <v>280</v>
      </c>
      <c r="C18" s="91">
        <f>+'3.mell. Bevétel'!C71</f>
        <v>0</v>
      </c>
      <c r="D18" s="91">
        <f>+'3.mell. Bevétel'!D71</f>
        <v>0</v>
      </c>
      <c r="E18" s="91">
        <f>+'3.mell. Bevétel'!E71</f>
        <v>0</v>
      </c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20" s="204" customFormat="1" ht="12" customHeight="1">
      <c r="A19" s="80"/>
      <c r="B19" s="67" t="s">
        <v>393</v>
      </c>
      <c r="C19" s="95">
        <f t="shared" ref="C19" si="8">+C15+C4</f>
        <v>1052349</v>
      </c>
      <c r="D19" s="95">
        <f t="shared" ref="D19:E19" si="9">+D15+D4</f>
        <v>848813</v>
      </c>
      <c r="E19" s="95">
        <f t="shared" si="9"/>
        <v>1901162</v>
      </c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20" s="204" customFormat="1" ht="12" customHeight="1">
      <c r="A20" s="221" t="s">
        <v>415</v>
      </c>
      <c r="B20" s="67" t="s">
        <v>283</v>
      </c>
      <c r="C20" s="95">
        <f>+C23+C21+C22</f>
        <v>412646</v>
      </c>
      <c r="D20" s="95">
        <f t="shared" ref="D20:E20" si="10">+D23+D21+D22</f>
        <v>140000</v>
      </c>
      <c r="E20" s="95">
        <f t="shared" si="10"/>
        <v>552646</v>
      </c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20" s="204" customFormat="1" ht="12" customHeight="1">
      <c r="A21" s="80">
        <v>1</v>
      </c>
      <c r="B21" s="66" t="s">
        <v>390</v>
      </c>
      <c r="C21" s="91">
        <f>+'3.mell. Bevétel'!C74</f>
        <v>0</v>
      </c>
      <c r="D21" s="91">
        <f>+'3.mell. Bevétel'!D74</f>
        <v>0</v>
      </c>
      <c r="E21" s="91">
        <f>+'3.mell. Bevétel'!E74</f>
        <v>0</v>
      </c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20" s="204" customFormat="1" ht="12" customHeight="1">
      <c r="A22" s="80">
        <v>2</v>
      </c>
      <c r="B22" s="66" t="s">
        <v>1012</v>
      </c>
      <c r="C22" s="91"/>
      <c r="D22" s="91">
        <f>+'3.mell. Bevétel'!D79</f>
        <v>140000</v>
      </c>
      <c r="E22" s="91">
        <f>+'3.mell. Bevétel'!E79</f>
        <v>140000</v>
      </c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20" s="204" customFormat="1" ht="12" customHeight="1">
      <c r="A23" s="216">
        <v>3</v>
      </c>
      <c r="B23" s="66" t="s">
        <v>332</v>
      </c>
      <c r="C23" s="91">
        <f t="shared" ref="C23" si="11">SUM(C24:C25)</f>
        <v>412646</v>
      </c>
      <c r="D23" s="91">
        <f t="shared" ref="D23:E23" si="12">SUM(D24:D25)</f>
        <v>0</v>
      </c>
      <c r="E23" s="91">
        <f t="shared" si="12"/>
        <v>412646</v>
      </c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20" s="204" customFormat="1" ht="12" customHeight="1">
      <c r="A24" s="80" t="s">
        <v>405</v>
      </c>
      <c r="B24" s="226" t="s">
        <v>391</v>
      </c>
      <c r="C24" s="108">
        <f>+'3.mell. Bevétel'!C76+'6. mell. Int.összesen'!D44</f>
        <v>56840</v>
      </c>
      <c r="D24" s="108">
        <f>+'3.mell. Bevétel'!D76+'6. mell. Int.összesen'!E44</f>
        <v>0</v>
      </c>
      <c r="E24" s="108">
        <f>+'3.mell. Bevétel'!E76+'6. mell. Int.összesen'!F44</f>
        <v>56840</v>
      </c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20" s="204" customFormat="1" ht="12" customHeight="1">
      <c r="A25" s="216" t="s">
        <v>406</v>
      </c>
      <c r="B25" s="226" t="s">
        <v>392</v>
      </c>
      <c r="C25" s="108">
        <f>+'3.mell. Bevétel'!C77+'6. mell. Int.összesen'!D45</f>
        <v>355806</v>
      </c>
      <c r="D25" s="108">
        <f>+'3.mell. Bevétel'!D77+'6. mell. Int.összesen'!E45</f>
        <v>0</v>
      </c>
      <c r="E25" s="108">
        <f>+'3.mell. Bevétel'!E77+'6. mell. Int.összesen'!F45</f>
        <v>355806</v>
      </c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20" s="204" customFormat="1" ht="12.75" customHeight="1">
      <c r="A26" s="914" t="s">
        <v>394</v>
      </c>
      <c r="B26" s="915"/>
      <c r="C26" s="228">
        <f t="shared" ref="C26" si="13">+C20+C15+C4</f>
        <v>1464995</v>
      </c>
      <c r="D26" s="228">
        <f t="shared" ref="D26:E26" si="14">+D20+D15+D4</f>
        <v>988813</v>
      </c>
      <c r="E26" s="228">
        <f t="shared" si="14"/>
        <v>2453808</v>
      </c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20" s="204" customFormat="1" ht="12" customHeight="1">
      <c r="A27" s="202"/>
      <c r="B27" s="94"/>
      <c r="C27" s="217"/>
      <c r="D27" s="94"/>
      <c r="E27" s="9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20" s="204" customFormat="1" ht="16.5" customHeight="1">
      <c r="A28" s="920" t="s">
        <v>305</v>
      </c>
      <c r="B28" s="921"/>
      <c r="C28" s="921"/>
      <c r="D28" s="921"/>
      <c r="E28" s="921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20" s="204" customFormat="1" ht="15" customHeight="1">
      <c r="A29" s="919" t="s">
        <v>306</v>
      </c>
      <c r="B29" s="919"/>
      <c r="C29" s="205"/>
      <c r="D29" s="205"/>
      <c r="E29" s="205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spans="1:20" ht="16.5" customHeight="1">
      <c r="A30" s="211"/>
      <c r="B30" s="211" t="s">
        <v>180</v>
      </c>
      <c r="C30" s="75" t="s">
        <v>869</v>
      </c>
      <c r="D30" s="75" t="s">
        <v>732</v>
      </c>
      <c r="E30" s="75" t="s">
        <v>946</v>
      </c>
    </row>
    <row r="31" spans="1:20" ht="16.5" customHeight="1">
      <c r="A31" s="221" t="s">
        <v>408</v>
      </c>
      <c r="B31" s="214" t="s">
        <v>419</v>
      </c>
      <c r="C31" s="227">
        <f t="shared" ref="C31" si="15">+C32+C33+C34+C35+C36+C37</f>
        <v>1201904</v>
      </c>
      <c r="D31" s="227">
        <f t="shared" ref="D31:E31" si="16">+D32+D33+D34+D35+D36+D37</f>
        <v>612616</v>
      </c>
      <c r="E31" s="227">
        <f t="shared" si="16"/>
        <v>1814520</v>
      </c>
    </row>
    <row r="32" spans="1:20" ht="13.5" customHeight="1">
      <c r="A32" s="3">
        <v>1</v>
      </c>
      <c r="B32" s="196" t="s">
        <v>173</v>
      </c>
      <c r="C32" s="215">
        <f>+'5. mell. Önk.össz kiadás'!D5+'6. mell. Int.összesen'!D55</f>
        <v>272751</v>
      </c>
      <c r="D32" s="215">
        <f>+'5. mell. Önk.össz kiadás'!E5+'6. mell. Int.összesen'!E55</f>
        <v>3215</v>
      </c>
      <c r="E32" s="215">
        <f>+'5. mell. Önk.össz kiadás'!F5+'6. mell. Int.összesen'!F55</f>
        <v>275966</v>
      </c>
      <c r="O32" s="203"/>
      <c r="P32" s="203"/>
      <c r="Q32" s="203"/>
      <c r="R32" s="203"/>
      <c r="S32" s="203"/>
      <c r="T32" s="203"/>
    </row>
    <row r="33" spans="1:20" ht="12" customHeight="1">
      <c r="A33" s="3">
        <v>2</v>
      </c>
      <c r="B33" s="196" t="s">
        <v>172</v>
      </c>
      <c r="C33" s="215">
        <f>+'5. mell. Önk.össz kiadás'!D7+'6. mell. Int.összesen'!D56</f>
        <v>76101</v>
      </c>
      <c r="D33" s="215">
        <f>+'5. mell. Önk.össz kiadás'!E7+'6. mell. Int.összesen'!E56</f>
        <v>-1496</v>
      </c>
      <c r="E33" s="215">
        <f>+'5. mell. Önk.össz kiadás'!F7+'6. mell. Int.összesen'!F56</f>
        <v>74605</v>
      </c>
      <c r="O33" s="203"/>
      <c r="P33" s="203"/>
      <c r="Q33" s="203"/>
      <c r="R33" s="203"/>
      <c r="S33" s="203"/>
      <c r="T33" s="203"/>
    </row>
    <row r="34" spans="1:20" ht="12" customHeight="1">
      <c r="A34" s="3">
        <v>3</v>
      </c>
      <c r="B34" s="196" t="s">
        <v>152</v>
      </c>
      <c r="C34" s="215">
        <f>+'5. mell. Önk.össz kiadás'!D14+'6. mell. Int.összesen'!D63</f>
        <v>189547</v>
      </c>
      <c r="D34" s="215">
        <f>+'5. mell. Önk.össz kiadás'!E14+'6. mell. Int.összesen'!E63</f>
        <v>8804</v>
      </c>
      <c r="E34" s="215">
        <f>+'5. mell. Önk.össz kiadás'!F14+'6. mell. Int.összesen'!F63</f>
        <v>198351</v>
      </c>
      <c r="O34" s="203"/>
      <c r="P34" s="203"/>
      <c r="Q34" s="203"/>
      <c r="R34" s="203"/>
      <c r="S34" s="203"/>
      <c r="T34" s="203"/>
    </row>
    <row r="35" spans="1:20" ht="12" customHeight="1">
      <c r="A35" s="3">
        <v>4</v>
      </c>
      <c r="B35" s="197" t="s">
        <v>151</v>
      </c>
      <c r="C35" s="215">
        <f>+'5. mell. Önk.össz kiadás'!D16</f>
        <v>21620</v>
      </c>
      <c r="D35" s="215">
        <f>+'5. mell. Önk.össz kiadás'!E16</f>
        <v>330</v>
      </c>
      <c r="E35" s="215">
        <f>+'5. mell. Önk.össz kiadás'!F16</f>
        <v>21950</v>
      </c>
      <c r="O35" s="203"/>
      <c r="P35" s="203"/>
      <c r="Q35" s="203"/>
      <c r="R35" s="203"/>
      <c r="S35" s="203"/>
      <c r="T35" s="203"/>
    </row>
    <row r="36" spans="1:20" ht="12" customHeight="1">
      <c r="A36" s="3">
        <v>5</v>
      </c>
      <c r="B36" s="196" t="s">
        <v>164</v>
      </c>
      <c r="C36" s="215">
        <f>+'5. mell. Önk.össz kiadás'!D18+'6. mell. Int.összesen'!D67-C37</f>
        <v>437156</v>
      </c>
      <c r="D36" s="215">
        <f>+'5. mell. Önk.össz kiadás'!E18+'6. mell. Int.összesen'!E67-D37</f>
        <v>2040</v>
      </c>
      <c r="E36" s="215">
        <f>+'5. mell. Önk.össz kiadás'!F18+'6. mell. Int.összesen'!F67-E37</f>
        <v>439196</v>
      </c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</row>
    <row r="37" spans="1:20" ht="12" customHeight="1">
      <c r="A37" s="3">
        <v>6</v>
      </c>
      <c r="B37" s="196" t="s">
        <v>430</v>
      </c>
      <c r="C37" s="215">
        <f>+'5. mell. Önk.össz kiadás'!D19</f>
        <v>204729</v>
      </c>
      <c r="D37" s="215">
        <f>+'5. mell. Önk.össz kiadás'!E19</f>
        <v>599723</v>
      </c>
      <c r="E37" s="215">
        <f>+'5. mell. Önk.össz kiadás'!F19</f>
        <v>804452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1:20" ht="12" customHeight="1">
      <c r="A38" s="5" t="s">
        <v>420</v>
      </c>
      <c r="B38" s="214" t="s">
        <v>421</v>
      </c>
      <c r="C38" s="228">
        <f t="shared" ref="C38" si="17">+C39+C40+C41</f>
        <v>236834</v>
      </c>
      <c r="D38" s="228">
        <f t="shared" ref="D38:E38" si="18">+D39+D40+D41</f>
        <v>36197</v>
      </c>
      <c r="E38" s="228">
        <f t="shared" si="18"/>
        <v>273031</v>
      </c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1:20" ht="12" customHeight="1">
      <c r="A39" s="3">
        <v>1</v>
      </c>
      <c r="B39" s="196" t="s">
        <v>162</v>
      </c>
      <c r="C39" s="215">
        <f>+'5. mell. Önk.össz kiadás'!D21+'6. mell. Int.összesen'!D69</f>
        <v>186728</v>
      </c>
      <c r="D39" s="215">
        <f>+'5. mell. Önk.össz kiadás'!E21+'6. mell. Int.összesen'!E69</f>
        <v>17659</v>
      </c>
      <c r="E39" s="215">
        <f>+'5. mell. Önk.össz kiadás'!F21+'6. mell. Int.összesen'!F69</f>
        <v>204387</v>
      </c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</row>
    <row r="40" spans="1:20" ht="12" customHeight="1">
      <c r="A40" s="3">
        <v>2</v>
      </c>
      <c r="B40" s="196" t="s">
        <v>161</v>
      </c>
      <c r="C40" s="215">
        <f>+'5. mell. Önk.össz kiadás'!D23</f>
        <v>37489</v>
      </c>
      <c r="D40" s="215">
        <f>+'5. mell. Önk.össz kiadás'!E23</f>
        <v>16538</v>
      </c>
      <c r="E40" s="215">
        <f>+'5. mell. Önk.össz kiadás'!F23</f>
        <v>54027</v>
      </c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</row>
    <row r="41" spans="1:20" ht="12" customHeight="1">
      <c r="A41" s="3">
        <v>3</v>
      </c>
      <c r="B41" s="196" t="s">
        <v>159</v>
      </c>
      <c r="C41" s="215">
        <f>+'5. mell. Önk.össz kiadás'!D25+'6. mell. Int.összesen'!D70</f>
        <v>12617</v>
      </c>
      <c r="D41" s="215">
        <f>+'5. mell. Önk.össz kiadás'!E25+'6. mell. Int.összesen'!E70</f>
        <v>2000</v>
      </c>
      <c r="E41" s="215">
        <f>+'5. mell. Önk.össz kiadás'!F25+'6. mell. Int.összesen'!F70</f>
        <v>14617</v>
      </c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1:20" s="223" customFormat="1" ht="12" customHeight="1">
      <c r="A42" s="5"/>
      <c r="B42" s="200" t="s">
        <v>417</v>
      </c>
      <c r="C42" s="228">
        <f t="shared" ref="C42" si="19">+C38+C31</f>
        <v>1438738</v>
      </c>
      <c r="D42" s="228">
        <f t="shared" ref="D42:E42" si="20">+D38+D31</f>
        <v>648813</v>
      </c>
      <c r="E42" s="228">
        <f t="shared" si="20"/>
        <v>2087551</v>
      </c>
    </row>
    <row r="43" spans="1:20" ht="12" customHeight="1">
      <c r="A43" s="5" t="s">
        <v>422</v>
      </c>
      <c r="B43" s="229" t="s">
        <v>274</v>
      </c>
      <c r="C43" s="228">
        <f>+'5. mell. Önk.össz kiadás'!D29+'6. mell. Int.összesen'!D77-'5.g. mell. Egyéb tev.'!D102</f>
        <v>26257</v>
      </c>
      <c r="D43" s="228">
        <f>+'5. mell. Önk.össz kiadás'!E29+'6. mell. Int.összesen'!E77-'5.g. mell. Egyéb tev.'!E102</f>
        <v>340000</v>
      </c>
      <c r="E43" s="228">
        <f>+'5. mell. Önk.össz kiadás'!F29+'6. mell. Int.összesen'!F77-'5.g. mell. Egyéb tev.'!F102</f>
        <v>366257</v>
      </c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</row>
    <row r="44" spans="1:20" s="223" customFormat="1" ht="12" customHeight="1">
      <c r="A44" s="916" t="s">
        <v>418</v>
      </c>
      <c r="B44" s="917"/>
      <c r="C44" s="228">
        <f t="shared" ref="C44" si="21">C43+C42</f>
        <v>1464995</v>
      </c>
      <c r="D44" s="228">
        <f t="shared" ref="D44:E44" si="22">D43+D42</f>
        <v>988813</v>
      </c>
      <c r="E44" s="228">
        <f t="shared" si="22"/>
        <v>2453808</v>
      </c>
    </row>
    <row r="45" spans="1:20" ht="15" customHeight="1">
      <c r="A45" s="206"/>
      <c r="B45" s="104"/>
      <c r="C45" s="104"/>
      <c r="D45" s="104"/>
      <c r="E45" s="104"/>
      <c r="O45" s="203"/>
      <c r="P45" s="203"/>
      <c r="Q45" s="203"/>
      <c r="R45" s="203"/>
      <c r="S45" s="203"/>
      <c r="T45" s="203"/>
    </row>
    <row r="46" spans="1:20" s="204" customFormat="1" ht="15.75" customHeight="1">
      <c r="A46" s="918" t="s">
        <v>311</v>
      </c>
      <c r="B46" s="918"/>
      <c r="C46" s="918"/>
      <c r="D46" s="918"/>
      <c r="E46" s="918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</row>
    <row r="47" spans="1:20" s="104" customFormat="1">
      <c r="A47" s="207" t="s">
        <v>312</v>
      </c>
      <c r="B47" s="208"/>
      <c r="C47" s="203"/>
      <c r="D47" s="203"/>
      <c r="E47" s="203"/>
    </row>
    <row r="48" spans="1:20">
      <c r="A48" s="212">
        <v>1</v>
      </c>
      <c r="B48" s="103" t="s">
        <v>423</v>
      </c>
      <c r="C48" s="100">
        <f>+C19-C42</f>
        <v>-386389</v>
      </c>
      <c r="D48" s="100">
        <f t="shared" ref="D48:E48" si="23">+D19-D42</f>
        <v>200000</v>
      </c>
      <c r="E48" s="100">
        <f t="shared" si="23"/>
        <v>-186389</v>
      </c>
    </row>
    <row r="49" spans="1:20">
      <c r="A49" s="206"/>
      <c r="B49" s="104"/>
      <c r="C49" s="104"/>
      <c r="D49" s="104"/>
      <c r="E49" s="104"/>
    </row>
    <row r="50" spans="1:20">
      <c r="A50" s="918" t="s">
        <v>313</v>
      </c>
      <c r="B50" s="918"/>
      <c r="C50" s="918"/>
      <c r="D50" s="918"/>
      <c r="E50" s="918"/>
    </row>
    <row r="51" spans="1:20">
      <c r="A51" s="207" t="s">
        <v>314</v>
      </c>
      <c r="B51" s="208"/>
    </row>
    <row r="52" spans="1:20">
      <c r="A52" s="212" t="s">
        <v>304</v>
      </c>
      <c r="B52" s="103" t="s">
        <v>315</v>
      </c>
      <c r="C52" s="100">
        <f>+C53-C54</f>
        <v>386389</v>
      </c>
      <c r="D52" s="100">
        <f t="shared" ref="D52:E52" si="24">+D53-D54</f>
        <v>-200000</v>
      </c>
      <c r="E52" s="100">
        <f t="shared" si="24"/>
        <v>186389</v>
      </c>
    </row>
    <row r="53" spans="1:20">
      <c r="A53" s="213" t="s">
        <v>308</v>
      </c>
      <c r="B53" s="101" t="s">
        <v>424</v>
      </c>
      <c r="C53" s="102">
        <f>+C20</f>
        <v>412646</v>
      </c>
      <c r="D53" s="102">
        <f t="shared" ref="D53:E53" si="25">+D20</f>
        <v>140000</v>
      </c>
      <c r="E53" s="102">
        <f t="shared" si="25"/>
        <v>552646</v>
      </c>
    </row>
    <row r="54" spans="1:20">
      <c r="A54" s="213" t="s">
        <v>309</v>
      </c>
      <c r="B54" s="101" t="s">
        <v>425</v>
      </c>
      <c r="C54" s="102">
        <f>+C43</f>
        <v>26257</v>
      </c>
      <c r="D54" s="102">
        <f t="shared" ref="D54:E54" si="26">+D43</f>
        <v>340000</v>
      </c>
      <c r="E54" s="102">
        <f t="shared" si="26"/>
        <v>366257</v>
      </c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</row>
    <row r="55" spans="1:20">
      <c r="A55" s="206"/>
      <c r="B55" s="104"/>
      <c r="C55" s="104"/>
      <c r="D55" s="104"/>
      <c r="E55" s="104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</row>
    <row r="56" spans="1:20">
      <c r="A56" s="207" t="s">
        <v>316</v>
      </c>
      <c r="B56" s="208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</row>
    <row r="57" spans="1:20">
      <c r="A57" s="212">
        <v>1</v>
      </c>
      <c r="B57" s="103" t="s">
        <v>611</v>
      </c>
      <c r="C57" s="100">
        <f>+C26-C44</f>
        <v>0</v>
      </c>
      <c r="D57" s="100">
        <f t="shared" ref="D57:E57" si="27">+D26-D44</f>
        <v>0</v>
      </c>
      <c r="E57" s="100">
        <f t="shared" si="27"/>
        <v>0</v>
      </c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</row>
    <row r="58" spans="1:20">
      <c r="A58" s="206"/>
      <c r="B58" s="104"/>
      <c r="C58" s="104"/>
      <c r="D58" s="104"/>
      <c r="E58" s="104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</row>
    <row r="59" spans="1:20">
      <c r="A59" s="206"/>
      <c r="B59" s="104"/>
      <c r="C59" s="104"/>
      <c r="D59" s="104"/>
      <c r="E59" s="104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</row>
    <row r="60" spans="1:20">
      <c r="A60" s="206"/>
      <c r="B60" s="104"/>
      <c r="C60" s="104"/>
      <c r="D60" s="104"/>
      <c r="E60" s="104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</row>
    <row r="61" spans="1:20">
      <c r="A61" s="206"/>
      <c r="B61" s="104"/>
      <c r="C61" s="104"/>
      <c r="D61" s="104"/>
      <c r="E61" s="104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</row>
    <row r="62" spans="1:20">
      <c r="A62" s="206"/>
      <c r="B62" s="104"/>
      <c r="C62" s="104"/>
      <c r="D62" s="104"/>
      <c r="E62" s="104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</row>
    <row r="63" spans="1:20">
      <c r="A63" s="206"/>
      <c r="B63" s="104"/>
      <c r="C63" s="104"/>
      <c r="D63" s="104"/>
      <c r="E63" s="104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</row>
    <row r="64" spans="1:20">
      <c r="A64" s="206"/>
      <c r="B64" s="104"/>
      <c r="C64" s="104"/>
      <c r="D64" s="104"/>
      <c r="E64" s="104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</row>
    <row r="65" spans="1:20">
      <c r="A65" s="206"/>
      <c r="B65" s="104"/>
      <c r="C65" s="104"/>
      <c r="D65" s="104"/>
      <c r="E65" s="104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</row>
    <row r="66" spans="1:20">
      <c r="A66" s="206"/>
      <c r="B66" s="104"/>
      <c r="C66" s="104"/>
      <c r="D66" s="104"/>
      <c r="E66" s="104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</row>
    <row r="67" spans="1:20">
      <c r="A67" s="206"/>
      <c r="B67" s="104"/>
      <c r="C67" s="104"/>
      <c r="D67" s="104"/>
      <c r="E67" s="104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</row>
    <row r="68" spans="1:20">
      <c r="A68" s="206"/>
      <c r="B68" s="104"/>
      <c r="C68" s="104"/>
      <c r="D68" s="104"/>
      <c r="E68" s="104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</row>
    <row r="69" spans="1:20">
      <c r="A69" s="206"/>
      <c r="B69" s="104"/>
      <c r="C69" s="104"/>
      <c r="D69" s="104"/>
      <c r="E69" s="104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</row>
    <row r="70" spans="1:20">
      <c r="A70" s="206"/>
      <c r="B70" s="104"/>
      <c r="C70" s="104"/>
      <c r="D70" s="104"/>
      <c r="E70" s="104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</row>
    <row r="71" spans="1:20">
      <c r="A71" s="206"/>
      <c r="B71" s="104"/>
      <c r="C71" s="104"/>
      <c r="D71" s="104"/>
      <c r="E71" s="104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</row>
    <row r="72" spans="1:20">
      <c r="A72" s="206"/>
      <c r="B72" s="104"/>
      <c r="C72" s="104"/>
      <c r="D72" s="104"/>
      <c r="E72" s="104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</row>
    <row r="73" spans="1:20">
      <c r="A73" s="206"/>
      <c r="B73" s="104"/>
      <c r="C73" s="104"/>
      <c r="D73" s="104"/>
      <c r="E73" s="104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</row>
    <row r="74" spans="1:20">
      <c r="A74" s="206"/>
      <c r="B74" s="104"/>
      <c r="C74" s="104"/>
      <c r="D74" s="104"/>
      <c r="E74" s="104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</row>
    <row r="75" spans="1:20">
      <c r="A75" s="206"/>
      <c r="B75" s="104"/>
      <c r="C75" s="104"/>
      <c r="D75" s="104"/>
      <c r="E75" s="104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</row>
    <row r="76" spans="1:20">
      <c r="A76" s="206"/>
      <c r="B76" s="104"/>
      <c r="C76" s="104"/>
      <c r="D76" s="104"/>
      <c r="E76" s="104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</row>
    <row r="77" spans="1:20">
      <c r="A77" s="206"/>
      <c r="B77" s="104"/>
      <c r="C77" s="104"/>
      <c r="D77" s="104"/>
      <c r="E77" s="104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</row>
    <row r="78" spans="1:20">
      <c r="A78" s="206"/>
      <c r="B78" s="104"/>
      <c r="C78" s="104"/>
      <c r="D78" s="104"/>
      <c r="E78" s="104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</row>
    <row r="79" spans="1:20">
      <c r="A79" s="206"/>
      <c r="B79" s="104"/>
      <c r="C79" s="104"/>
      <c r="D79" s="104"/>
      <c r="E79" s="104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</row>
    <row r="80" spans="1:20">
      <c r="A80" s="206"/>
      <c r="B80" s="104"/>
      <c r="C80" s="104"/>
      <c r="D80" s="104"/>
      <c r="E80" s="104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</row>
    <row r="81" spans="1:20">
      <c r="A81" s="206"/>
      <c r="B81" s="104"/>
      <c r="C81" s="104"/>
      <c r="D81" s="104"/>
      <c r="E81" s="104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</row>
    <row r="82" spans="1:20">
      <c r="A82" s="206"/>
      <c r="B82" s="104"/>
      <c r="C82" s="104"/>
      <c r="D82" s="104"/>
      <c r="E82" s="104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</row>
    <row r="83" spans="1:20">
      <c r="A83" s="206"/>
      <c r="B83" s="104"/>
      <c r="C83" s="104"/>
      <c r="D83" s="104"/>
      <c r="E83" s="104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</row>
    <row r="84" spans="1:20">
      <c r="A84" s="206"/>
      <c r="B84" s="104"/>
      <c r="C84" s="104"/>
      <c r="D84" s="104"/>
      <c r="E84" s="104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</row>
    <row r="85" spans="1:20">
      <c r="A85" s="206"/>
      <c r="B85" s="104"/>
      <c r="C85" s="104"/>
      <c r="D85" s="104"/>
      <c r="E85" s="104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</row>
    <row r="86" spans="1:20">
      <c r="A86" s="206"/>
      <c r="B86" s="104"/>
      <c r="C86" s="104"/>
      <c r="D86" s="104"/>
      <c r="E86" s="104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</row>
    <row r="87" spans="1:20">
      <c r="A87" s="206"/>
      <c r="B87" s="104"/>
      <c r="C87" s="104"/>
      <c r="D87" s="104"/>
      <c r="E87" s="104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</row>
    <row r="88" spans="1:20">
      <c r="A88" s="206"/>
      <c r="B88" s="104"/>
      <c r="C88" s="104"/>
      <c r="D88" s="104"/>
      <c r="E88" s="104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</row>
    <row r="89" spans="1:20">
      <c r="A89" s="206"/>
      <c r="B89" s="104"/>
      <c r="C89" s="104"/>
      <c r="D89" s="104"/>
      <c r="E89" s="104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</row>
    <row r="90" spans="1:20">
      <c r="A90" s="206"/>
      <c r="B90" s="104"/>
      <c r="C90" s="104"/>
      <c r="D90" s="104"/>
      <c r="E90" s="104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</row>
    <row r="91" spans="1:20">
      <c r="A91" s="206"/>
      <c r="B91" s="104"/>
      <c r="C91" s="104"/>
      <c r="D91" s="104"/>
      <c r="E91" s="104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</row>
    <row r="92" spans="1:20">
      <c r="A92" s="206"/>
      <c r="B92" s="104"/>
      <c r="C92" s="104"/>
      <c r="D92" s="104"/>
      <c r="E92" s="1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</row>
    <row r="93" spans="1:20">
      <c r="A93" s="206"/>
      <c r="B93" s="104"/>
      <c r="C93" s="104"/>
      <c r="D93" s="104"/>
      <c r="E93" s="104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</row>
    <row r="94" spans="1:20">
      <c r="A94" s="206"/>
      <c r="B94" s="104"/>
      <c r="C94" s="104"/>
      <c r="D94" s="104"/>
      <c r="E94" s="104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</row>
    <row r="95" spans="1:20">
      <c r="A95" s="206"/>
      <c r="B95" s="104"/>
      <c r="C95" s="104"/>
      <c r="D95" s="104"/>
      <c r="E95" s="104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</row>
    <row r="96" spans="1:20">
      <c r="A96" s="206"/>
      <c r="B96" s="104"/>
      <c r="C96" s="104"/>
      <c r="D96" s="104"/>
      <c r="E96" s="104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</row>
    <row r="97" spans="1:20">
      <c r="A97" s="206"/>
      <c r="B97" s="104"/>
      <c r="C97" s="104"/>
      <c r="D97" s="104"/>
      <c r="E97" s="104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</row>
    <row r="98" spans="1:20">
      <c r="A98" s="206"/>
      <c r="B98" s="104"/>
      <c r="C98" s="104"/>
      <c r="D98" s="104"/>
      <c r="E98" s="104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</row>
    <row r="99" spans="1:20">
      <c r="A99" s="206"/>
      <c r="B99" s="104"/>
      <c r="C99" s="104"/>
      <c r="D99" s="104"/>
      <c r="E99" s="104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</row>
    <row r="100" spans="1:20">
      <c r="A100" s="206"/>
      <c r="B100" s="104"/>
      <c r="C100" s="104"/>
      <c r="D100" s="104"/>
      <c r="E100" s="104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</row>
    <row r="101" spans="1:20">
      <c r="A101" s="206"/>
      <c r="B101" s="104"/>
      <c r="C101" s="104"/>
      <c r="D101" s="104"/>
      <c r="E101" s="104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</row>
    <row r="102" spans="1:20">
      <c r="A102" s="206"/>
      <c r="B102" s="104"/>
      <c r="C102" s="104"/>
      <c r="D102" s="104"/>
      <c r="E102" s="104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</row>
    <row r="103" spans="1:20">
      <c r="A103" s="206"/>
      <c r="B103" s="104"/>
      <c r="C103" s="104"/>
      <c r="D103" s="104"/>
      <c r="E103" s="104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</row>
    <row r="104" spans="1:20">
      <c r="A104" s="206"/>
      <c r="B104" s="104"/>
      <c r="C104" s="104"/>
      <c r="D104" s="104"/>
      <c r="E104" s="104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</row>
    <row r="105" spans="1:20">
      <c r="A105" s="206"/>
      <c r="B105" s="104"/>
      <c r="C105" s="104"/>
      <c r="D105" s="104"/>
      <c r="E105" s="104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</row>
    <row r="106" spans="1:20">
      <c r="A106" s="206"/>
      <c r="B106" s="104"/>
      <c r="C106" s="104"/>
      <c r="D106" s="104"/>
      <c r="E106" s="104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</row>
    <row r="107" spans="1:20">
      <c r="A107" s="206"/>
      <c r="B107" s="104"/>
      <c r="C107" s="104"/>
      <c r="D107" s="104"/>
      <c r="E107" s="104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</row>
    <row r="108" spans="1:20">
      <c r="A108" s="206"/>
      <c r="B108" s="104"/>
      <c r="C108" s="104"/>
      <c r="D108" s="104"/>
      <c r="E108" s="104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</row>
    <row r="109" spans="1:20">
      <c r="A109" s="206"/>
      <c r="B109" s="104"/>
      <c r="C109" s="104"/>
      <c r="D109" s="104"/>
      <c r="E109" s="104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</row>
    <row r="110" spans="1:20">
      <c r="A110" s="206"/>
      <c r="B110" s="104"/>
      <c r="C110" s="104"/>
      <c r="D110" s="104"/>
      <c r="E110" s="104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</row>
    <row r="111" spans="1:20">
      <c r="A111" s="206"/>
      <c r="B111" s="104"/>
      <c r="C111" s="104"/>
      <c r="D111" s="104"/>
      <c r="E111" s="104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</row>
    <row r="112" spans="1:20">
      <c r="A112" s="206"/>
      <c r="B112" s="104"/>
      <c r="C112" s="104"/>
      <c r="D112" s="104"/>
      <c r="E112" s="104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</row>
    <row r="113" spans="1:20">
      <c r="A113" s="206"/>
      <c r="B113" s="104"/>
      <c r="C113" s="104"/>
      <c r="D113" s="104"/>
      <c r="E113" s="104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</row>
    <row r="114" spans="1:20">
      <c r="A114" s="206"/>
      <c r="B114" s="104"/>
      <c r="C114" s="104"/>
      <c r="D114" s="104"/>
      <c r="E114" s="104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</row>
    <row r="115" spans="1:20">
      <c r="A115" s="206"/>
      <c r="B115" s="104"/>
      <c r="C115" s="104"/>
      <c r="D115" s="104"/>
      <c r="E115" s="104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</row>
    <row r="116" spans="1:20">
      <c r="A116" s="206"/>
      <c r="B116" s="104"/>
      <c r="C116" s="104"/>
      <c r="D116" s="104"/>
      <c r="E116" s="104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</row>
    <row r="117" spans="1:20">
      <c r="A117" s="206"/>
      <c r="B117" s="104"/>
      <c r="C117" s="104"/>
      <c r="D117" s="104"/>
      <c r="E117" s="104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</row>
    <row r="118" spans="1:20" s="104" customFormat="1" ht="10.199999999999999">
      <c r="A118" s="206"/>
    </row>
    <row r="119" spans="1:20" s="104" customFormat="1" ht="10.199999999999999">
      <c r="A119" s="206"/>
    </row>
    <row r="120" spans="1:20" s="104" customFormat="1" ht="10.199999999999999">
      <c r="A120" s="206"/>
    </row>
    <row r="121" spans="1:20" s="104" customFormat="1" ht="10.199999999999999">
      <c r="A121" s="206"/>
    </row>
    <row r="122" spans="1:20" s="104" customFormat="1" ht="10.199999999999999">
      <c r="A122" s="206"/>
    </row>
    <row r="123" spans="1:20" s="104" customFormat="1" ht="10.199999999999999">
      <c r="A123" s="206"/>
    </row>
    <row r="124" spans="1:20" s="104" customFormat="1" ht="10.199999999999999">
      <c r="A124" s="206"/>
    </row>
    <row r="125" spans="1:20" s="104" customFormat="1" ht="10.199999999999999">
      <c r="A125" s="206"/>
    </row>
    <row r="126" spans="1:20" s="104" customFormat="1" ht="10.199999999999999">
      <c r="A126" s="206"/>
    </row>
    <row r="127" spans="1:20" s="104" customFormat="1" ht="10.199999999999999">
      <c r="A127" s="206"/>
    </row>
    <row r="128" spans="1:20" s="104" customFormat="1" ht="10.199999999999999">
      <c r="A128" s="206"/>
    </row>
    <row r="129" spans="1:5" s="104" customFormat="1">
      <c r="A129" s="209"/>
      <c r="B129" s="203"/>
      <c r="C129" s="203"/>
      <c r="D129" s="203"/>
      <c r="E129" s="203"/>
    </row>
    <row r="130" spans="1:5" s="104" customFormat="1">
      <c r="A130" s="209"/>
      <c r="B130" s="203"/>
      <c r="C130" s="203"/>
      <c r="D130" s="203"/>
      <c r="E130" s="203"/>
    </row>
  </sheetData>
  <mergeCells count="8">
    <mergeCell ref="A26:B26"/>
    <mergeCell ref="A44:B44"/>
    <mergeCell ref="A46:E46"/>
    <mergeCell ref="A50:E50"/>
    <mergeCell ref="A2:B2"/>
    <mergeCell ref="A28:E28"/>
    <mergeCell ref="A29:B29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&amp;C&amp;"Times New Roman,Félkövér"&amp;12Martonvásár Város Önkormányzat 
2016. évi költségvetésének pénzügyi mérlege&amp;R&amp;"Times New Roman,Normál"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R87"/>
  <sheetViews>
    <sheetView topLeftCell="A67" zoomScalePageLayoutView="70" workbookViewId="0">
      <selection activeCell="H55" sqref="H55"/>
    </sheetView>
  </sheetViews>
  <sheetFormatPr defaultColWidth="8.6640625" defaultRowHeight="14.4"/>
  <cols>
    <col min="1" max="1" width="7.109375" style="282" customWidth="1"/>
    <col min="2" max="2" width="7.109375" style="283" customWidth="1"/>
    <col min="3" max="3" width="22.33203125" style="283" customWidth="1"/>
    <col min="4" max="4" width="7.6640625" style="284" customWidth="1"/>
    <col min="5" max="5" width="7.109375" style="284" customWidth="1"/>
    <col min="6" max="7" width="7.6640625" style="284" customWidth="1"/>
    <col min="8" max="8" width="6.44140625" style="284" customWidth="1"/>
    <col min="9" max="9" width="9.6640625" style="284" customWidth="1"/>
    <col min="10" max="10" width="6.88671875" style="284" customWidth="1"/>
    <col min="11" max="11" width="7.6640625" style="284" customWidth="1"/>
    <col min="12" max="12" width="7.33203125" style="284" customWidth="1"/>
    <col min="13" max="13" width="7" style="284" customWidth="1"/>
    <col min="14" max="14" width="6.5546875" style="284" customWidth="1"/>
    <col min="15" max="15" width="7" style="284" customWidth="1"/>
    <col min="16" max="16" width="7.44140625" style="284" customWidth="1"/>
    <col min="17" max="17" width="7.33203125" style="284" customWidth="1"/>
    <col min="18" max="18" width="7" style="284" customWidth="1"/>
    <col min="19" max="19" width="8.6640625" style="247" customWidth="1"/>
    <col min="20" max="16384" width="8.6640625" style="247"/>
  </cols>
  <sheetData>
    <row r="1" spans="1:18">
      <c r="A1" s="248"/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088" t="s">
        <v>866</v>
      </c>
      <c r="Q1" s="1088"/>
      <c r="R1" s="1088"/>
    </row>
    <row r="2" spans="1:18" ht="42" customHeight="1">
      <c r="A2" s="1105" t="s">
        <v>0</v>
      </c>
      <c r="B2" s="1099" t="s">
        <v>180</v>
      </c>
      <c r="C2" s="1100"/>
      <c r="D2" s="1093" t="s">
        <v>178</v>
      </c>
      <c r="E2" s="1094"/>
      <c r="F2" s="1095"/>
      <c r="G2" s="1082" t="s">
        <v>292</v>
      </c>
      <c r="H2" s="1083"/>
      <c r="I2" s="1084"/>
      <c r="J2" s="1082" t="s">
        <v>293</v>
      </c>
      <c r="K2" s="1083"/>
      <c r="L2" s="1084"/>
      <c r="M2" s="1082" t="s">
        <v>294</v>
      </c>
      <c r="N2" s="1083"/>
      <c r="O2" s="1084"/>
      <c r="P2" s="1082" t="s">
        <v>295</v>
      </c>
      <c r="Q2" s="1083"/>
      <c r="R2" s="1084"/>
    </row>
    <row r="3" spans="1:18" ht="15" customHeight="1">
      <c r="A3" s="1106"/>
      <c r="B3" s="1101"/>
      <c r="C3" s="1102"/>
      <c r="D3" s="1096"/>
      <c r="E3" s="1097"/>
      <c r="F3" s="1098"/>
      <c r="G3" s="1082" t="s">
        <v>187</v>
      </c>
      <c r="H3" s="1083"/>
      <c r="I3" s="1084"/>
      <c r="J3" s="1082" t="s">
        <v>187</v>
      </c>
      <c r="K3" s="1083"/>
      <c r="L3" s="1084"/>
      <c r="M3" s="1082" t="s">
        <v>187</v>
      </c>
      <c r="N3" s="1083"/>
      <c r="O3" s="1084"/>
      <c r="P3" s="1082" t="s">
        <v>187</v>
      </c>
      <c r="Q3" s="1083"/>
      <c r="R3" s="1084"/>
    </row>
    <row r="4" spans="1:18" s="251" customFormat="1" ht="30" customHeight="1">
      <c r="A4" s="1107"/>
      <c r="B4" s="1103"/>
      <c r="C4" s="1104"/>
      <c r="D4" s="828" t="s">
        <v>870</v>
      </c>
      <c r="E4" s="828" t="s">
        <v>732</v>
      </c>
      <c r="F4" s="828" t="s">
        <v>947</v>
      </c>
      <c r="G4" s="828" t="s">
        <v>870</v>
      </c>
      <c r="H4" s="828" t="s">
        <v>732</v>
      </c>
      <c r="I4" s="828" t="s">
        <v>947</v>
      </c>
      <c r="J4" s="828" t="s">
        <v>870</v>
      </c>
      <c r="K4" s="828" t="s">
        <v>732</v>
      </c>
      <c r="L4" s="828" t="s">
        <v>947</v>
      </c>
      <c r="M4" s="828" t="s">
        <v>870</v>
      </c>
      <c r="N4" s="828" t="s">
        <v>732</v>
      </c>
      <c r="O4" s="828" t="s">
        <v>947</v>
      </c>
      <c r="P4" s="828" t="s">
        <v>870</v>
      </c>
      <c r="Q4" s="828" t="s">
        <v>732</v>
      </c>
      <c r="R4" s="828" t="s">
        <v>947</v>
      </c>
    </row>
    <row r="5" spans="1:18" ht="15" customHeight="1">
      <c r="A5" s="252" t="s">
        <v>2</v>
      </c>
      <c r="B5" s="1089" t="s">
        <v>1</v>
      </c>
      <c r="C5" s="1090"/>
      <c r="D5" s="310">
        <f>+G5+J5+M5+P5</f>
        <v>13732</v>
      </c>
      <c r="E5" s="310">
        <f t="shared" ref="E5:F18" si="0">+H5+K5+N5+Q5</f>
        <v>1402</v>
      </c>
      <c r="F5" s="310">
        <f t="shared" si="0"/>
        <v>15134</v>
      </c>
      <c r="G5" s="310">
        <v>6744</v>
      </c>
      <c r="H5" s="310">
        <v>1504</v>
      </c>
      <c r="I5" s="310">
        <f>+G5+H5</f>
        <v>8248</v>
      </c>
      <c r="J5" s="310">
        <v>3805</v>
      </c>
      <c r="K5" s="310"/>
      <c r="L5" s="310">
        <f>+J5+K5</f>
        <v>3805</v>
      </c>
      <c r="M5" s="310">
        <v>1693</v>
      </c>
      <c r="N5" s="310">
        <v>-11</v>
      </c>
      <c r="O5" s="310">
        <f>+M5+N5</f>
        <v>1682</v>
      </c>
      <c r="P5" s="310">
        <v>1490</v>
      </c>
      <c r="Q5" s="310">
        <v>-91</v>
      </c>
      <c r="R5" s="310">
        <f>+P5+Q5</f>
        <v>1399</v>
      </c>
    </row>
    <row r="6" spans="1:18" ht="15" customHeight="1">
      <c r="A6" s="252" t="s">
        <v>4</v>
      </c>
      <c r="B6" s="1089" t="s">
        <v>3</v>
      </c>
      <c r="C6" s="1090"/>
      <c r="D6" s="310">
        <f t="shared" ref="D6:D18" si="1">+G6+J6+M6+P6</f>
        <v>0</v>
      </c>
      <c r="E6" s="310">
        <f t="shared" si="0"/>
        <v>157</v>
      </c>
      <c r="F6" s="310">
        <f t="shared" si="0"/>
        <v>157</v>
      </c>
      <c r="G6" s="310"/>
      <c r="H6" s="310">
        <v>75</v>
      </c>
      <c r="I6" s="310">
        <f t="shared" ref="I6:I18" si="2">+G6+H6</f>
        <v>75</v>
      </c>
      <c r="J6" s="310"/>
      <c r="K6" s="310">
        <v>42</v>
      </c>
      <c r="L6" s="310">
        <f t="shared" ref="L6:L18" si="3">+J6+K6</f>
        <v>42</v>
      </c>
      <c r="M6" s="310"/>
      <c r="N6" s="310">
        <v>38</v>
      </c>
      <c r="O6" s="310">
        <f t="shared" ref="O6:O22" si="4">+M6+N6</f>
        <v>38</v>
      </c>
      <c r="P6" s="310"/>
      <c r="Q6" s="310">
        <v>2</v>
      </c>
      <c r="R6" s="310">
        <f t="shared" ref="R6:R18" si="5">+P6+Q6</f>
        <v>2</v>
      </c>
    </row>
    <row r="7" spans="1:18" ht="15" customHeight="1">
      <c r="A7" s="252" t="s">
        <v>6</v>
      </c>
      <c r="B7" s="1089" t="s">
        <v>5</v>
      </c>
      <c r="C7" s="1090"/>
      <c r="D7" s="310">
        <f t="shared" si="1"/>
        <v>0</v>
      </c>
      <c r="E7" s="310">
        <f t="shared" si="0"/>
        <v>545</v>
      </c>
      <c r="F7" s="310">
        <f t="shared" si="0"/>
        <v>545</v>
      </c>
      <c r="G7" s="310"/>
      <c r="H7" s="310">
        <v>226</v>
      </c>
      <c r="I7" s="310">
        <f t="shared" si="2"/>
        <v>226</v>
      </c>
      <c r="J7" s="310"/>
      <c r="K7" s="310">
        <v>158</v>
      </c>
      <c r="L7" s="310">
        <f t="shared" si="3"/>
        <v>158</v>
      </c>
      <c r="M7" s="310"/>
      <c r="N7" s="310">
        <v>61</v>
      </c>
      <c r="O7" s="310">
        <f t="shared" si="4"/>
        <v>61</v>
      </c>
      <c r="P7" s="310"/>
      <c r="Q7" s="310">
        <v>100</v>
      </c>
      <c r="R7" s="310">
        <f t="shared" si="5"/>
        <v>100</v>
      </c>
    </row>
    <row r="8" spans="1:18" ht="15" customHeight="1">
      <c r="A8" s="252" t="s">
        <v>8</v>
      </c>
      <c r="B8" s="1089" t="s">
        <v>7</v>
      </c>
      <c r="C8" s="1090"/>
      <c r="D8" s="310">
        <f t="shared" si="1"/>
        <v>0</v>
      </c>
      <c r="E8" s="310">
        <f t="shared" si="0"/>
        <v>0</v>
      </c>
      <c r="F8" s="310">
        <f t="shared" si="0"/>
        <v>0</v>
      </c>
      <c r="G8" s="310"/>
      <c r="H8" s="310"/>
      <c r="I8" s="310">
        <f t="shared" si="2"/>
        <v>0</v>
      </c>
      <c r="J8" s="310"/>
      <c r="K8" s="310"/>
      <c r="L8" s="310">
        <f t="shared" si="3"/>
        <v>0</v>
      </c>
      <c r="M8" s="310"/>
      <c r="N8" s="310"/>
      <c r="O8" s="310">
        <f t="shared" si="4"/>
        <v>0</v>
      </c>
      <c r="P8" s="310"/>
      <c r="Q8" s="310"/>
      <c r="R8" s="310">
        <f t="shared" si="5"/>
        <v>0</v>
      </c>
    </row>
    <row r="9" spans="1:18" ht="15" customHeight="1">
      <c r="A9" s="252" t="s">
        <v>10</v>
      </c>
      <c r="B9" s="1089" t="s">
        <v>9</v>
      </c>
      <c r="C9" s="1090"/>
      <c r="D9" s="310">
        <f t="shared" si="1"/>
        <v>0</v>
      </c>
      <c r="E9" s="310">
        <f t="shared" si="0"/>
        <v>0</v>
      </c>
      <c r="F9" s="310">
        <f t="shared" si="0"/>
        <v>0</v>
      </c>
      <c r="G9" s="310"/>
      <c r="H9" s="310"/>
      <c r="I9" s="310">
        <f t="shared" si="2"/>
        <v>0</v>
      </c>
      <c r="J9" s="310"/>
      <c r="K9" s="310"/>
      <c r="L9" s="310">
        <f t="shared" si="3"/>
        <v>0</v>
      </c>
      <c r="M9" s="310"/>
      <c r="N9" s="310"/>
      <c r="O9" s="310">
        <f t="shared" si="4"/>
        <v>0</v>
      </c>
      <c r="P9" s="310"/>
      <c r="Q9" s="310"/>
      <c r="R9" s="310">
        <f t="shared" si="5"/>
        <v>0</v>
      </c>
    </row>
    <row r="10" spans="1:18" ht="15" customHeight="1">
      <c r="A10" s="252" t="s">
        <v>12</v>
      </c>
      <c r="B10" s="1089" t="s">
        <v>11</v>
      </c>
      <c r="C10" s="1090"/>
      <c r="D10" s="310">
        <f t="shared" si="1"/>
        <v>0</v>
      </c>
      <c r="E10" s="310">
        <f t="shared" si="0"/>
        <v>0</v>
      </c>
      <c r="F10" s="310">
        <f t="shared" si="0"/>
        <v>0</v>
      </c>
      <c r="G10" s="310"/>
      <c r="H10" s="310"/>
      <c r="I10" s="310">
        <f t="shared" si="2"/>
        <v>0</v>
      </c>
      <c r="J10" s="310"/>
      <c r="K10" s="310"/>
      <c r="L10" s="310">
        <f t="shared" si="3"/>
        <v>0</v>
      </c>
      <c r="M10" s="310"/>
      <c r="N10" s="310"/>
      <c r="O10" s="310">
        <f t="shared" si="4"/>
        <v>0</v>
      </c>
      <c r="P10" s="310"/>
      <c r="Q10" s="310"/>
      <c r="R10" s="310">
        <f t="shared" si="5"/>
        <v>0</v>
      </c>
    </row>
    <row r="11" spans="1:18" ht="15" customHeight="1">
      <c r="A11" s="252" t="s">
        <v>14</v>
      </c>
      <c r="B11" s="1089" t="s">
        <v>13</v>
      </c>
      <c r="C11" s="1090"/>
      <c r="D11" s="310">
        <f t="shared" si="1"/>
        <v>360</v>
      </c>
      <c r="E11" s="310">
        <f t="shared" si="0"/>
        <v>5</v>
      </c>
      <c r="F11" s="310">
        <f t="shared" si="0"/>
        <v>365</v>
      </c>
      <c r="G11" s="310">
        <v>180</v>
      </c>
      <c r="H11" s="310"/>
      <c r="I11" s="310">
        <f t="shared" si="2"/>
        <v>180</v>
      </c>
      <c r="J11" s="310">
        <v>120</v>
      </c>
      <c r="K11" s="310"/>
      <c r="L11" s="310">
        <f t="shared" si="3"/>
        <v>120</v>
      </c>
      <c r="M11" s="310"/>
      <c r="N11" s="310"/>
      <c r="O11" s="310">
        <f t="shared" si="4"/>
        <v>0</v>
      </c>
      <c r="P11" s="310">
        <v>60</v>
      </c>
      <c r="Q11" s="310">
        <v>5</v>
      </c>
      <c r="R11" s="310">
        <f t="shared" si="5"/>
        <v>65</v>
      </c>
    </row>
    <row r="12" spans="1:18" ht="15" customHeight="1">
      <c r="A12" s="252" t="s">
        <v>16</v>
      </c>
      <c r="B12" s="1089" t="s">
        <v>15</v>
      </c>
      <c r="C12" s="1090"/>
      <c r="D12" s="310">
        <f t="shared" si="1"/>
        <v>0</v>
      </c>
      <c r="E12" s="310">
        <f t="shared" si="0"/>
        <v>0</v>
      </c>
      <c r="F12" s="310">
        <f t="shared" si="0"/>
        <v>0</v>
      </c>
      <c r="G12" s="310"/>
      <c r="H12" s="310"/>
      <c r="I12" s="310">
        <f t="shared" si="2"/>
        <v>0</v>
      </c>
      <c r="J12" s="310"/>
      <c r="K12" s="310"/>
      <c r="L12" s="310">
        <f t="shared" si="3"/>
        <v>0</v>
      </c>
      <c r="M12" s="310"/>
      <c r="N12" s="310"/>
      <c r="O12" s="310">
        <f t="shared" si="4"/>
        <v>0</v>
      </c>
      <c r="P12" s="310">
        <v>0</v>
      </c>
      <c r="Q12" s="310"/>
      <c r="R12" s="310">
        <f t="shared" si="5"/>
        <v>0</v>
      </c>
    </row>
    <row r="13" spans="1:18" ht="15" customHeight="1">
      <c r="A13" s="252" t="s">
        <v>18</v>
      </c>
      <c r="B13" s="1089" t="s">
        <v>17</v>
      </c>
      <c r="C13" s="1090"/>
      <c r="D13" s="310">
        <f t="shared" si="1"/>
        <v>260</v>
      </c>
      <c r="E13" s="310">
        <f t="shared" si="0"/>
        <v>36</v>
      </c>
      <c r="F13" s="310">
        <f t="shared" si="0"/>
        <v>296</v>
      </c>
      <c r="G13" s="310">
        <v>91</v>
      </c>
      <c r="H13" s="310">
        <v>33</v>
      </c>
      <c r="I13" s="310">
        <f t="shared" si="2"/>
        <v>124</v>
      </c>
      <c r="J13" s="310"/>
      <c r="K13" s="310"/>
      <c r="L13" s="310">
        <f t="shared" si="3"/>
        <v>0</v>
      </c>
      <c r="M13" s="310">
        <v>169</v>
      </c>
      <c r="N13" s="310"/>
      <c r="O13" s="310">
        <f t="shared" si="4"/>
        <v>169</v>
      </c>
      <c r="P13" s="310">
        <v>0</v>
      </c>
      <c r="Q13" s="310">
        <v>3</v>
      </c>
      <c r="R13" s="310">
        <f t="shared" si="5"/>
        <v>3</v>
      </c>
    </row>
    <row r="14" spans="1:18" ht="15" customHeight="1">
      <c r="A14" s="252" t="s">
        <v>20</v>
      </c>
      <c r="B14" s="1089" t="s">
        <v>19</v>
      </c>
      <c r="C14" s="1090"/>
      <c r="D14" s="310">
        <f t="shared" si="1"/>
        <v>0</v>
      </c>
      <c r="E14" s="310">
        <f t="shared" si="0"/>
        <v>0</v>
      </c>
      <c r="F14" s="310">
        <f t="shared" si="0"/>
        <v>0</v>
      </c>
      <c r="G14" s="310"/>
      <c r="H14" s="310"/>
      <c r="I14" s="310">
        <f t="shared" si="2"/>
        <v>0</v>
      </c>
      <c r="J14" s="310"/>
      <c r="K14" s="310"/>
      <c r="L14" s="310">
        <f t="shared" si="3"/>
        <v>0</v>
      </c>
      <c r="M14" s="310">
        <v>0</v>
      </c>
      <c r="N14" s="310"/>
      <c r="O14" s="310">
        <f t="shared" si="4"/>
        <v>0</v>
      </c>
      <c r="P14" s="310">
        <v>0</v>
      </c>
      <c r="Q14" s="310"/>
      <c r="R14" s="310">
        <f t="shared" si="5"/>
        <v>0</v>
      </c>
    </row>
    <row r="15" spans="1:18" ht="15" customHeight="1">
      <c r="A15" s="252" t="s">
        <v>22</v>
      </c>
      <c r="B15" s="1089" t="s">
        <v>21</v>
      </c>
      <c r="C15" s="1090"/>
      <c r="D15" s="310">
        <f t="shared" si="1"/>
        <v>733</v>
      </c>
      <c r="E15" s="310">
        <f t="shared" si="0"/>
        <v>0</v>
      </c>
      <c r="F15" s="310">
        <f t="shared" si="0"/>
        <v>733</v>
      </c>
      <c r="G15" s="310">
        <v>733</v>
      </c>
      <c r="H15" s="310"/>
      <c r="I15" s="310">
        <f t="shared" si="2"/>
        <v>733</v>
      </c>
      <c r="J15" s="310"/>
      <c r="K15" s="310"/>
      <c r="L15" s="310">
        <f t="shared" si="3"/>
        <v>0</v>
      </c>
      <c r="M15" s="310">
        <v>0</v>
      </c>
      <c r="N15" s="310"/>
      <c r="O15" s="310">
        <f t="shared" si="4"/>
        <v>0</v>
      </c>
      <c r="P15" s="310">
        <v>0</v>
      </c>
      <c r="Q15" s="310"/>
      <c r="R15" s="310">
        <f t="shared" si="5"/>
        <v>0</v>
      </c>
    </row>
    <row r="16" spans="1:18" ht="15" customHeight="1">
      <c r="A16" s="252" t="s">
        <v>24</v>
      </c>
      <c r="B16" s="1089" t="s">
        <v>23</v>
      </c>
      <c r="C16" s="1090"/>
      <c r="D16" s="310">
        <f t="shared" si="1"/>
        <v>0</v>
      </c>
      <c r="E16" s="310">
        <f t="shared" si="0"/>
        <v>0</v>
      </c>
      <c r="F16" s="310">
        <f t="shared" si="0"/>
        <v>0</v>
      </c>
      <c r="G16" s="310">
        <v>0</v>
      </c>
      <c r="H16" s="310"/>
      <c r="I16" s="310">
        <f t="shared" si="2"/>
        <v>0</v>
      </c>
      <c r="J16" s="310"/>
      <c r="K16" s="310"/>
      <c r="L16" s="310">
        <f t="shared" si="3"/>
        <v>0</v>
      </c>
      <c r="M16" s="310">
        <v>0</v>
      </c>
      <c r="N16" s="310"/>
      <c r="O16" s="310">
        <f t="shared" si="4"/>
        <v>0</v>
      </c>
      <c r="P16" s="310">
        <v>0</v>
      </c>
      <c r="Q16" s="310"/>
      <c r="R16" s="310">
        <f t="shared" si="5"/>
        <v>0</v>
      </c>
    </row>
    <row r="17" spans="1:18" ht="15" customHeight="1">
      <c r="A17" s="252" t="s">
        <v>25</v>
      </c>
      <c r="B17" s="1089" t="s">
        <v>176</v>
      </c>
      <c r="C17" s="1090"/>
      <c r="D17" s="310">
        <f t="shared" si="1"/>
        <v>136</v>
      </c>
      <c r="E17" s="310">
        <f t="shared" si="0"/>
        <v>37</v>
      </c>
      <c r="F17" s="310">
        <f t="shared" si="0"/>
        <v>173</v>
      </c>
      <c r="G17" s="310">
        <v>37</v>
      </c>
      <c r="H17" s="310">
        <v>20</v>
      </c>
      <c r="I17" s="310">
        <f t="shared" si="2"/>
        <v>57</v>
      </c>
      <c r="J17" s="310">
        <v>34</v>
      </c>
      <c r="K17" s="310">
        <v>17</v>
      </c>
      <c r="L17" s="310">
        <f t="shared" si="3"/>
        <v>51</v>
      </c>
      <c r="M17" s="310">
        <v>44</v>
      </c>
      <c r="N17" s="310"/>
      <c r="O17" s="310">
        <f t="shared" si="4"/>
        <v>44</v>
      </c>
      <c r="P17" s="310">
        <v>21</v>
      </c>
      <c r="Q17" s="310"/>
      <c r="R17" s="310">
        <f t="shared" si="5"/>
        <v>21</v>
      </c>
    </row>
    <row r="18" spans="1:18" ht="15" customHeight="1">
      <c r="A18" s="252" t="s">
        <v>25</v>
      </c>
      <c r="B18" s="1089" t="s">
        <v>26</v>
      </c>
      <c r="C18" s="1090"/>
      <c r="D18" s="310">
        <f t="shared" si="1"/>
        <v>0</v>
      </c>
      <c r="E18" s="310">
        <f t="shared" si="0"/>
        <v>0</v>
      </c>
      <c r="F18" s="310">
        <f t="shared" si="0"/>
        <v>0</v>
      </c>
      <c r="G18" s="310"/>
      <c r="H18" s="310"/>
      <c r="I18" s="310">
        <f t="shared" si="2"/>
        <v>0</v>
      </c>
      <c r="J18" s="310"/>
      <c r="K18" s="310"/>
      <c r="L18" s="310">
        <f t="shared" si="3"/>
        <v>0</v>
      </c>
      <c r="M18" s="310"/>
      <c r="N18" s="310"/>
      <c r="O18" s="310">
        <f t="shared" si="4"/>
        <v>0</v>
      </c>
      <c r="P18" s="310"/>
      <c r="Q18" s="310"/>
      <c r="R18" s="310">
        <f t="shared" si="5"/>
        <v>0</v>
      </c>
    </row>
    <row r="19" spans="1:18" s="314" customFormat="1" ht="15" customHeight="1">
      <c r="A19" s="311" t="s">
        <v>27</v>
      </c>
      <c r="B19" s="1091" t="s">
        <v>434</v>
      </c>
      <c r="C19" s="1092"/>
      <c r="D19" s="312">
        <f>SUM(D5:D18)</f>
        <v>15221</v>
      </c>
      <c r="E19" s="312">
        <f t="shared" ref="E19:R19" si="6">SUM(E5:E18)</f>
        <v>2182</v>
      </c>
      <c r="F19" s="312">
        <f t="shared" si="6"/>
        <v>17403</v>
      </c>
      <c r="G19" s="312">
        <v>7785</v>
      </c>
      <c r="H19" s="312">
        <f t="shared" si="6"/>
        <v>1858</v>
      </c>
      <c r="I19" s="312">
        <f t="shared" si="6"/>
        <v>9643</v>
      </c>
      <c r="J19" s="312">
        <v>3959</v>
      </c>
      <c r="K19" s="312">
        <f t="shared" si="6"/>
        <v>217</v>
      </c>
      <c r="L19" s="312">
        <f t="shared" si="6"/>
        <v>4176</v>
      </c>
      <c r="M19" s="312">
        <v>1906</v>
      </c>
      <c r="N19" s="312">
        <f t="shared" si="6"/>
        <v>88</v>
      </c>
      <c r="O19" s="312">
        <f t="shared" si="6"/>
        <v>1994</v>
      </c>
      <c r="P19" s="312">
        <v>1571</v>
      </c>
      <c r="Q19" s="312">
        <f t="shared" si="6"/>
        <v>19</v>
      </c>
      <c r="R19" s="312">
        <f t="shared" si="6"/>
        <v>1590</v>
      </c>
    </row>
    <row r="20" spans="1:18" ht="15" customHeight="1">
      <c r="A20" s="252" t="s">
        <v>29</v>
      </c>
      <c r="B20" s="1089" t="s">
        <v>28</v>
      </c>
      <c r="C20" s="1090"/>
      <c r="D20" s="310">
        <f>+G20+J20+M20+P20</f>
        <v>0</v>
      </c>
      <c r="E20" s="310">
        <f t="shared" ref="E20:F22" si="7">+H20+K20+N20+Q20</f>
        <v>0</v>
      </c>
      <c r="F20" s="310">
        <f t="shared" si="7"/>
        <v>0</v>
      </c>
      <c r="G20" s="310"/>
      <c r="H20" s="310"/>
      <c r="I20" s="310"/>
      <c r="J20" s="310"/>
      <c r="K20" s="310"/>
      <c r="L20" s="310"/>
      <c r="M20" s="310"/>
      <c r="N20" s="310"/>
      <c r="O20" s="310">
        <f t="shared" si="4"/>
        <v>0</v>
      </c>
      <c r="P20" s="310"/>
      <c r="Q20" s="310"/>
      <c r="R20" s="310"/>
    </row>
    <row r="21" spans="1:18" ht="23.25" customHeight="1">
      <c r="A21" s="837" t="s">
        <v>31</v>
      </c>
      <c r="B21" s="1089" t="s">
        <v>30</v>
      </c>
      <c r="C21" s="1090"/>
      <c r="D21" s="310">
        <f t="shared" ref="D21:D22" si="8">+G21+J21+M21+P21</f>
        <v>1800</v>
      </c>
      <c r="E21" s="310">
        <f t="shared" si="7"/>
        <v>401</v>
      </c>
      <c r="F21" s="310">
        <f t="shared" si="7"/>
        <v>2201</v>
      </c>
      <c r="G21" s="310">
        <v>1800</v>
      </c>
      <c r="H21" s="310">
        <v>309</v>
      </c>
      <c r="I21" s="310">
        <f>+G21+H21</f>
        <v>2109</v>
      </c>
      <c r="J21" s="310"/>
      <c r="K21" s="310"/>
      <c r="L21" s="310"/>
      <c r="M21" s="310"/>
      <c r="N21" s="310"/>
      <c r="O21" s="310">
        <f t="shared" si="4"/>
        <v>0</v>
      </c>
      <c r="P21" s="310"/>
      <c r="Q21" s="310">
        <v>92</v>
      </c>
      <c r="R21" s="310">
        <v>92</v>
      </c>
    </row>
    <row r="22" spans="1:18" ht="15" customHeight="1">
      <c r="A22" s="252" t="s">
        <v>33</v>
      </c>
      <c r="B22" s="1089" t="s">
        <v>32</v>
      </c>
      <c r="C22" s="1090"/>
      <c r="D22" s="310">
        <f t="shared" si="8"/>
        <v>35</v>
      </c>
      <c r="E22" s="310">
        <f t="shared" si="7"/>
        <v>6</v>
      </c>
      <c r="F22" s="310">
        <f t="shared" si="7"/>
        <v>41</v>
      </c>
      <c r="G22" s="310">
        <v>33</v>
      </c>
      <c r="H22" s="310">
        <v>6</v>
      </c>
      <c r="I22" s="310">
        <f>+G22+H22</f>
        <v>39</v>
      </c>
      <c r="J22" s="310">
        <v>2</v>
      </c>
      <c r="K22" s="310"/>
      <c r="L22" s="310">
        <f>SUM(J22:K22)</f>
        <v>2</v>
      </c>
      <c r="M22" s="310"/>
      <c r="N22" s="310"/>
      <c r="O22" s="310">
        <f t="shared" si="4"/>
        <v>0</v>
      </c>
      <c r="P22" s="310"/>
      <c r="Q22" s="310"/>
      <c r="R22" s="310"/>
    </row>
    <row r="23" spans="1:18" s="314" customFormat="1" ht="15" customHeight="1">
      <c r="A23" s="311" t="s">
        <v>34</v>
      </c>
      <c r="B23" s="1091" t="s">
        <v>435</v>
      </c>
      <c r="C23" s="1092"/>
      <c r="D23" s="312">
        <f>+D22+D21+D20</f>
        <v>1835</v>
      </c>
      <c r="E23" s="312">
        <f t="shared" ref="E23:F23" si="9">+E22+E21+E20</f>
        <v>407</v>
      </c>
      <c r="F23" s="312">
        <f t="shared" si="9"/>
        <v>2242</v>
      </c>
      <c r="G23" s="312">
        <v>1833</v>
      </c>
      <c r="H23" s="312">
        <f t="shared" ref="H23:R23" si="10">SUM(H20:H22)</f>
        <v>315</v>
      </c>
      <c r="I23" s="312">
        <f t="shared" si="10"/>
        <v>2148</v>
      </c>
      <c r="J23" s="312">
        <v>2</v>
      </c>
      <c r="K23" s="312">
        <f t="shared" si="10"/>
        <v>0</v>
      </c>
      <c r="L23" s="312">
        <f t="shared" si="10"/>
        <v>2</v>
      </c>
      <c r="M23" s="312">
        <v>0</v>
      </c>
      <c r="N23" s="312">
        <f t="shared" si="10"/>
        <v>0</v>
      </c>
      <c r="O23" s="312">
        <f t="shared" si="10"/>
        <v>0</v>
      </c>
      <c r="P23" s="312">
        <v>0</v>
      </c>
      <c r="Q23" s="312">
        <f t="shared" si="10"/>
        <v>92</v>
      </c>
      <c r="R23" s="312">
        <f t="shared" si="10"/>
        <v>92</v>
      </c>
    </row>
    <row r="24" spans="1:18" s="314" customFormat="1" ht="15" customHeight="1">
      <c r="A24" s="311" t="s">
        <v>35</v>
      </c>
      <c r="B24" s="1091" t="s">
        <v>436</v>
      </c>
      <c r="C24" s="1092"/>
      <c r="D24" s="312">
        <f>+D23+D19</f>
        <v>17056</v>
      </c>
      <c r="E24" s="312">
        <f t="shared" ref="E24:R24" si="11">+E23+E19</f>
        <v>2589</v>
      </c>
      <c r="F24" s="312">
        <f t="shared" si="11"/>
        <v>19645</v>
      </c>
      <c r="G24" s="312">
        <v>9618</v>
      </c>
      <c r="H24" s="312">
        <f t="shared" si="11"/>
        <v>2173</v>
      </c>
      <c r="I24" s="312">
        <f t="shared" si="11"/>
        <v>11791</v>
      </c>
      <c r="J24" s="312">
        <v>3961</v>
      </c>
      <c r="K24" s="312">
        <f t="shared" si="11"/>
        <v>217</v>
      </c>
      <c r="L24" s="312">
        <f t="shared" si="11"/>
        <v>4178</v>
      </c>
      <c r="M24" s="312">
        <v>1906</v>
      </c>
      <c r="N24" s="312">
        <f t="shared" si="11"/>
        <v>88</v>
      </c>
      <c r="O24" s="312">
        <f t="shared" si="11"/>
        <v>1994</v>
      </c>
      <c r="P24" s="312">
        <v>1571</v>
      </c>
      <c r="Q24" s="312">
        <f t="shared" si="11"/>
        <v>111</v>
      </c>
      <c r="R24" s="312">
        <f t="shared" si="11"/>
        <v>1682</v>
      </c>
    </row>
    <row r="25" spans="1:18">
      <c r="A25" s="253"/>
      <c r="B25" s="747"/>
      <c r="C25" s="747"/>
      <c r="D25" s="254"/>
      <c r="E25" s="254"/>
      <c r="F25" s="254"/>
      <c r="G25" s="256"/>
      <c r="H25" s="254"/>
      <c r="I25" s="255"/>
      <c r="J25" s="256"/>
      <c r="K25" s="254"/>
      <c r="L25" s="255"/>
      <c r="M25" s="256"/>
      <c r="N25" s="254"/>
      <c r="O25" s="255"/>
      <c r="P25" s="256"/>
      <c r="Q25" s="254"/>
      <c r="R25" s="255"/>
    </row>
    <row r="26" spans="1:18" s="314" customFormat="1" ht="15" customHeight="1">
      <c r="A26" s="311" t="s">
        <v>36</v>
      </c>
      <c r="B26" s="1091" t="s">
        <v>437</v>
      </c>
      <c r="C26" s="1092"/>
      <c r="D26" s="312">
        <f>+G26+J26+M26+P26</f>
        <v>4562</v>
      </c>
      <c r="E26" s="312">
        <f t="shared" ref="E26:F31" si="12">+H26+K26+N26+Q26</f>
        <v>172</v>
      </c>
      <c r="F26" s="312">
        <f t="shared" si="12"/>
        <v>4734</v>
      </c>
      <c r="G26" s="312">
        <v>2586</v>
      </c>
      <c r="H26" s="312">
        <f t="shared" ref="H26:R26" si="13">SUM(H27:H31)</f>
        <v>45</v>
      </c>
      <c r="I26" s="312">
        <f t="shared" si="13"/>
        <v>2631</v>
      </c>
      <c r="J26" s="312">
        <v>1078</v>
      </c>
      <c r="K26" s="312">
        <f t="shared" si="13"/>
        <v>60</v>
      </c>
      <c r="L26" s="312">
        <f t="shared" si="13"/>
        <v>1138</v>
      </c>
      <c r="M26" s="312">
        <v>469</v>
      </c>
      <c r="N26" s="312">
        <f t="shared" si="13"/>
        <v>38</v>
      </c>
      <c r="O26" s="312">
        <f t="shared" si="13"/>
        <v>507</v>
      </c>
      <c r="P26" s="312">
        <v>429</v>
      </c>
      <c r="Q26" s="312">
        <f t="shared" si="13"/>
        <v>29</v>
      </c>
      <c r="R26" s="312">
        <f t="shared" si="13"/>
        <v>458</v>
      </c>
    </row>
    <row r="27" spans="1:18" ht="25.5" customHeight="1">
      <c r="A27" s="257" t="s">
        <v>36</v>
      </c>
      <c r="B27" s="258"/>
      <c r="C27" s="259" t="s">
        <v>37</v>
      </c>
      <c r="D27" s="310">
        <f>+G27+J27+M27+P27</f>
        <v>4384</v>
      </c>
      <c r="E27" s="310">
        <f t="shared" si="12"/>
        <v>112</v>
      </c>
      <c r="F27" s="310">
        <f t="shared" si="12"/>
        <v>4496</v>
      </c>
      <c r="G27" s="310">
        <v>2510</v>
      </c>
      <c r="H27" s="310"/>
      <c r="I27" s="310">
        <f>+G27+H27</f>
        <v>2510</v>
      </c>
      <c r="J27" s="310">
        <v>1037</v>
      </c>
      <c r="K27" s="310">
        <v>58</v>
      </c>
      <c r="L27" s="310">
        <f>+J27+K27</f>
        <v>1095</v>
      </c>
      <c r="M27" s="310">
        <v>429</v>
      </c>
      <c r="N27" s="310">
        <v>27</v>
      </c>
      <c r="O27" s="310">
        <f>+M27+N27</f>
        <v>456</v>
      </c>
      <c r="P27" s="310">
        <v>408</v>
      </c>
      <c r="Q27" s="310">
        <v>27</v>
      </c>
      <c r="R27" s="310">
        <f>+P27+Q27</f>
        <v>435</v>
      </c>
    </row>
    <row r="28" spans="1:18" ht="25.5" customHeight="1">
      <c r="A28" s="257" t="s">
        <v>36</v>
      </c>
      <c r="B28" s="258"/>
      <c r="C28" s="259" t="s">
        <v>38</v>
      </c>
      <c r="D28" s="310">
        <f t="shared" ref="D28:D31" si="14">+G28+J28+M28+P28</f>
        <v>0</v>
      </c>
      <c r="E28" s="310">
        <f t="shared" si="12"/>
        <v>0</v>
      </c>
      <c r="F28" s="310">
        <f t="shared" si="12"/>
        <v>0</v>
      </c>
      <c r="G28" s="310"/>
      <c r="H28" s="310"/>
      <c r="I28" s="310">
        <f t="shared" ref="I28:I31" si="15">+G28+H28</f>
        <v>0</v>
      </c>
      <c r="J28" s="310"/>
      <c r="K28" s="310"/>
      <c r="L28" s="310"/>
      <c r="M28" s="310"/>
      <c r="N28" s="310"/>
      <c r="O28" s="310">
        <f t="shared" ref="O28:O31" si="16">+M28+N28</f>
        <v>0</v>
      </c>
      <c r="P28" s="310"/>
      <c r="Q28" s="310"/>
      <c r="R28" s="310">
        <f t="shared" ref="R28:R31" si="17">+P28+Q28</f>
        <v>0</v>
      </c>
    </row>
    <row r="29" spans="1:18" ht="25.5" customHeight="1">
      <c r="A29" s="257" t="s">
        <v>36</v>
      </c>
      <c r="B29" s="258"/>
      <c r="C29" s="259" t="s">
        <v>39</v>
      </c>
      <c r="D29" s="310">
        <f t="shared" si="14"/>
        <v>71</v>
      </c>
      <c r="E29" s="310">
        <f t="shared" si="12"/>
        <v>17</v>
      </c>
      <c r="F29" s="310">
        <f t="shared" si="12"/>
        <v>88</v>
      </c>
      <c r="G29" s="310">
        <v>41</v>
      </c>
      <c r="H29" s="310">
        <v>15</v>
      </c>
      <c r="I29" s="310">
        <f t="shared" si="15"/>
        <v>56</v>
      </c>
      <c r="J29" s="310">
        <v>20</v>
      </c>
      <c r="K29" s="310">
        <v>1</v>
      </c>
      <c r="L29" s="310">
        <f>+J29+K29</f>
        <v>21</v>
      </c>
      <c r="M29" s="310"/>
      <c r="N29" s="310"/>
      <c r="O29" s="310">
        <f t="shared" si="16"/>
        <v>0</v>
      </c>
      <c r="P29" s="310">
        <v>10</v>
      </c>
      <c r="Q29" s="310">
        <v>1</v>
      </c>
      <c r="R29" s="310">
        <f t="shared" si="17"/>
        <v>11</v>
      </c>
    </row>
    <row r="30" spans="1:18" ht="25.5" customHeight="1">
      <c r="A30" s="257" t="s">
        <v>36</v>
      </c>
      <c r="B30" s="258"/>
      <c r="C30" s="259" t="s">
        <v>438</v>
      </c>
      <c r="D30" s="310">
        <f t="shared" si="14"/>
        <v>40</v>
      </c>
      <c r="E30" s="310">
        <f t="shared" si="12"/>
        <v>30</v>
      </c>
      <c r="F30" s="310">
        <f t="shared" si="12"/>
        <v>70</v>
      </c>
      <c r="G30" s="310"/>
      <c r="H30" s="310">
        <v>19</v>
      </c>
      <c r="I30" s="310">
        <f t="shared" si="15"/>
        <v>19</v>
      </c>
      <c r="J30" s="310"/>
      <c r="K30" s="310"/>
      <c r="L30" s="310"/>
      <c r="M30" s="310">
        <v>40</v>
      </c>
      <c r="N30" s="310">
        <v>11</v>
      </c>
      <c r="O30" s="310">
        <f t="shared" si="16"/>
        <v>51</v>
      </c>
      <c r="P30" s="310"/>
      <c r="Q30" s="310"/>
      <c r="R30" s="310">
        <f t="shared" si="17"/>
        <v>0</v>
      </c>
    </row>
    <row r="31" spans="1:18" ht="39.6">
      <c r="A31" s="257" t="s">
        <v>36</v>
      </c>
      <c r="B31" s="258"/>
      <c r="C31" s="259" t="s">
        <v>41</v>
      </c>
      <c r="D31" s="310">
        <f t="shared" si="14"/>
        <v>67</v>
      </c>
      <c r="E31" s="310">
        <f t="shared" si="12"/>
        <v>13</v>
      </c>
      <c r="F31" s="310">
        <f t="shared" si="12"/>
        <v>80</v>
      </c>
      <c r="G31" s="310">
        <v>35</v>
      </c>
      <c r="H31" s="310">
        <v>11</v>
      </c>
      <c r="I31" s="310">
        <f t="shared" si="15"/>
        <v>46</v>
      </c>
      <c r="J31" s="310">
        <v>21</v>
      </c>
      <c r="K31" s="310">
        <v>1</v>
      </c>
      <c r="L31" s="310">
        <f>+J31+K31</f>
        <v>22</v>
      </c>
      <c r="M31" s="310"/>
      <c r="N31" s="310"/>
      <c r="O31" s="310">
        <f t="shared" si="16"/>
        <v>0</v>
      </c>
      <c r="P31" s="310">
        <v>11</v>
      </c>
      <c r="Q31" s="310">
        <v>1</v>
      </c>
      <c r="R31" s="310">
        <f t="shared" si="17"/>
        <v>12</v>
      </c>
    </row>
    <row r="32" spans="1:18" ht="9.75" customHeight="1">
      <c r="A32" s="260"/>
      <c r="B32" s="261"/>
      <c r="C32" s="262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</row>
    <row r="33" spans="1:18" ht="9" customHeight="1">
      <c r="A33" s="264"/>
      <c r="B33" s="265"/>
      <c r="C33" s="266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</row>
    <row r="34" spans="1:18" ht="15" customHeight="1">
      <c r="A34" s="252" t="s">
        <v>43</v>
      </c>
      <c r="B34" s="1089" t="s">
        <v>42</v>
      </c>
      <c r="C34" s="1090"/>
      <c r="D34" s="310">
        <f>+G34+J34+M34+P34</f>
        <v>2155</v>
      </c>
      <c r="E34" s="310">
        <f t="shared" ref="E34:F36" si="18">+H34+K34+N34+Q34</f>
        <v>712</v>
      </c>
      <c r="F34" s="310">
        <f t="shared" si="18"/>
        <v>2867</v>
      </c>
      <c r="G34" s="310">
        <v>1538</v>
      </c>
      <c r="H34" s="310">
        <v>366</v>
      </c>
      <c r="I34" s="310">
        <f t="shared" ref="I34:I35" si="19">+G34+H34</f>
        <v>1904</v>
      </c>
      <c r="J34" s="310">
        <v>13</v>
      </c>
      <c r="K34" s="310">
        <v>46</v>
      </c>
      <c r="L34" s="310">
        <f>SUM(J34:K34)</f>
        <v>59</v>
      </c>
      <c r="M34" s="310"/>
      <c r="N34" s="310"/>
      <c r="O34" s="310">
        <f t="shared" ref="O34:O48" si="20">+M34+N34</f>
        <v>0</v>
      </c>
      <c r="P34" s="310">
        <v>604</v>
      </c>
      <c r="Q34" s="310">
        <v>300</v>
      </c>
      <c r="R34" s="310">
        <f>+P34+Q34</f>
        <v>904</v>
      </c>
    </row>
    <row r="35" spans="1:18" ht="15" customHeight="1">
      <c r="A35" s="252" t="s">
        <v>45</v>
      </c>
      <c r="B35" s="1089" t="s">
        <v>44</v>
      </c>
      <c r="C35" s="1090"/>
      <c r="D35" s="310">
        <f t="shared" ref="D35:D36" si="21">+G35+J35+M35+P35</f>
        <v>1971</v>
      </c>
      <c r="E35" s="310">
        <f t="shared" si="18"/>
        <v>-127</v>
      </c>
      <c r="F35" s="310">
        <f t="shared" si="18"/>
        <v>1844</v>
      </c>
      <c r="G35" s="310">
        <v>1577</v>
      </c>
      <c r="H35" s="310">
        <v>-128</v>
      </c>
      <c r="I35" s="310">
        <f t="shared" si="19"/>
        <v>1449</v>
      </c>
      <c r="J35" s="310">
        <v>300</v>
      </c>
      <c r="K35" s="310">
        <v>1</v>
      </c>
      <c r="L35" s="310">
        <f>SUM(J35:K35)</f>
        <v>301</v>
      </c>
      <c r="M35" s="310"/>
      <c r="N35" s="310"/>
      <c r="O35" s="310">
        <f t="shared" si="20"/>
        <v>0</v>
      </c>
      <c r="P35" s="310">
        <v>94</v>
      </c>
      <c r="Q35" s="310"/>
      <c r="R35" s="310">
        <f>+P35+Q35</f>
        <v>94</v>
      </c>
    </row>
    <row r="36" spans="1:18" ht="15" customHeight="1">
      <c r="A36" s="252" t="s">
        <v>47</v>
      </c>
      <c r="B36" s="1089" t="s">
        <v>46</v>
      </c>
      <c r="C36" s="1090"/>
      <c r="D36" s="310">
        <f t="shared" si="21"/>
        <v>0</v>
      </c>
      <c r="E36" s="310">
        <f t="shared" si="18"/>
        <v>0</v>
      </c>
      <c r="F36" s="310">
        <f t="shared" si="18"/>
        <v>0</v>
      </c>
      <c r="G36" s="310"/>
      <c r="H36" s="310"/>
      <c r="I36" s="310"/>
      <c r="J36" s="310">
        <v>0</v>
      </c>
      <c r="K36" s="310"/>
      <c r="L36" s="310">
        <f t="shared" ref="L36" si="22">SUM(K36)</f>
        <v>0</v>
      </c>
      <c r="M36" s="310"/>
      <c r="N36" s="310"/>
      <c r="O36" s="310">
        <f t="shared" si="20"/>
        <v>0</v>
      </c>
      <c r="P36" s="310"/>
      <c r="Q36" s="310"/>
      <c r="R36" s="310"/>
    </row>
    <row r="37" spans="1:18" s="314" customFormat="1" ht="15" customHeight="1">
      <c r="A37" s="311" t="s">
        <v>48</v>
      </c>
      <c r="B37" s="1091" t="s">
        <v>439</v>
      </c>
      <c r="C37" s="1092"/>
      <c r="D37" s="312">
        <f>SUM(D34:D36)</f>
        <v>4126</v>
      </c>
      <c r="E37" s="312">
        <f t="shared" ref="E37:R37" si="23">SUM(E34:E36)</f>
        <v>585</v>
      </c>
      <c r="F37" s="312">
        <f t="shared" si="23"/>
        <v>4711</v>
      </c>
      <c r="G37" s="312">
        <v>3115</v>
      </c>
      <c r="H37" s="312">
        <f t="shared" si="23"/>
        <v>238</v>
      </c>
      <c r="I37" s="312">
        <f t="shared" si="23"/>
        <v>3353</v>
      </c>
      <c r="J37" s="312">
        <v>313</v>
      </c>
      <c r="K37" s="312">
        <f t="shared" si="23"/>
        <v>47</v>
      </c>
      <c r="L37" s="312">
        <f t="shared" si="23"/>
        <v>360</v>
      </c>
      <c r="M37" s="312">
        <v>0</v>
      </c>
      <c r="N37" s="312">
        <f t="shared" si="23"/>
        <v>0</v>
      </c>
      <c r="O37" s="310">
        <f t="shared" si="20"/>
        <v>0</v>
      </c>
      <c r="P37" s="312">
        <v>698</v>
      </c>
      <c r="Q37" s="312">
        <f t="shared" si="23"/>
        <v>300</v>
      </c>
      <c r="R37" s="312">
        <f t="shared" si="23"/>
        <v>998</v>
      </c>
    </row>
    <row r="38" spans="1:18" ht="15" customHeight="1">
      <c r="A38" s="837" t="s">
        <v>50</v>
      </c>
      <c r="B38" s="1089" t="s">
        <v>49</v>
      </c>
      <c r="C38" s="1090"/>
      <c r="D38" s="310">
        <f>+G38+J38+M38+P38</f>
        <v>210</v>
      </c>
      <c r="E38" s="310">
        <f t="shared" ref="E38:F39" si="24">+H38+K38+N38+Q38</f>
        <v>7</v>
      </c>
      <c r="F38" s="310">
        <f t="shared" si="24"/>
        <v>217</v>
      </c>
      <c r="G38" s="310">
        <v>120</v>
      </c>
      <c r="H38" s="310">
        <v>9</v>
      </c>
      <c r="I38" s="310">
        <f t="shared" ref="I38:I39" si="25">+G38+H38</f>
        <v>129</v>
      </c>
      <c r="J38" s="310"/>
      <c r="K38" s="310"/>
      <c r="L38" s="310"/>
      <c r="M38" s="310"/>
      <c r="N38" s="310"/>
      <c r="O38" s="310">
        <f t="shared" si="20"/>
        <v>0</v>
      </c>
      <c r="P38" s="310">
        <v>90</v>
      </c>
      <c r="Q38" s="310">
        <v>-2</v>
      </c>
      <c r="R38" s="310">
        <f t="shared" ref="R38:R48" si="26">+P38+Q38</f>
        <v>88</v>
      </c>
    </row>
    <row r="39" spans="1:18" ht="15" customHeight="1">
      <c r="A39" s="252" t="s">
        <v>52</v>
      </c>
      <c r="B39" s="1089" t="s">
        <v>51</v>
      </c>
      <c r="C39" s="1090"/>
      <c r="D39" s="310">
        <f>+G39+J39+M39+P39</f>
        <v>330</v>
      </c>
      <c r="E39" s="310">
        <f t="shared" si="24"/>
        <v>14</v>
      </c>
      <c r="F39" s="310">
        <f t="shared" si="24"/>
        <v>344</v>
      </c>
      <c r="G39" s="310">
        <v>240</v>
      </c>
      <c r="H39" s="310"/>
      <c r="I39" s="310">
        <f t="shared" si="25"/>
        <v>240</v>
      </c>
      <c r="J39" s="310">
        <v>30</v>
      </c>
      <c r="K39" s="310">
        <v>14</v>
      </c>
      <c r="L39" s="310">
        <f>+J39+K39</f>
        <v>44</v>
      </c>
      <c r="M39" s="310"/>
      <c r="N39" s="310"/>
      <c r="O39" s="310">
        <f t="shared" si="20"/>
        <v>0</v>
      </c>
      <c r="P39" s="310">
        <v>60</v>
      </c>
      <c r="Q39" s="310"/>
      <c r="R39" s="310">
        <f t="shared" si="26"/>
        <v>60</v>
      </c>
    </row>
    <row r="40" spans="1:18" s="314" customFormat="1" ht="15" customHeight="1">
      <c r="A40" s="311" t="s">
        <v>53</v>
      </c>
      <c r="B40" s="1091" t="s">
        <v>440</v>
      </c>
      <c r="C40" s="1092"/>
      <c r="D40" s="312">
        <f>SUM(D38:D39)</f>
        <v>540</v>
      </c>
      <c r="E40" s="312">
        <f t="shared" ref="E40:R40" si="27">SUM(E38:E39)</f>
        <v>21</v>
      </c>
      <c r="F40" s="312">
        <f t="shared" si="27"/>
        <v>561</v>
      </c>
      <c r="G40" s="312">
        <v>360</v>
      </c>
      <c r="H40" s="312">
        <f t="shared" si="27"/>
        <v>9</v>
      </c>
      <c r="I40" s="312">
        <f t="shared" si="27"/>
        <v>369</v>
      </c>
      <c r="J40" s="312">
        <v>30</v>
      </c>
      <c r="K40" s="312">
        <f t="shared" si="27"/>
        <v>14</v>
      </c>
      <c r="L40" s="312">
        <f t="shared" si="27"/>
        <v>44</v>
      </c>
      <c r="M40" s="312">
        <v>0</v>
      </c>
      <c r="N40" s="312">
        <f t="shared" si="27"/>
        <v>0</v>
      </c>
      <c r="O40" s="310">
        <f t="shared" si="20"/>
        <v>0</v>
      </c>
      <c r="P40" s="312">
        <v>150</v>
      </c>
      <c r="Q40" s="312">
        <f t="shared" si="27"/>
        <v>-2</v>
      </c>
      <c r="R40" s="312">
        <f t="shared" si="27"/>
        <v>148</v>
      </c>
    </row>
    <row r="41" spans="1:18" ht="15" customHeight="1">
      <c r="A41" s="252" t="s">
        <v>55</v>
      </c>
      <c r="B41" s="1089" t="s">
        <v>54</v>
      </c>
      <c r="C41" s="1090"/>
      <c r="D41" s="310">
        <f>+G41+J41+M41+P41</f>
        <v>0</v>
      </c>
      <c r="E41" s="310">
        <f t="shared" ref="E41:F49" si="28">+H41+K41+N41+Q41</f>
        <v>0</v>
      </c>
      <c r="F41" s="310">
        <f t="shared" si="28"/>
        <v>0</v>
      </c>
      <c r="G41" s="310">
        <v>0</v>
      </c>
      <c r="H41" s="310"/>
      <c r="I41" s="310">
        <f t="shared" ref="I41:I45" si="29">+G41+H41</f>
        <v>0</v>
      </c>
      <c r="J41" s="310"/>
      <c r="K41" s="310"/>
      <c r="L41" s="310">
        <f>+J41+K41</f>
        <v>0</v>
      </c>
      <c r="M41" s="310"/>
      <c r="N41" s="310"/>
      <c r="O41" s="310">
        <f t="shared" si="20"/>
        <v>0</v>
      </c>
      <c r="P41" s="310"/>
      <c r="Q41" s="310"/>
      <c r="R41" s="310">
        <f t="shared" si="26"/>
        <v>0</v>
      </c>
    </row>
    <row r="42" spans="1:18" ht="15" customHeight="1">
      <c r="A42" s="252" t="s">
        <v>57</v>
      </c>
      <c r="B42" s="1089" t="s">
        <v>56</v>
      </c>
      <c r="C42" s="1090"/>
      <c r="D42" s="310">
        <f t="shared" ref="D42:D49" si="30">+G42+J42+M42+P42</f>
        <v>520</v>
      </c>
      <c r="E42" s="310">
        <f t="shared" si="28"/>
        <v>272</v>
      </c>
      <c r="F42" s="310">
        <f t="shared" si="28"/>
        <v>792</v>
      </c>
      <c r="G42" s="310">
        <v>520</v>
      </c>
      <c r="H42" s="310">
        <v>134</v>
      </c>
      <c r="I42" s="310">
        <f t="shared" si="29"/>
        <v>654</v>
      </c>
      <c r="J42" s="310"/>
      <c r="K42" s="310"/>
      <c r="L42" s="310">
        <f t="shared" ref="L42:L48" si="31">+J42+K42</f>
        <v>0</v>
      </c>
      <c r="M42" s="310"/>
      <c r="N42" s="310">
        <v>138</v>
      </c>
      <c r="O42" s="310">
        <f t="shared" si="20"/>
        <v>138</v>
      </c>
      <c r="P42" s="310"/>
      <c r="Q42" s="310"/>
      <c r="R42" s="310">
        <f t="shared" si="26"/>
        <v>0</v>
      </c>
    </row>
    <row r="43" spans="1:18" ht="15" customHeight="1">
      <c r="A43" s="252" t="s">
        <v>58</v>
      </c>
      <c r="B43" s="1089" t="s">
        <v>441</v>
      </c>
      <c r="C43" s="1090"/>
      <c r="D43" s="310">
        <f t="shared" si="30"/>
        <v>658</v>
      </c>
      <c r="E43" s="310">
        <f t="shared" si="28"/>
        <v>-425</v>
      </c>
      <c r="F43" s="310">
        <f t="shared" si="28"/>
        <v>233</v>
      </c>
      <c r="G43" s="310">
        <v>658</v>
      </c>
      <c r="H43" s="310">
        <v>-425</v>
      </c>
      <c r="I43" s="310">
        <f t="shared" si="29"/>
        <v>233</v>
      </c>
      <c r="J43" s="310"/>
      <c r="K43" s="310"/>
      <c r="L43" s="310">
        <f t="shared" si="31"/>
        <v>0</v>
      </c>
      <c r="M43" s="310"/>
      <c r="N43" s="310"/>
      <c r="O43" s="310">
        <f t="shared" si="20"/>
        <v>0</v>
      </c>
      <c r="P43" s="310"/>
      <c r="Q43" s="310"/>
      <c r="R43" s="310">
        <f t="shared" si="26"/>
        <v>0</v>
      </c>
    </row>
    <row r="44" spans="1:18" ht="15" customHeight="1">
      <c r="A44" s="252" t="s">
        <v>60</v>
      </c>
      <c r="B44" s="1089" t="s">
        <v>59</v>
      </c>
      <c r="C44" s="1090"/>
      <c r="D44" s="310">
        <f t="shared" si="30"/>
        <v>214</v>
      </c>
      <c r="E44" s="310">
        <f t="shared" si="28"/>
        <v>62</v>
      </c>
      <c r="F44" s="310">
        <f t="shared" si="28"/>
        <v>276</v>
      </c>
      <c r="G44" s="310">
        <v>50</v>
      </c>
      <c r="H44" s="310">
        <v>40</v>
      </c>
      <c r="I44" s="310">
        <f t="shared" si="29"/>
        <v>90</v>
      </c>
      <c r="J44" s="310"/>
      <c r="K44" s="310">
        <v>22</v>
      </c>
      <c r="L44" s="310">
        <f t="shared" si="31"/>
        <v>22</v>
      </c>
      <c r="M44" s="310"/>
      <c r="N44" s="310"/>
      <c r="O44" s="310">
        <f t="shared" si="20"/>
        <v>0</v>
      </c>
      <c r="P44" s="310">
        <v>164</v>
      </c>
      <c r="Q44" s="310">
        <v>0</v>
      </c>
      <c r="R44" s="310">
        <f t="shared" si="26"/>
        <v>164</v>
      </c>
    </row>
    <row r="45" spans="1:18" ht="15" customHeight="1">
      <c r="A45" s="252" t="s">
        <v>61</v>
      </c>
      <c r="B45" s="1089" t="s">
        <v>167</v>
      </c>
      <c r="C45" s="1090"/>
      <c r="D45" s="310">
        <f t="shared" si="30"/>
        <v>40</v>
      </c>
      <c r="E45" s="310">
        <f t="shared" si="28"/>
        <v>2</v>
      </c>
      <c r="F45" s="310">
        <f t="shared" si="28"/>
        <v>42</v>
      </c>
      <c r="G45" s="310">
        <v>40</v>
      </c>
      <c r="H45" s="310">
        <v>2</v>
      </c>
      <c r="I45" s="310">
        <f t="shared" si="29"/>
        <v>42</v>
      </c>
      <c r="J45" s="310"/>
      <c r="K45" s="310"/>
      <c r="L45" s="310">
        <f t="shared" si="31"/>
        <v>0</v>
      </c>
      <c r="M45" s="310"/>
      <c r="N45" s="310"/>
      <c r="O45" s="310">
        <f t="shared" si="20"/>
        <v>0</v>
      </c>
      <c r="P45" s="310"/>
      <c r="Q45" s="310"/>
      <c r="R45" s="310">
        <f t="shared" si="26"/>
        <v>0</v>
      </c>
    </row>
    <row r="46" spans="1:18" ht="25.5" customHeight="1">
      <c r="A46" s="257" t="s">
        <v>61</v>
      </c>
      <c r="B46" s="258"/>
      <c r="C46" s="259" t="s">
        <v>62</v>
      </c>
      <c r="D46" s="310">
        <f t="shared" si="30"/>
        <v>0</v>
      </c>
      <c r="E46" s="310">
        <f t="shared" si="28"/>
        <v>0</v>
      </c>
      <c r="F46" s="310">
        <f t="shared" si="28"/>
        <v>0</v>
      </c>
      <c r="G46" s="310"/>
      <c r="H46" s="310"/>
      <c r="I46" s="310"/>
      <c r="J46" s="310"/>
      <c r="K46" s="310"/>
      <c r="L46" s="310">
        <f t="shared" si="31"/>
        <v>0</v>
      </c>
      <c r="M46" s="310"/>
      <c r="N46" s="310"/>
      <c r="O46" s="310">
        <f t="shared" si="20"/>
        <v>0</v>
      </c>
      <c r="P46" s="310"/>
      <c r="Q46" s="310"/>
      <c r="R46" s="310">
        <f t="shared" si="26"/>
        <v>0</v>
      </c>
    </row>
    <row r="47" spans="1:18" ht="25.5" customHeight="1">
      <c r="A47" s="257" t="s">
        <v>61</v>
      </c>
      <c r="B47" s="258"/>
      <c r="C47" s="259" t="s">
        <v>169</v>
      </c>
      <c r="D47" s="310">
        <f t="shared" si="30"/>
        <v>40</v>
      </c>
      <c r="E47" s="310">
        <f t="shared" si="28"/>
        <v>0</v>
      </c>
      <c r="F47" s="310">
        <f t="shared" si="28"/>
        <v>40</v>
      </c>
      <c r="G47" s="310">
        <v>40</v>
      </c>
      <c r="H47" s="310"/>
      <c r="I47" s="310">
        <f>SUM(G47:H47)</f>
        <v>40</v>
      </c>
      <c r="J47" s="310"/>
      <c r="K47" s="310"/>
      <c r="L47" s="310">
        <f t="shared" si="31"/>
        <v>0</v>
      </c>
      <c r="M47" s="310"/>
      <c r="N47" s="310"/>
      <c r="O47" s="310">
        <f t="shared" si="20"/>
        <v>0</v>
      </c>
      <c r="P47" s="310"/>
      <c r="Q47" s="310"/>
      <c r="R47" s="310">
        <f t="shared" si="26"/>
        <v>0</v>
      </c>
    </row>
    <row r="48" spans="1:18" ht="15" customHeight="1">
      <c r="A48" s="252" t="s">
        <v>64</v>
      </c>
      <c r="B48" s="1089" t="s">
        <v>442</v>
      </c>
      <c r="C48" s="1090"/>
      <c r="D48" s="310">
        <f t="shared" si="30"/>
        <v>212</v>
      </c>
      <c r="E48" s="310">
        <f t="shared" si="28"/>
        <v>22</v>
      </c>
      <c r="F48" s="310">
        <f t="shared" si="28"/>
        <v>234</v>
      </c>
      <c r="G48" s="310">
        <v>212</v>
      </c>
      <c r="H48" s="310">
        <v>22</v>
      </c>
      <c r="I48" s="310">
        <f t="shared" ref="I48:I49" si="32">+G48+H48</f>
        <v>234</v>
      </c>
      <c r="J48" s="310"/>
      <c r="K48" s="310"/>
      <c r="L48" s="310">
        <f t="shared" si="31"/>
        <v>0</v>
      </c>
      <c r="M48" s="310"/>
      <c r="N48" s="310"/>
      <c r="O48" s="310">
        <f t="shared" si="20"/>
        <v>0</v>
      </c>
      <c r="P48" s="310"/>
      <c r="Q48" s="310"/>
      <c r="R48" s="310">
        <f t="shared" si="26"/>
        <v>0</v>
      </c>
    </row>
    <row r="49" spans="1:18" ht="15" customHeight="1">
      <c r="A49" s="252" t="s">
        <v>66</v>
      </c>
      <c r="B49" s="1089" t="s">
        <v>443</v>
      </c>
      <c r="C49" s="1090"/>
      <c r="D49" s="310">
        <f t="shared" si="30"/>
        <v>12977</v>
      </c>
      <c r="E49" s="310">
        <f t="shared" si="28"/>
        <v>-134</v>
      </c>
      <c r="F49" s="310">
        <f t="shared" si="28"/>
        <v>12843</v>
      </c>
      <c r="G49" s="310">
        <v>10946</v>
      </c>
      <c r="H49" s="310">
        <v>76</v>
      </c>
      <c r="I49" s="310">
        <f t="shared" si="32"/>
        <v>11022</v>
      </c>
      <c r="J49" s="310">
        <v>351</v>
      </c>
      <c r="K49" s="310">
        <v>-38</v>
      </c>
      <c r="L49" s="310">
        <f>SUM(J49:K49)</f>
        <v>313</v>
      </c>
      <c r="M49" s="310">
        <v>1484</v>
      </c>
      <c r="N49" s="310">
        <v>-232</v>
      </c>
      <c r="O49" s="310">
        <f>+M49+N49</f>
        <v>1252</v>
      </c>
      <c r="P49" s="310">
        <v>196</v>
      </c>
      <c r="Q49" s="310">
        <v>60</v>
      </c>
      <c r="R49" s="310">
        <f>+P49+Q49</f>
        <v>256</v>
      </c>
    </row>
    <row r="50" spans="1:18" s="314" customFormat="1" ht="15" customHeight="1">
      <c r="A50" s="311" t="s">
        <v>67</v>
      </c>
      <c r="B50" s="1091" t="s">
        <v>444</v>
      </c>
      <c r="C50" s="1092"/>
      <c r="D50" s="312">
        <f t="shared" ref="D50:E50" si="33">D42+D44+D45+D48+D49+D43</f>
        <v>14621</v>
      </c>
      <c r="E50" s="312">
        <f t="shared" si="33"/>
        <v>-201</v>
      </c>
      <c r="F50" s="312">
        <f>F42+F44+F45+F48+F49+F43</f>
        <v>14420</v>
      </c>
      <c r="G50" s="312">
        <v>12426</v>
      </c>
      <c r="H50" s="312">
        <f t="shared" ref="H50" si="34">H42+H43+H44+H45+H48+H49</f>
        <v>-151</v>
      </c>
      <c r="I50" s="312">
        <f>I42+I43+I44+I45+I48+I49</f>
        <v>12275</v>
      </c>
      <c r="J50" s="312">
        <v>351</v>
      </c>
      <c r="K50" s="312">
        <f t="shared" ref="K50:R50" si="35">SUM(K41:K49)</f>
        <v>-16</v>
      </c>
      <c r="L50" s="312">
        <f t="shared" si="35"/>
        <v>335</v>
      </c>
      <c r="M50" s="312">
        <v>1484</v>
      </c>
      <c r="N50" s="312">
        <f t="shared" si="35"/>
        <v>-94</v>
      </c>
      <c r="O50" s="312">
        <f t="shared" si="35"/>
        <v>1390</v>
      </c>
      <c r="P50" s="312">
        <v>360</v>
      </c>
      <c r="Q50" s="312">
        <f t="shared" si="35"/>
        <v>60</v>
      </c>
      <c r="R50" s="312">
        <f t="shared" si="35"/>
        <v>420</v>
      </c>
    </row>
    <row r="51" spans="1:18" ht="15" customHeight="1">
      <c r="A51" s="837" t="s">
        <v>69</v>
      </c>
      <c r="B51" s="1089" t="s">
        <v>68</v>
      </c>
      <c r="C51" s="1090"/>
      <c r="D51" s="310">
        <f>+G51+J51+M51+P51</f>
        <v>294</v>
      </c>
      <c r="E51" s="310">
        <f t="shared" ref="E51:F52" si="36">+H51+K51+N51+Q51</f>
        <v>-24</v>
      </c>
      <c r="F51" s="310">
        <f t="shared" si="36"/>
        <v>270</v>
      </c>
      <c r="G51" s="310">
        <v>200</v>
      </c>
      <c r="H51" s="310"/>
      <c r="I51" s="310">
        <f t="shared" ref="I51:I52" si="37">+G51+H51</f>
        <v>200</v>
      </c>
      <c r="J51" s="310">
        <v>11</v>
      </c>
      <c r="K51" s="310"/>
      <c r="L51" s="310">
        <f>SUM(J51:K51)</f>
        <v>11</v>
      </c>
      <c r="M51" s="310">
        <v>58</v>
      </c>
      <c r="N51" s="310"/>
      <c r="O51" s="310">
        <f>+M51+N51</f>
        <v>58</v>
      </c>
      <c r="P51" s="310">
        <v>25</v>
      </c>
      <c r="Q51" s="310">
        <v>-24</v>
      </c>
      <c r="R51" s="310">
        <f>+P51+Q51</f>
        <v>1</v>
      </c>
    </row>
    <row r="52" spans="1:18" ht="15" customHeight="1">
      <c r="A52" s="252" t="s">
        <v>71</v>
      </c>
      <c r="B52" s="1089" t="s">
        <v>70</v>
      </c>
      <c r="C52" s="1090"/>
      <c r="D52" s="310">
        <f>+G52+J52+M52+P52</f>
        <v>700</v>
      </c>
      <c r="E52" s="310">
        <f t="shared" si="36"/>
        <v>-200</v>
      </c>
      <c r="F52" s="310">
        <f t="shared" si="36"/>
        <v>500</v>
      </c>
      <c r="G52" s="310">
        <v>700</v>
      </c>
      <c r="H52" s="310">
        <v>-200</v>
      </c>
      <c r="I52" s="310">
        <f t="shared" si="37"/>
        <v>500</v>
      </c>
      <c r="J52" s="310"/>
      <c r="K52" s="310"/>
      <c r="L52" s="310">
        <f>SUM(J52:K52)</f>
        <v>0</v>
      </c>
      <c r="M52" s="310"/>
      <c r="N52" s="310"/>
      <c r="O52" s="310"/>
      <c r="P52" s="310"/>
      <c r="Q52" s="310"/>
      <c r="R52" s="310">
        <f>+P52+Q52</f>
        <v>0</v>
      </c>
    </row>
    <row r="53" spans="1:18" s="314" customFormat="1" ht="15" customHeight="1">
      <c r="A53" s="311" t="s">
        <v>72</v>
      </c>
      <c r="B53" s="1091" t="s">
        <v>156</v>
      </c>
      <c r="C53" s="1092"/>
      <c r="D53" s="312">
        <f>SUM(D51:D52)</f>
        <v>994</v>
      </c>
      <c r="E53" s="312">
        <f t="shared" ref="E53:R53" si="38">SUM(E51:E52)</f>
        <v>-224</v>
      </c>
      <c r="F53" s="312">
        <f t="shared" si="38"/>
        <v>770</v>
      </c>
      <c r="G53" s="312">
        <v>900</v>
      </c>
      <c r="H53" s="312">
        <f t="shared" si="38"/>
        <v>-200</v>
      </c>
      <c r="I53" s="312">
        <f t="shared" si="38"/>
        <v>700</v>
      </c>
      <c r="J53" s="312">
        <v>11</v>
      </c>
      <c r="K53" s="312">
        <f t="shared" si="38"/>
        <v>0</v>
      </c>
      <c r="L53" s="312">
        <f t="shared" si="38"/>
        <v>11</v>
      </c>
      <c r="M53" s="312">
        <v>58</v>
      </c>
      <c r="N53" s="312">
        <f t="shared" si="38"/>
        <v>0</v>
      </c>
      <c r="O53" s="312">
        <f t="shared" si="38"/>
        <v>58</v>
      </c>
      <c r="P53" s="312">
        <v>25</v>
      </c>
      <c r="Q53" s="312">
        <f t="shared" si="38"/>
        <v>-24</v>
      </c>
      <c r="R53" s="312">
        <f t="shared" si="38"/>
        <v>1</v>
      </c>
    </row>
    <row r="54" spans="1:18" ht="15" customHeight="1">
      <c r="A54" s="252" t="s">
        <v>74</v>
      </c>
      <c r="B54" s="1089" t="s">
        <v>73</v>
      </c>
      <c r="C54" s="1090"/>
      <c r="D54" s="310">
        <f>+G54+J54+M54+P54</f>
        <v>2765</v>
      </c>
      <c r="E54" s="310">
        <f t="shared" ref="E54:F58" si="39">+H54+K54+N54+Q54</f>
        <v>79</v>
      </c>
      <c r="F54" s="310">
        <f t="shared" si="39"/>
        <v>2844</v>
      </c>
      <c r="G54" s="310">
        <v>2156</v>
      </c>
      <c r="H54" s="310">
        <v>90</v>
      </c>
      <c r="I54" s="310">
        <f t="shared" ref="I54:I58" si="40">+G54+H54</f>
        <v>2246</v>
      </c>
      <c r="J54" s="310">
        <v>183</v>
      </c>
      <c r="K54" s="310">
        <v>-46</v>
      </c>
      <c r="L54" s="310">
        <f>SUM(J54:K54)</f>
        <v>137</v>
      </c>
      <c r="M54" s="310">
        <v>239</v>
      </c>
      <c r="N54" s="310">
        <v>0</v>
      </c>
      <c r="O54" s="310">
        <f>+M54+N54</f>
        <v>239</v>
      </c>
      <c r="P54" s="310">
        <v>187</v>
      </c>
      <c r="Q54" s="310">
        <v>35</v>
      </c>
      <c r="R54" s="310">
        <f>+P54+Q54</f>
        <v>222</v>
      </c>
    </row>
    <row r="55" spans="1:18" ht="15" customHeight="1">
      <c r="A55" s="252" t="s">
        <v>76</v>
      </c>
      <c r="B55" s="1089" t="s">
        <v>445</v>
      </c>
      <c r="C55" s="1090"/>
      <c r="D55" s="310">
        <f t="shared" ref="D55:D58" si="41">+G55+J55+M55+P55</f>
        <v>940</v>
      </c>
      <c r="E55" s="310">
        <f t="shared" si="39"/>
        <v>1211</v>
      </c>
      <c r="F55" s="310">
        <f t="shared" si="39"/>
        <v>2151</v>
      </c>
      <c r="G55" s="310">
        <v>643</v>
      </c>
      <c r="H55" s="310">
        <v>1216</v>
      </c>
      <c r="I55" s="310">
        <f t="shared" si="40"/>
        <v>1859</v>
      </c>
      <c r="J55" s="310">
        <v>270</v>
      </c>
      <c r="K55" s="310"/>
      <c r="L55" s="310">
        <f>+J55+K55</f>
        <v>270</v>
      </c>
      <c r="M55" s="310"/>
      <c r="N55" s="310"/>
      <c r="O55" s="310"/>
      <c r="P55" s="310">
        <v>27</v>
      </c>
      <c r="Q55" s="310">
        <v>-5</v>
      </c>
      <c r="R55" s="310">
        <f>+P55+Q55</f>
        <v>22</v>
      </c>
    </row>
    <row r="56" spans="1:18" ht="15" customHeight="1">
      <c r="A56" s="252" t="s">
        <v>77</v>
      </c>
      <c r="B56" s="1089" t="s">
        <v>446</v>
      </c>
      <c r="C56" s="1090"/>
      <c r="D56" s="310">
        <f t="shared" si="41"/>
        <v>0</v>
      </c>
      <c r="E56" s="310">
        <f t="shared" si="39"/>
        <v>0</v>
      </c>
      <c r="F56" s="310">
        <f t="shared" si="39"/>
        <v>0</v>
      </c>
      <c r="G56" s="310">
        <v>0</v>
      </c>
      <c r="H56" s="310"/>
      <c r="I56" s="310">
        <f t="shared" si="40"/>
        <v>0</v>
      </c>
      <c r="J56" s="310"/>
      <c r="K56" s="310"/>
      <c r="L56" s="310"/>
      <c r="M56" s="310"/>
      <c r="N56" s="310"/>
      <c r="O56" s="310"/>
      <c r="P56" s="310"/>
      <c r="Q56" s="310"/>
      <c r="R56" s="310"/>
    </row>
    <row r="57" spans="1:18" ht="15" customHeight="1">
      <c r="A57" s="252" t="s">
        <v>78</v>
      </c>
      <c r="B57" s="1089" t="s">
        <v>447</v>
      </c>
      <c r="C57" s="1090"/>
      <c r="D57" s="310">
        <f t="shared" si="41"/>
        <v>0</v>
      </c>
      <c r="E57" s="310">
        <f t="shared" si="39"/>
        <v>0</v>
      </c>
      <c r="F57" s="310">
        <f t="shared" si="39"/>
        <v>0</v>
      </c>
      <c r="G57" s="310">
        <v>0</v>
      </c>
      <c r="H57" s="310"/>
      <c r="I57" s="310">
        <f t="shared" si="40"/>
        <v>0</v>
      </c>
      <c r="J57" s="310"/>
      <c r="K57" s="310"/>
      <c r="L57" s="310"/>
      <c r="M57" s="310"/>
      <c r="N57" s="310"/>
      <c r="O57" s="310"/>
      <c r="P57" s="310"/>
      <c r="Q57" s="310"/>
      <c r="R57" s="310"/>
    </row>
    <row r="58" spans="1:18" ht="15" customHeight="1">
      <c r="A58" s="252" t="s">
        <v>80</v>
      </c>
      <c r="B58" s="1089" t="s">
        <v>79</v>
      </c>
      <c r="C58" s="1090"/>
      <c r="D58" s="310">
        <f t="shared" si="41"/>
        <v>45</v>
      </c>
      <c r="E58" s="310">
        <f t="shared" si="39"/>
        <v>30</v>
      </c>
      <c r="F58" s="310">
        <f t="shared" si="39"/>
        <v>75</v>
      </c>
      <c r="G58" s="310">
        <v>20</v>
      </c>
      <c r="H58" s="310">
        <v>31</v>
      </c>
      <c r="I58" s="310">
        <f t="shared" si="40"/>
        <v>51</v>
      </c>
      <c r="J58" s="310"/>
      <c r="K58" s="310"/>
      <c r="L58" s="310"/>
      <c r="M58" s="310"/>
      <c r="N58" s="310"/>
      <c r="O58" s="310"/>
      <c r="P58" s="310">
        <v>25</v>
      </c>
      <c r="Q58" s="310">
        <v>-1</v>
      </c>
      <c r="R58" s="310">
        <f>+P58+Q58</f>
        <v>24</v>
      </c>
    </row>
    <row r="59" spans="1:18" ht="15" customHeight="1">
      <c r="A59" s="311" t="s">
        <v>81</v>
      </c>
      <c r="B59" s="1091" t="s">
        <v>153</v>
      </c>
      <c r="C59" s="1092"/>
      <c r="D59" s="312">
        <f>SUM(D54:D58)</f>
        <v>3750</v>
      </c>
      <c r="E59" s="312">
        <f t="shared" ref="E59:R59" si="42">SUM(E54:E58)</f>
        <v>1320</v>
      </c>
      <c r="F59" s="312">
        <f t="shared" si="42"/>
        <v>5070</v>
      </c>
      <c r="G59" s="312">
        <v>2819</v>
      </c>
      <c r="H59" s="312">
        <f t="shared" si="42"/>
        <v>1337</v>
      </c>
      <c r="I59" s="312">
        <f t="shared" si="42"/>
        <v>4156</v>
      </c>
      <c r="J59" s="312">
        <v>453</v>
      </c>
      <c r="K59" s="312">
        <f t="shared" si="42"/>
        <v>-46</v>
      </c>
      <c r="L59" s="312">
        <f t="shared" si="42"/>
        <v>407</v>
      </c>
      <c r="M59" s="312">
        <v>239</v>
      </c>
      <c r="N59" s="312">
        <f t="shared" si="42"/>
        <v>0</v>
      </c>
      <c r="O59" s="312">
        <f t="shared" si="42"/>
        <v>239</v>
      </c>
      <c r="P59" s="312">
        <v>239</v>
      </c>
      <c r="Q59" s="312">
        <f t="shared" si="42"/>
        <v>29</v>
      </c>
      <c r="R59" s="312">
        <f t="shared" si="42"/>
        <v>268</v>
      </c>
    </row>
    <row r="60" spans="1:18" ht="15" customHeight="1">
      <c r="A60" s="311" t="s">
        <v>82</v>
      </c>
      <c r="B60" s="1091" t="s">
        <v>339</v>
      </c>
      <c r="C60" s="1092"/>
      <c r="D60" s="312">
        <f>+D59+D53+D50+D40+D37</f>
        <v>24031</v>
      </c>
      <c r="E60" s="312">
        <f t="shared" ref="E60:F60" si="43">+E59+E53+E50+E40+E37</f>
        <v>1501</v>
      </c>
      <c r="F60" s="312">
        <f t="shared" si="43"/>
        <v>25532</v>
      </c>
      <c r="G60" s="312">
        <v>19620</v>
      </c>
      <c r="H60" s="312">
        <f t="shared" ref="H60:R60" si="44">+H59+H53+H50+H40+H37</f>
        <v>1233</v>
      </c>
      <c r="I60" s="312">
        <f t="shared" si="44"/>
        <v>20853</v>
      </c>
      <c r="J60" s="312">
        <v>1158</v>
      </c>
      <c r="K60" s="312">
        <f t="shared" si="44"/>
        <v>-1</v>
      </c>
      <c r="L60" s="312">
        <f t="shared" si="44"/>
        <v>1157</v>
      </c>
      <c r="M60" s="312">
        <v>1781</v>
      </c>
      <c r="N60" s="312">
        <f t="shared" si="44"/>
        <v>-94</v>
      </c>
      <c r="O60" s="312">
        <f t="shared" si="44"/>
        <v>1687</v>
      </c>
      <c r="P60" s="312">
        <v>1472</v>
      </c>
      <c r="Q60" s="312">
        <f t="shared" si="44"/>
        <v>363</v>
      </c>
      <c r="R60" s="312">
        <f t="shared" si="44"/>
        <v>1835</v>
      </c>
    </row>
    <row r="61" spans="1:18" ht="15" customHeight="1">
      <c r="A61" s="253"/>
      <c r="B61" s="748"/>
      <c r="C61" s="748"/>
      <c r="D61" s="743"/>
      <c r="E61" s="743"/>
      <c r="F61" s="743"/>
      <c r="G61" s="744"/>
      <c r="H61" s="743"/>
      <c r="I61" s="745"/>
      <c r="J61" s="744"/>
      <c r="K61" s="743"/>
      <c r="L61" s="745"/>
      <c r="M61" s="744"/>
      <c r="N61" s="743"/>
      <c r="O61" s="745"/>
      <c r="P61" s="744"/>
      <c r="Q61" s="743"/>
      <c r="R61" s="745"/>
    </row>
    <row r="62" spans="1:18" ht="27" customHeight="1">
      <c r="A62" s="739" t="s">
        <v>102</v>
      </c>
      <c r="B62" s="1089" t="s">
        <v>818</v>
      </c>
      <c r="C62" s="1090"/>
      <c r="D62" s="310">
        <f>D63</f>
        <v>584</v>
      </c>
      <c r="E62" s="310">
        <f>E63</f>
        <v>0</v>
      </c>
      <c r="F62" s="310">
        <f>F63</f>
        <v>584</v>
      </c>
      <c r="G62" s="310">
        <v>584</v>
      </c>
      <c r="H62" s="310"/>
      <c r="I62" s="310">
        <f>SUM(G62:H62)</f>
        <v>584</v>
      </c>
      <c r="J62" s="312"/>
      <c r="K62" s="312"/>
      <c r="L62" s="312"/>
      <c r="M62" s="312"/>
      <c r="N62" s="312"/>
      <c r="O62" s="312"/>
      <c r="P62" s="312"/>
      <c r="Q62" s="312"/>
      <c r="R62" s="312"/>
    </row>
    <row r="63" spans="1:18" ht="26.4">
      <c r="A63" s="740" t="s">
        <v>102</v>
      </c>
      <c r="B63" s="748"/>
      <c r="C63" s="741" t="s">
        <v>820</v>
      </c>
      <c r="D63" s="310">
        <f>G63+J63+M63+P63</f>
        <v>584</v>
      </c>
      <c r="E63" s="310">
        <f>H63+K63+N63+Q63</f>
        <v>0</v>
      </c>
      <c r="F63" s="310">
        <f>SUM(D63:E63)</f>
        <v>584</v>
      </c>
      <c r="G63" s="310">
        <v>584</v>
      </c>
      <c r="H63" s="752"/>
      <c r="I63" s="752">
        <f>SUM(G63:H63)</f>
        <v>584</v>
      </c>
      <c r="J63" s="310"/>
      <c r="K63" s="310"/>
      <c r="L63" s="310"/>
      <c r="M63" s="310"/>
      <c r="N63" s="310"/>
      <c r="O63" s="310"/>
      <c r="P63" s="310"/>
      <c r="Q63" s="310"/>
      <c r="R63" s="310"/>
    </row>
    <row r="64" spans="1:18" ht="34.5" customHeight="1">
      <c r="A64" s="252" t="s">
        <v>108</v>
      </c>
      <c r="B64" s="1089" t="s">
        <v>165</v>
      </c>
      <c r="C64" s="1090"/>
      <c r="D64" s="310">
        <f>(((+G64+J64)+M64)+P64)</f>
        <v>18575</v>
      </c>
      <c r="E64" s="310">
        <f>(((+H64+K64)+N64)+Q64)+F67</f>
        <v>12</v>
      </c>
      <c r="F64" s="310">
        <f t="shared" ref="F64" si="45">(((+I64+L64)+O64)+R64)+G67</f>
        <v>18587</v>
      </c>
      <c r="G64" s="310">
        <v>12260</v>
      </c>
      <c r="H64" s="310">
        <v>12</v>
      </c>
      <c r="I64" s="310">
        <f t="shared" ref="I64" si="46">+G64+H64</f>
        <v>12272</v>
      </c>
      <c r="J64" s="310"/>
      <c r="K64" s="310"/>
      <c r="L64" s="310"/>
      <c r="M64" s="310"/>
      <c r="N64" s="310"/>
      <c r="O64" s="310"/>
      <c r="P64" s="310">
        <v>6315</v>
      </c>
      <c r="Q64" s="310"/>
      <c r="R64" s="310">
        <f>+P64+Q64</f>
        <v>6315</v>
      </c>
    </row>
    <row r="65" spans="1:18" ht="38.25" customHeight="1">
      <c r="A65" s="268" t="s">
        <v>108</v>
      </c>
      <c r="B65" s="258"/>
      <c r="C65" s="269" t="s">
        <v>105</v>
      </c>
      <c r="D65" s="310">
        <f>(((+G65+J65)+M65)+P65)</f>
        <v>18575</v>
      </c>
      <c r="E65" s="310">
        <f t="shared" ref="E65:F65" si="47">(((+H65+K65)+N65)+Q65)</f>
        <v>12</v>
      </c>
      <c r="F65" s="310">
        <f t="shared" si="47"/>
        <v>18587</v>
      </c>
      <c r="G65" s="310">
        <v>12260</v>
      </c>
      <c r="H65" s="310">
        <v>12</v>
      </c>
      <c r="I65" s="310">
        <f>+G65+H65</f>
        <v>12272</v>
      </c>
      <c r="J65" s="310"/>
      <c r="K65" s="310"/>
      <c r="L65" s="310"/>
      <c r="M65" s="310"/>
      <c r="N65" s="310"/>
      <c r="O65" s="310"/>
      <c r="P65" s="310">
        <v>6315</v>
      </c>
      <c r="Q65" s="310"/>
      <c r="R65" s="310">
        <f>+P65+Q65</f>
        <v>6315</v>
      </c>
    </row>
    <row r="66" spans="1:18" ht="15" customHeight="1">
      <c r="A66" s="311" t="s">
        <v>109</v>
      </c>
      <c r="B66" s="1091" t="s">
        <v>164</v>
      </c>
      <c r="C66" s="1092"/>
      <c r="D66" s="312">
        <f t="shared" ref="D66:E66" si="48">+D64+D62</f>
        <v>19159</v>
      </c>
      <c r="E66" s="312">
        <f t="shared" si="48"/>
        <v>12</v>
      </c>
      <c r="F66" s="312">
        <f>+F64+F62</f>
        <v>19171</v>
      </c>
      <c r="G66" s="312">
        <v>12844</v>
      </c>
      <c r="H66" s="312">
        <f t="shared" ref="H66:I66" si="49">+H62+H64</f>
        <v>12</v>
      </c>
      <c r="I66" s="312">
        <f t="shared" si="49"/>
        <v>12856</v>
      </c>
      <c r="J66" s="312">
        <v>0</v>
      </c>
      <c r="K66" s="312">
        <f t="shared" ref="K66:R66" si="50">+K64</f>
        <v>0</v>
      </c>
      <c r="L66" s="312">
        <f t="shared" si="50"/>
        <v>0</v>
      </c>
      <c r="M66" s="312">
        <v>0</v>
      </c>
      <c r="N66" s="312">
        <f t="shared" si="50"/>
        <v>0</v>
      </c>
      <c r="O66" s="312">
        <f t="shared" si="50"/>
        <v>0</v>
      </c>
      <c r="P66" s="312">
        <v>6315</v>
      </c>
      <c r="Q66" s="312">
        <f t="shared" si="50"/>
        <v>0</v>
      </c>
      <c r="R66" s="312">
        <f t="shared" si="50"/>
        <v>6315</v>
      </c>
    </row>
    <row r="67" spans="1:18" ht="27.75" customHeight="1">
      <c r="A67" s="270"/>
      <c r="B67" s="271"/>
      <c r="C67" s="271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</row>
    <row r="68" spans="1:18" ht="21.75" customHeight="1">
      <c r="A68" s="273"/>
      <c r="B68" s="274"/>
      <c r="C68" s="274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</row>
    <row r="69" spans="1:18" ht="15" customHeight="1">
      <c r="A69" s="252" t="s">
        <v>111</v>
      </c>
      <c r="B69" s="1089" t="s">
        <v>110</v>
      </c>
      <c r="C69" s="1090"/>
      <c r="D69" s="310">
        <f>+G69+J69+M69+P69</f>
        <v>0</v>
      </c>
      <c r="E69" s="310">
        <f t="shared" ref="E69:F76" si="51">+H69+K69+N69+Q69</f>
        <v>0</v>
      </c>
      <c r="F69" s="310">
        <f t="shared" si="51"/>
        <v>0</v>
      </c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</row>
    <row r="70" spans="1:18" ht="15" customHeight="1">
      <c r="A70" s="252" t="s">
        <v>112</v>
      </c>
      <c r="B70" s="1089" t="s">
        <v>448</v>
      </c>
      <c r="C70" s="1090"/>
      <c r="D70" s="310">
        <f t="shared" ref="D70:D76" si="52">+G70+J70+M70+P70</f>
        <v>0</v>
      </c>
      <c r="E70" s="310">
        <f t="shared" si="51"/>
        <v>0</v>
      </c>
      <c r="F70" s="310">
        <f t="shared" si="51"/>
        <v>0</v>
      </c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</row>
    <row r="71" spans="1:18" ht="25.5" customHeight="1">
      <c r="A71" s="257" t="s">
        <v>112</v>
      </c>
      <c r="B71" s="258"/>
      <c r="C71" s="269" t="s">
        <v>113</v>
      </c>
      <c r="D71" s="310">
        <f t="shared" si="52"/>
        <v>0</v>
      </c>
      <c r="E71" s="310">
        <f t="shared" si="51"/>
        <v>0</v>
      </c>
      <c r="F71" s="310">
        <f t="shared" si="51"/>
        <v>0</v>
      </c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</row>
    <row r="72" spans="1:18" ht="15" customHeight="1">
      <c r="A72" s="252" t="s">
        <v>115</v>
      </c>
      <c r="B72" s="1089" t="s">
        <v>114</v>
      </c>
      <c r="C72" s="1090"/>
      <c r="D72" s="310">
        <v>0</v>
      </c>
      <c r="E72" s="310">
        <f t="shared" si="51"/>
        <v>827</v>
      </c>
      <c r="F72" s="310">
        <v>827</v>
      </c>
      <c r="G72" s="310"/>
      <c r="H72" s="310">
        <v>827</v>
      </c>
      <c r="I72" s="310"/>
      <c r="J72" s="310">
        <v>827</v>
      </c>
      <c r="K72" s="310"/>
      <c r="L72" s="310"/>
      <c r="M72" s="310"/>
      <c r="N72" s="310"/>
      <c r="O72" s="310"/>
      <c r="P72" s="310"/>
      <c r="Q72" s="310"/>
      <c r="R72" s="310"/>
    </row>
    <row r="73" spans="1:18" ht="15" customHeight="1">
      <c r="A73" s="252" t="s">
        <v>117</v>
      </c>
      <c r="B73" s="1089" t="s">
        <v>116</v>
      </c>
      <c r="C73" s="1090"/>
      <c r="D73" s="310">
        <f t="shared" si="52"/>
        <v>2519</v>
      </c>
      <c r="E73" s="310">
        <f t="shared" si="51"/>
        <v>-55</v>
      </c>
      <c r="F73" s="310">
        <f t="shared" si="51"/>
        <v>2464</v>
      </c>
      <c r="G73" s="310">
        <v>1653</v>
      </c>
      <c r="H73" s="310">
        <v>-149</v>
      </c>
      <c r="I73" s="310">
        <f t="shared" ref="I73" si="53">+G73+H73</f>
        <v>1504</v>
      </c>
      <c r="J73" s="310">
        <v>866</v>
      </c>
      <c r="K73" s="310"/>
      <c r="L73" s="310">
        <f>SUM(J73:K73)</f>
        <v>866</v>
      </c>
      <c r="M73" s="310"/>
      <c r="N73" s="310">
        <v>94</v>
      </c>
      <c r="O73" s="310">
        <v>94</v>
      </c>
      <c r="P73" s="310"/>
      <c r="Q73" s="310"/>
      <c r="R73" s="310"/>
    </row>
    <row r="74" spans="1:18" ht="15" customHeight="1">
      <c r="A74" s="252" t="s">
        <v>119</v>
      </c>
      <c r="B74" s="1089" t="s">
        <v>118</v>
      </c>
      <c r="C74" s="1090"/>
      <c r="D74" s="310">
        <f t="shared" si="52"/>
        <v>0</v>
      </c>
      <c r="E74" s="310">
        <f t="shared" si="51"/>
        <v>0</v>
      </c>
      <c r="F74" s="310">
        <f t="shared" si="51"/>
        <v>0</v>
      </c>
      <c r="G74" s="310"/>
      <c r="H74" s="310"/>
      <c r="I74" s="310"/>
      <c r="J74" s="310">
        <v>0</v>
      </c>
      <c r="K74" s="310"/>
      <c r="L74" s="310">
        <f t="shared" ref="L74:L75" si="54">SUM(K74)</f>
        <v>0</v>
      </c>
      <c r="M74" s="310"/>
      <c r="N74" s="310"/>
      <c r="O74" s="310"/>
      <c r="P74" s="310"/>
      <c r="Q74" s="310"/>
      <c r="R74" s="310"/>
    </row>
    <row r="75" spans="1:18" ht="15" customHeight="1">
      <c r="A75" s="252" t="s">
        <v>121</v>
      </c>
      <c r="B75" s="1089" t="s">
        <v>120</v>
      </c>
      <c r="C75" s="1090"/>
      <c r="D75" s="310">
        <f t="shared" si="52"/>
        <v>0</v>
      </c>
      <c r="E75" s="310">
        <f t="shared" si="51"/>
        <v>0</v>
      </c>
      <c r="F75" s="310">
        <f t="shared" si="51"/>
        <v>0</v>
      </c>
      <c r="G75" s="310"/>
      <c r="H75" s="310"/>
      <c r="I75" s="310"/>
      <c r="J75" s="310">
        <v>0</v>
      </c>
      <c r="K75" s="310"/>
      <c r="L75" s="310">
        <f t="shared" si="54"/>
        <v>0</v>
      </c>
      <c r="M75" s="310"/>
      <c r="N75" s="310"/>
      <c r="O75" s="310"/>
      <c r="P75" s="310"/>
      <c r="Q75" s="310"/>
      <c r="R75" s="310"/>
    </row>
    <row r="76" spans="1:18" ht="15" customHeight="1">
      <c r="A76" s="252" t="s">
        <v>123</v>
      </c>
      <c r="B76" s="1089" t="s">
        <v>122</v>
      </c>
      <c r="C76" s="1090"/>
      <c r="D76" s="310">
        <f t="shared" si="52"/>
        <v>681</v>
      </c>
      <c r="E76" s="310">
        <f t="shared" si="51"/>
        <v>182</v>
      </c>
      <c r="F76" s="310">
        <f t="shared" si="51"/>
        <v>863</v>
      </c>
      <c r="G76" s="310">
        <v>447</v>
      </c>
      <c r="H76" s="310">
        <v>182</v>
      </c>
      <c r="I76" s="310">
        <f t="shared" ref="I76" si="55">+G76+H76</f>
        <v>629</v>
      </c>
      <c r="J76" s="310">
        <v>234</v>
      </c>
      <c r="K76" s="310"/>
      <c r="L76" s="310">
        <f>SUM(J76:K76)</f>
        <v>234</v>
      </c>
      <c r="M76" s="310"/>
      <c r="N76" s="310"/>
      <c r="O76" s="310"/>
      <c r="P76" s="310"/>
      <c r="Q76" s="310"/>
      <c r="R76" s="310"/>
    </row>
    <row r="77" spans="1:18" ht="15" customHeight="1">
      <c r="A77" s="311" t="s">
        <v>124</v>
      </c>
      <c r="B77" s="1091" t="s">
        <v>162</v>
      </c>
      <c r="C77" s="1092"/>
      <c r="D77" s="312">
        <f>SUM(D69:D76)</f>
        <v>3200</v>
      </c>
      <c r="E77" s="312">
        <f t="shared" ref="E77:R77" si="56">SUM(E69:E76)</f>
        <v>954</v>
      </c>
      <c r="F77" s="312">
        <f t="shared" si="56"/>
        <v>4154</v>
      </c>
      <c r="G77" s="312">
        <v>2100</v>
      </c>
      <c r="H77" s="312">
        <f>SUM(H69:H76)</f>
        <v>860</v>
      </c>
      <c r="I77" s="312">
        <f t="shared" si="56"/>
        <v>2133</v>
      </c>
      <c r="J77" s="312">
        <v>1100</v>
      </c>
      <c r="K77" s="312">
        <f t="shared" si="56"/>
        <v>0</v>
      </c>
      <c r="L77" s="312">
        <f t="shared" si="56"/>
        <v>1100</v>
      </c>
      <c r="M77" s="312">
        <v>0</v>
      </c>
      <c r="N77" s="312">
        <f t="shared" si="56"/>
        <v>94</v>
      </c>
      <c r="O77" s="312">
        <f t="shared" si="56"/>
        <v>94</v>
      </c>
      <c r="P77" s="312">
        <v>0</v>
      </c>
      <c r="Q77" s="312">
        <f t="shared" si="56"/>
        <v>0</v>
      </c>
      <c r="R77" s="312">
        <f t="shared" si="56"/>
        <v>0</v>
      </c>
    </row>
    <row r="78" spans="1:18">
      <c r="A78" s="253"/>
      <c r="B78" s="747"/>
      <c r="C78" s="747"/>
      <c r="D78" s="254"/>
      <c r="E78" s="254"/>
      <c r="F78" s="254"/>
      <c r="G78" s="256"/>
      <c r="H78" s="254"/>
      <c r="I78" s="255"/>
      <c r="J78" s="256"/>
      <c r="K78" s="254"/>
      <c r="L78" s="255"/>
      <c r="M78" s="256"/>
      <c r="N78" s="254"/>
      <c r="O78" s="255"/>
      <c r="P78" s="256"/>
      <c r="Q78" s="254"/>
      <c r="R78" s="255"/>
    </row>
    <row r="79" spans="1:18" ht="15" customHeight="1">
      <c r="A79" s="252" t="s">
        <v>126</v>
      </c>
      <c r="B79" s="1089" t="s">
        <v>125</v>
      </c>
      <c r="C79" s="1090"/>
      <c r="D79" s="310">
        <f>(((+G79+J79)+M79)+P79)</f>
        <v>0</v>
      </c>
      <c r="E79" s="310">
        <f t="shared" ref="E79:F82" si="57">(((+H79+K79)+N79)+Q79)</f>
        <v>0</v>
      </c>
      <c r="F79" s="310">
        <f t="shared" si="57"/>
        <v>0</v>
      </c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</row>
    <row r="80" spans="1:18" ht="15" customHeight="1">
      <c r="A80" s="252" t="s">
        <v>128</v>
      </c>
      <c r="B80" s="1089" t="s">
        <v>127</v>
      </c>
      <c r="C80" s="1090"/>
      <c r="D80" s="310">
        <f t="shared" ref="D80:D82" si="58">(((+G80+J80)+M80)+P80)</f>
        <v>0</v>
      </c>
      <c r="E80" s="310">
        <f t="shared" si="57"/>
        <v>0</v>
      </c>
      <c r="F80" s="310">
        <f t="shared" si="57"/>
        <v>0</v>
      </c>
      <c r="G80" s="310"/>
      <c r="H80" s="310"/>
      <c r="I80" s="310"/>
      <c r="J80" s="310"/>
      <c r="K80" s="310"/>
      <c r="L80" s="310"/>
      <c r="M80" s="310"/>
      <c r="N80" s="310"/>
      <c r="O80" s="310"/>
      <c r="P80" s="310"/>
      <c r="Q80" s="310"/>
      <c r="R80" s="310"/>
    </row>
    <row r="81" spans="1:18" ht="15" customHeight="1">
      <c r="A81" s="252" t="s">
        <v>130</v>
      </c>
      <c r="B81" s="1089" t="s">
        <v>449</v>
      </c>
      <c r="C81" s="1090"/>
      <c r="D81" s="310">
        <f t="shared" si="58"/>
        <v>0</v>
      </c>
      <c r="E81" s="310">
        <f t="shared" si="57"/>
        <v>0</v>
      </c>
      <c r="F81" s="310">
        <f t="shared" si="57"/>
        <v>0</v>
      </c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</row>
    <row r="82" spans="1:18" ht="15" customHeight="1">
      <c r="A82" s="252" t="s">
        <v>132</v>
      </c>
      <c r="B82" s="1089" t="s">
        <v>131</v>
      </c>
      <c r="C82" s="1090"/>
      <c r="D82" s="310">
        <f t="shared" si="58"/>
        <v>0</v>
      </c>
      <c r="E82" s="310">
        <f t="shared" si="57"/>
        <v>0</v>
      </c>
      <c r="F82" s="310">
        <f t="shared" si="57"/>
        <v>0</v>
      </c>
      <c r="G82" s="310"/>
      <c r="H82" s="310"/>
      <c r="I82" s="310"/>
      <c r="J82" s="310"/>
      <c r="K82" s="310"/>
      <c r="L82" s="310"/>
      <c r="M82" s="310"/>
      <c r="N82" s="310"/>
      <c r="O82" s="310"/>
      <c r="P82" s="310"/>
      <c r="Q82" s="310"/>
      <c r="R82" s="310"/>
    </row>
    <row r="83" spans="1:18" ht="15" customHeight="1">
      <c r="A83" s="311" t="s">
        <v>133</v>
      </c>
      <c r="B83" s="1091" t="s">
        <v>310</v>
      </c>
      <c r="C83" s="1092"/>
      <c r="D83" s="312">
        <f t="shared" ref="D83:R83" si="59">SUM(D79:D82)</f>
        <v>0</v>
      </c>
      <c r="E83" s="312">
        <f t="shared" ref="E83:F83" si="60">SUM(E79:E82)</f>
        <v>0</v>
      </c>
      <c r="F83" s="312">
        <f t="shared" si="60"/>
        <v>0</v>
      </c>
      <c r="G83" s="312">
        <v>0</v>
      </c>
      <c r="H83" s="312">
        <f t="shared" si="59"/>
        <v>0</v>
      </c>
      <c r="I83" s="312">
        <f t="shared" si="59"/>
        <v>0</v>
      </c>
      <c r="J83" s="312">
        <v>0</v>
      </c>
      <c r="K83" s="312">
        <f t="shared" si="59"/>
        <v>0</v>
      </c>
      <c r="L83" s="312">
        <f t="shared" si="59"/>
        <v>0</v>
      </c>
      <c r="M83" s="312">
        <v>0</v>
      </c>
      <c r="N83" s="312">
        <f t="shared" si="59"/>
        <v>0</v>
      </c>
      <c r="O83" s="312">
        <f t="shared" si="59"/>
        <v>0</v>
      </c>
      <c r="P83" s="312">
        <v>0</v>
      </c>
      <c r="Q83" s="312">
        <f t="shared" si="59"/>
        <v>0</v>
      </c>
      <c r="R83" s="312">
        <f t="shared" si="59"/>
        <v>0</v>
      </c>
    </row>
    <row r="84" spans="1:18">
      <c r="A84" s="253"/>
      <c r="B84" s="748"/>
      <c r="C84" s="748"/>
      <c r="D84" s="254"/>
      <c r="E84" s="254"/>
      <c r="F84" s="254"/>
      <c r="G84" s="256"/>
      <c r="H84" s="254"/>
      <c r="I84" s="255"/>
      <c r="J84" s="256"/>
      <c r="K84" s="254"/>
      <c r="L84" s="255"/>
      <c r="M84" s="256"/>
      <c r="N84" s="254"/>
      <c r="O84" s="255"/>
      <c r="P84" s="256"/>
      <c r="Q84" s="254"/>
      <c r="R84" s="255"/>
    </row>
    <row r="85" spans="1:18" ht="15" customHeight="1">
      <c r="A85" s="311" t="s">
        <v>135</v>
      </c>
      <c r="B85" s="1091" t="s">
        <v>159</v>
      </c>
      <c r="C85" s="1092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</row>
    <row r="86" spans="1:18" ht="15.75" customHeight="1" thickBot="1">
      <c r="A86" s="275"/>
      <c r="B86" s="276"/>
      <c r="C86" s="276"/>
      <c r="D86" s="277"/>
      <c r="E86" s="277"/>
      <c r="F86" s="277"/>
      <c r="G86" s="279"/>
      <c r="H86" s="277"/>
      <c r="I86" s="278"/>
      <c r="J86" s="279"/>
      <c r="K86" s="277"/>
      <c r="L86" s="278"/>
      <c r="M86" s="279"/>
      <c r="N86" s="277"/>
      <c r="O86" s="278"/>
      <c r="P86" s="279"/>
      <c r="Q86" s="277"/>
      <c r="R86" s="278"/>
    </row>
    <row r="87" spans="1:18" ht="15.75" customHeight="1" thickBot="1">
      <c r="A87" s="280" t="s">
        <v>136</v>
      </c>
      <c r="B87" s="1086" t="s">
        <v>450</v>
      </c>
      <c r="C87" s="1087"/>
      <c r="D87" s="281">
        <f>+D85+D83+D77+D66+D60+D26+D24</f>
        <v>68008</v>
      </c>
      <c r="E87" s="281">
        <f t="shared" ref="E87:R87" si="61">+E85+E83+E77+E66+E60+E26+E24</f>
        <v>5228</v>
      </c>
      <c r="F87" s="281">
        <f t="shared" si="61"/>
        <v>73236</v>
      </c>
      <c r="G87" s="281">
        <v>46768</v>
      </c>
      <c r="H87" s="281">
        <f>+H85+H83+H77+H66+H60+H26+H24</f>
        <v>4323</v>
      </c>
      <c r="I87" s="281">
        <f t="shared" si="61"/>
        <v>50264</v>
      </c>
      <c r="J87" s="281">
        <v>7297</v>
      </c>
      <c r="K87" s="281">
        <f t="shared" si="61"/>
        <v>276</v>
      </c>
      <c r="L87" s="281">
        <f t="shared" si="61"/>
        <v>7573</v>
      </c>
      <c r="M87" s="281">
        <v>4156</v>
      </c>
      <c r="N87" s="281">
        <f t="shared" si="61"/>
        <v>126</v>
      </c>
      <c r="O87" s="281">
        <f t="shared" si="61"/>
        <v>4282</v>
      </c>
      <c r="P87" s="281">
        <v>9787</v>
      </c>
      <c r="Q87" s="281">
        <f t="shared" si="61"/>
        <v>503</v>
      </c>
      <c r="R87" s="281">
        <f t="shared" si="61"/>
        <v>10290</v>
      </c>
    </row>
  </sheetData>
  <mergeCells count="76">
    <mergeCell ref="B11:C11"/>
    <mergeCell ref="A2:A4"/>
    <mergeCell ref="B87:C87"/>
    <mergeCell ref="B40:C40"/>
    <mergeCell ref="B20:C20"/>
    <mergeCell ref="B16:C16"/>
    <mergeCell ref="B55:C55"/>
    <mergeCell ref="B56:C56"/>
    <mergeCell ref="B45:C45"/>
    <mergeCell ref="B62:C62"/>
    <mergeCell ref="B57:C57"/>
    <mergeCell ref="B64:C64"/>
    <mergeCell ref="B77:C77"/>
    <mergeCell ref="B70:C70"/>
    <mergeCell ref="B66:C66"/>
    <mergeCell ref="B69:C69"/>
    <mergeCell ref="J2:L2"/>
    <mergeCell ref="G3:I3"/>
    <mergeCell ref="M2:O2"/>
    <mergeCell ref="P2:R2"/>
    <mergeCell ref="J3:L3"/>
    <mergeCell ref="M3:O3"/>
    <mergeCell ref="P3:R3"/>
    <mergeCell ref="B35:C35"/>
    <mergeCell ref="B36:C36"/>
    <mergeCell ref="B37:C37"/>
    <mergeCell ref="B38:C38"/>
    <mergeCell ref="G2:I2"/>
    <mergeCell ref="D2:F3"/>
    <mergeCell ref="B2:C4"/>
    <mergeCell ref="B5:C5"/>
    <mergeCell ref="B17:C17"/>
    <mergeCell ref="B9:C9"/>
    <mergeCell ref="B6:C6"/>
    <mergeCell ref="B7:C7"/>
    <mergeCell ref="B8:C8"/>
    <mergeCell ref="B12:C12"/>
    <mergeCell ref="B13:C13"/>
    <mergeCell ref="B10:C10"/>
    <mergeCell ref="B85:C85"/>
    <mergeCell ref="B58:C58"/>
    <mergeCell ref="B59:C59"/>
    <mergeCell ref="B75:C75"/>
    <mergeCell ref="B60:C60"/>
    <mergeCell ref="B83:C83"/>
    <mergeCell ref="B79:C79"/>
    <mergeCell ref="B81:C81"/>
    <mergeCell ref="B72:C72"/>
    <mergeCell ref="B74:C74"/>
    <mergeCell ref="B73:C73"/>
    <mergeCell ref="B80:C80"/>
    <mergeCell ref="B82:C82"/>
    <mergeCell ref="B76:C76"/>
    <mergeCell ref="B48:C48"/>
    <mergeCell ref="B49:C49"/>
    <mergeCell ref="B50:C50"/>
    <mergeCell ref="B53:C53"/>
    <mergeCell ref="B54:C54"/>
    <mergeCell ref="B52:C52"/>
    <mergeCell ref="B51:C51"/>
    <mergeCell ref="P1:R1"/>
    <mergeCell ref="B41:C41"/>
    <mergeCell ref="B42:C42"/>
    <mergeCell ref="B43:C43"/>
    <mergeCell ref="B44:C44"/>
    <mergeCell ref="B22:C22"/>
    <mergeCell ref="B26:C26"/>
    <mergeCell ref="B21:C21"/>
    <mergeCell ref="B23:C23"/>
    <mergeCell ref="B14:C14"/>
    <mergeCell ref="B15:C15"/>
    <mergeCell ref="B24:C24"/>
    <mergeCell ref="B18:C18"/>
    <mergeCell ref="B19:C19"/>
    <mergeCell ref="B34:C34"/>
    <mergeCell ref="B39:C39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fitToHeight="2" orientation="portrait" cellComments="asDisplayed" r:id="rId1"/>
  <headerFooter>
    <oddHeader>&amp;C&amp;"Times New Roman,Félkövér"&amp;12Martonvásár Város Önkormányzatának kiadásai 2016.
Brunszvik-Beehtoven Kulturális Központ&amp;R&amp;"Times New Roman,Félkövér"&amp;12 6.c melléklet</oddHeader>
  </headerFooter>
  <rowBreaks count="1" manualBreakCount="1">
    <brk id="6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8"/>
  <sheetViews>
    <sheetView tabSelected="1" topLeftCell="A60" workbookViewId="0">
      <selection activeCell="G54" sqref="G54"/>
    </sheetView>
  </sheetViews>
  <sheetFormatPr defaultColWidth="9.109375" defaultRowHeight="13.2"/>
  <cols>
    <col min="1" max="1" width="6.88671875" style="235" customWidth="1"/>
    <col min="2" max="2" width="50.109375" style="235" customWidth="1"/>
    <col min="3" max="3" width="10.44140625" style="235" customWidth="1"/>
    <col min="4" max="4" width="9.5546875" style="237" bestFit="1" customWidth="1"/>
    <col min="5" max="5" width="10.33203125" style="237" customWidth="1"/>
    <col min="6" max="16384" width="9.109375" style="235"/>
  </cols>
  <sheetData>
    <row r="1" spans="1:5" ht="14.25" customHeight="1">
      <c r="B1" s="236"/>
    </row>
    <row r="2" spans="1:5" s="236" customFormat="1" ht="39.6">
      <c r="A2" s="230" t="s">
        <v>345</v>
      </c>
      <c r="B2" s="230" t="s">
        <v>346</v>
      </c>
      <c r="C2" s="230" t="s">
        <v>874</v>
      </c>
      <c r="D2" s="230" t="s">
        <v>732</v>
      </c>
      <c r="E2" s="230" t="s">
        <v>951</v>
      </c>
    </row>
    <row r="3" spans="1:5">
      <c r="A3" s="239">
        <v>1</v>
      </c>
      <c r="B3" s="238"/>
      <c r="C3" s="238"/>
      <c r="D3" s="240"/>
      <c r="E3" s="240"/>
    </row>
    <row r="4" spans="1:5" ht="12.75" customHeight="1">
      <c r="A4" s="239">
        <v>2</v>
      </c>
      <c r="B4" s="232"/>
      <c r="C4" s="191"/>
      <c r="D4" s="191"/>
      <c r="E4" s="191"/>
    </row>
    <row r="5" spans="1:5" s="241" customFormat="1" ht="12.75" customHeight="1">
      <c r="A5" s="808">
        <v>3</v>
      </c>
      <c r="B5" s="231" t="s">
        <v>432</v>
      </c>
      <c r="C5" s="233"/>
      <c r="D5" s="233"/>
      <c r="E5" s="233"/>
    </row>
    <row r="6" spans="1:5" ht="12.75" customHeight="1">
      <c r="A6" s="239">
        <v>4</v>
      </c>
      <c r="B6" s="189"/>
      <c r="C6" s="188"/>
      <c r="D6" s="192"/>
      <c r="E6" s="192"/>
    </row>
    <row r="7" spans="1:5" s="241" customFormat="1" ht="12.75" customHeight="1">
      <c r="A7" s="808">
        <v>5</v>
      </c>
      <c r="B7" s="242" t="s">
        <v>347</v>
      </c>
      <c r="C7" s="233"/>
      <c r="D7" s="233"/>
      <c r="E7" s="233"/>
    </row>
    <row r="8" spans="1:5" s="241" customFormat="1" ht="12.75" customHeight="1" thickBot="1">
      <c r="A8" s="239">
        <v>6</v>
      </c>
      <c r="B8" s="508"/>
      <c r="C8" s="509"/>
      <c r="D8" s="509"/>
      <c r="E8" s="509"/>
    </row>
    <row r="9" spans="1:5" ht="12.75" customHeight="1" thickBot="1">
      <c r="A9" s="807">
        <v>7</v>
      </c>
      <c r="B9" s="505" t="s">
        <v>431</v>
      </c>
      <c r="C9" s="512"/>
      <c r="D9" s="507"/>
      <c r="E9" s="507"/>
    </row>
    <row r="10" spans="1:5" ht="12.75" customHeight="1">
      <c r="A10" s="239">
        <v>8</v>
      </c>
      <c r="B10" s="809"/>
      <c r="C10" s="510"/>
      <c r="D10" s="511"/>
      <c r="E10" s="511"/>
    </row>
    <row r="11" spans="1:5" ht="12.75" customHeight="1">
      <c r="A11" s="808">
        <v>9</v>
      </c>
      <c r="B11" s="242" t="s">
        <v>348</v>
      </c>
      <c r="C11" s="191">
        <v>180092</v>
      </c>
      <c r="D11" s="191"/>
      <c r="E11" s="191">
        <f t="shared" ref="E11" si="0">+SUM(E12:E70)</f>
        <v>194554</v>
      </c>
    </row>
    <row r="12" spans="1:5" ht="12.75" customHeight="1">
      <c r="A12" s="239">
        <v>10</v>
      </c>
      <c r="B12" s="499" t="s">
        <v>604</v>
      </c>
      <c r="C12" s="806">
        <v>320</v>
      </c>
      <c r="D12" s="192">
        <v>-10</v>
      </c>
      <c r="E12" s="192">
        <f>+C12+D12</f>
        <v>310</v>
      </c>
    </row>
    <row r="13" spans="1:5" ht="12.75" customHeight="1">
      <c r="A13" s="239">
        <v>11</v>
      </c>
      <c r="B13" s="499" t="s">
        <v>842</v>
      </c>
      <c r="C13" s="806">
        <v>953</v>
      </c>
      <c r="D13" s="192"/>
      <c r="E13" s="192">
        <f t="shared" ref="E13:E53" si="1">+C13+D13</f>
        <v>953</v>
      </c>
    </row>
    <row r="14" spans="1:5" ht="12.75" customHeight="1">
      <c r="A14" s="239">
        <v>12</v>
      </c>
      <c r="B14" s="499" t="s">
        <v>843</v>
      </c>
      <c r="C14" s="806">
        <v>1270</v>
      </c>
      <c r="D14" s="192"/>
      <c r="E14" s="192">
        <f t="shared" si="1"/>
        <v>1270</v>
      </c>
    </row>
    <row r="15" spans="1:5" ht="12.75" customHeight="1">
      <c r="A15" s="239">
        <v>13</v>
      </c>
      <c r="B15" s="499" t="s">
        <v>844</v>
      </c>
      <c r="C15" s="806">
        <v>2159</v>
      </c>
      <c r="D15" s="192"/>
      <c r="E15" s="192">
        <f t="shared" si="1"/>
        <v>2159</v>
      </c>
    </row>
    <row r="16" spans="1:5" ht="12.75" customHeight="1">
      <c r="A16" s="239">
        <v>14</v>
      </c>
      <c r="B16" s="499" t="s">
        <v>774</v>
      </c>
      <c r="C16" s="806">
        <v>1499</v>
      </c>
      <c r="D16" s="192"/>
      <c r="E16" s="192">
        <f t="shared" si="1"/>
        <v>1499</v>
      </c>
    </row>
    <row r="17" spans="1:5" ht="12.75" customHeight="1">
      <c r="A17" s="239">
        <v>15</v>
      </c>
      <c r="B17" s="499" t="s">
        <v>775</v>
      </c>
      <c r="C17" s="806">
        <v>1499</v>
      </c>
      <c r="D17" s="192"/>
      <c r="E17" s="192">
        <f t="shared" si="1"/>
        <v>1499</v>
      </c>
    </row>
    <row r="18" spans="1:5" ht="12.75" customHeight="1">
      <c r="A18" s="239">
        <v>16</v>
      </c>
      <c r="B18" s="499" t="s">
        <v>776</v>
      </c>
      <c r="C18" s="806">
        <v>3175</v>
      </c>
      <c r="D18" s="192"/>
      <c r="E18" s="192">
        <f t="shared" si="1"/>
        <v>3175</v>
      </c>
    </row>
    <row r="19" spans="1:5" ht="12.75" customHeight="1">
      <c r="A19" s="239">
        <v>17</v>
      </c>
      <c r="B19" s="499" t="s">
        <v>777</v>
      </c>
      <c r="C19" s="806">
        <v>6750</v>
      </c>
      <c r="D19" s="192"/>
      <c r="E19" s="192">
        <f t="shared" si="1"/>
        <v>6750</v>
      </c>
    </row>
    <row r="20" spans="1:5" ht="12.75" customHeight="1">
      <c r="A20" s="239">
        <v>18</v>
      </c>
      <c r="B20" s="499" t="s">
        <v>778</v>
      </c>
      <c r="C20" s="806">
        <v>32604</v>
      </c>
      <c r="D20" s="192"/>
      <c r="E20" s="192">
        <f t="shared" si="1"/>
        <v>32604</v>
      </c>
    </row>
    <row r="21" spans="1:5" ht="12.75" customHeight="1">
      <c r="A21" s="239">
        <v>19</v>
      </c>
      <c r="B21" s="499" t="s">
        <v>845</v>
      </c>
      <c r="C21" s="806">
        <v>152</v>
      </c>
      <c r="D21" s="192"/>
      <c r="E21" s="192">
        <f t="shared" si="1"/>
        <v>152</v>
      </c>
    </row>
    <row r="22" spans="1:5" ht="12.75" customHeight="1">
      <c r="A22" s="239">
        <v>20</v>
      </c>
      <c r="B22" s="499" t="s">
        <v>846</v>
      </c>
      <c r="C22" s="806">
        <v>381</v>
      </c>
      <c r="D22" s="192"/>
      <c r="E22" s="192">
        <f t="shared" si="1"/>
        <v>381</v>
      </c>
    </row>
    <row r="23" spans="1:5" ht="12.75" customHeight="1">
      <c r="A23" s="239">
        <v>21</v>
      </c>
      <c r="B23" s="499" t="s">
        <v>847</v>
      </c>
      <c r="C23" s="806">
        <v>15000</v>
      </c>
      <c r="D23" s="192"/>
      <c r="E23" s="192">
        <f t="shared" si="1"/>
        <v>15000</v>
      </c>
    </row>
    <row r="24" spans="1:5" ht="12.75" customHeight="1">
      <c r="A24" s="239">
        <v>22</v>
      </c>
      <c r="B24" s="499" t="s">
        <v>848</v>
      </c>
      <c r="C24" s="806">
        <v>665</v>
      </c>
      <c r="D24" s="192"/>
      <c r="E24" s="192">
        <f t="shared" si="1"/>
        <v>665</v>
      </c>
    </row>
    <row r="25" spans="1:5" ht="12.75" customHeight="1">
      <c r="A25" s="239">
        <v>23</v>
      </c>
      <c r="B25" s="499" t="s">
        <v>773</v>
      </c>
      <c r="C25" s="806">
        <v>100</v>
      </c>
      <c r="D25" s="192"/>
      <c r="E25" s="192">
        <f t="shared" si="1"/>
        <v>100</v>
      </c>
    </row>
    <row r="26" spans="1:5" ht="12.75" customHeight="1">
      <c r="A26" s="239">
        <v>24</v>
      </c>
      <c r="B26" s="499" t="s">
        <v>849</v>
      </c>
      <c r="C26" s="806">
        <v>1346</v>
      </c>
      <c r="D26" s="192"/>
      <c r="E26" s="192">
        <f t="shared" si="1"/>
        <v>1346</v>
      </c>
    </row>
    <row r="27" spans="1:5" ht="12.75" customHeight="1">
      <c r="A27" s="239">
        <v>25</v>
      </c>
      <c r="B27" s="499" t="s">
        <v>850</v>
      </c>
      <c r="C27" s="806">
        <v>53</v>
      </c>
      <c r="D27" s="192">
        <v>-53</v>
      </c>
      <c r="E27" s="192">
        <f t="shared" si="1"/>
        <v>0</v>
      </c>
    </row>
    <row r="28" spans="1:5" ht="12.75" customHeight="1">
      <c r="A28" s="239">
        <v>26</v>
      </c>
      <c r="B28" s="499" t="s">
        <v>851</v>
      </c>
      <c r="C28" s="806">
        <v>279</v>
      </c>
      <c r="D28" s="192">
        <v>-279</v>
      </c>
      <c r="E28" s="192">
        <f t="shared" si="1"/>
        <v>0</v>
      </c>
    </row>
    <row r="29" spans="1:5" ht="12.75" customHeight="1">
      <c r="A29" s="239">
        <v>27</v>
      </c>
      <c r="B29" s="499" t="s">
        <v>852</v>
      </c>
      <c r="C29" s="806">
        <v>300</v>
      </c>
      <c r="D29" s="192"/>
      <c r="E29" s="192">
        <f t="shared" si="1"/>
        <v>300</v>
      </c>
    </row>
    <row r="30" spans="1:5" ht="12.75" customHeight="1">
      <c r="A30" s="239">
        <v>28</v>
      </c>
      <c r="B30" s="499" t="s">
        <v>853</v>
      </c>
      <c r="C30" s="806">
        <v>1600</v>
      </c>
      <c r="D30" s="192"/>
      <c r="E30" s="192">
        <f t="shared" si="1"/>
        <v>1600</v>
      </c>
    </row>
    <row r="31" spans="1:5" ht="12.75" customHeight="1">
      <c r="A31" s="239">
        <v>29</v>
      </c>
      <c r="B31" s="499" t="s">
        <v>854</v>
      </c>
      <c r="C31" s="806">
        <v>3000</v>
      </c>
      <c r="D31" s="192"/>
      <c r="E31" s="192">
        <f t="shared" si="1"/>
        <v>3000</v>
      </c>
    </row>
    <row r="32" spans="1:5" ht="12.75" customHeight="1">
      <c r="A32" s="239">
        <v>30</v>
      </c>
      <c r="B32" s="499" t="s">
        <v>855</v>
      </c>
      <c r="C32" s="806">
        <v>55</v>
      </c>
      <c r="D32" s="192"/>
      <c r="E32" s="192">
        <f t="shared" si="1"/>
        <v>55</v>
      </c>
    </row>
    <row r="33" spans="1:5" ht="12.75" customHeight="1">
      <c r="A33" s="239">
        <v>31</v>
      </c>
      <c r="B33" s="499" t="s">
        <v>856</v>
      </c>
      <c r="C33" s="806">
        <v>493</v>
      </c>
      <c r="D33" s="192"/>
      <c r="E33" s="192">
        <f t="shared" si="1"/>
        <v>493</v>
      </c>
    </row>
    <row r="34" spans="1:5" ht="12.75" customHeight="1">
      <c r="A34" s="239">
        <v>32</v>
      </c>
      <c r="B34" s="499" t="s">
        <v>857</v>
      </c>
      <c r="C34" s="806">
        <v>953</v>
      </c>
      <c r="D34" s="192"/>
      <c r="E34" s="192">
        <f t="shared" si="1"/>
        <v>953</v>
      </c>
    </row>
    <row r="35" spans="1:5" ht="12.75" customHeight="1">
      <c r="A35" s="239">
        <v>33</v>
      </c>
      <c r="B35" s="499" t="s">
        <v>858</v>
      </c>
      <c r="C35" s="806">
        <v>150</v>
      </c>
      <c r="D35" s="192"/>
      <c r="E35" s="192">
        <f t="shared" si="1"/>
        <v>150</v>
      </c>
    </row>
    <row r="36" spans="1:5" ht="12.75" customHeight="1">
      <c r="A36" s="239">
        <v>34</v>
      </c>
      <c r="B36" s="499" t="s">
        <v>859</v>
      </c>
      <c r="C36" s="806">
        <v>10</v>
      </c>
      <c r="D36" s="192"/>
      <c r="E36" s="192">
        <f t="shared" si="1"/>
        <v>10</v>
      </c>
    </row>
    <row r="37" spans="1:5" ht="12.75" customHeight="1">
      <c r="A37" s="239">
        <v>35</v>
      </c>
      <c r="B37" s="499" t="s">
        <v>860</v>
      </c>
      <c r="C37" s="806">
        <v>494</v>
      </c>
      <c r="D37" s="192"/>
      <c r="E37" s="192">
        <f t="shared" si="1"/>
        <v>494</v>
      </c>
    </row>
    <row r="38" spans="1:5" ht="12.75" customHeight="1">
      <c r="A38" s="239">
        <v>36</v>
      </c>
      <c r="B38" s="499" t="s">
        <v>861</v>
      </c>
      <c r="C38" s="806">
        <v>565</v>
      </c>
      <c r="D38" s="192"/>
      <c r="E38" s="192">
        <f t="shared" si="1"/>
        <v>565</v>
      </c>
    </row>
    <row r="39" spans="1:5" ht="12.75" customHeight="1">
      <c r="A39" s="239">
        <v>37</v>
      </c>
      <c r="B39" s="499" t="s">
        <v>862</v>
      </c>
      <c r="C39" s="806">
        <v>1632</v>
      </c>
      <c r="D39" s="192"/>
      <c r="E39" s="192">
        <f t="shared" si="1"/>
        <v>1632</v>
      </c>
    </row>
    <row r="40" spans="1:5" ht="12.75" customHeight="1">
      <c r="A40" s="239">
        <v>38</v>
      </c>
      <c r="B40" s="499" t="s">
        <v>863</v>
      </c>
      <c r="C40" s="806">
        <v>14</v>
      </c>
      <c r="D40" s="192"/>
      <c r="E40" s="192">
        <f t="shared" si="1"/>
        <v>14</v>
      </c>
    </row>
    <row r="41" spans="1:5" ht="12.75" customHeight="1">
      <c r="A41" s="239">
        <v>39</v>
      </c>
      <c r="B41" s="499" t="s">
        <v>901</v>
      </c>
      <c r="C41" s="191">
        <v>11510</v>
      </c>
      <c r="D41" s="192"/>
      <c r="E41" s="192">
        <f t="shared" si="1"/>
        <v>11510</v>
      </c>
    </row>
    <row r="42" spans="1:5" ht="12.75" customHeight="1">
      <c r="A42" s="239">
        <v>40</v>
      </c>
      <c r="B42" s="499" t="s">
        <v>938</v>
      </c>
      <c r="C42" s="191">
        <v>728</v>
      </c>
      <c r="D42" s="192"/>
      <c r="E42" s="192">
        <f t="shared" si="1"/>
        <v>728</v>
      </c>
    </row>
    <row r="43" spans="1:5" ht="12.75" customHeight="1">
      <c r="A43" s="239">
        <v>41</v>
      </c>
      <c r="B43" s="499" t="s">
        <v>907</v>
      </c>
      <c r="C43" s="191">
        <v>704</v>
      </c>
      <c r="D43" s="192"/>
      <c r="E43" s="192">
        <f t="shared" si="1"/>
        <v>704</v>
      </c>
    </row>
    <row r="44" spans="1:5" ht="12.75" customHeight="1">
      <c r="A44" s="239">
        <v>42</v>
      </c>
      <c r="B44" s="499" t="s">
        <v>939</v>
      </c>
      <c r="C44" s="191">
        <v>3150</v>
      </c>
      <c r="D44" s="192"/>
      <c r="E44" s="192">
        <f t="shared" si="1"/>
        <v>3150</v>
      </c>
    </row>
    <row r="45" spans="1:5" ht="12.75" customHeight="1">
      <c r="A45" s="239">
        <v>43</v>
      </c>
      <c r="B45" s="499" t="s">
        <v>940</v>
      </c>
      <c r="C45" s="191">
        <v>33366</v>
      </c>
      <c r="D45" s="192"/>
      <c r="E45" s="192">
        <f t="shared" ref="E45:E48" si="2">+C45+D45</f>
        <v>33366</v>
      </c>
    </row>
    <row r="46" spans="1:5" ht="12.75" customHeight="1">
      <c r="A46" s="239">
        <v>44</v>
      </c>
      <c r="B46" s="499" t="s">
        <v>911</v>
      </c>
      <c r="C46" s="191">
        <v>176</v>
      </c>
      <c r="D46" s="192"/>
      <c r="E46" s="192">
        <f t="shared" si="2"/>
        <v>176</v>
      </c>
    </row>
    <row r="47" spans="1:5" ht="12.75" customHeight="1">
      <c r="A47" s="239">
        <v>45</v>
      </c>
      <c r="B47" s="499" t="s">
        <v>941</v>
      </c>
      <c r="C47" s="191">
        <v>661</v>
      </c>
      <c r="D47" s="192"/>
      <c r="E47" s="192">
        <f t="shared" si="2"/>
        <v>661</v>
      </c>
    </row>
    <row r="48" spans="1:5" ht="12.75" customHeight="1">
      <c r="A48" s="239">
        <v>46</v>
      </c>
      <c r="B48" s="499" t="s">
        <v>942</v>
      </c>
      <c r="C48" s="191">
        <v>30000</v>
      </c>
      <c r="D48" s="192"/>
      <c r="E48" s="192">
        <f t="shared" si="2"/>
        <v>30000</v>
      </c>
    </row>
    <row r="49" spans="1:5" ht="12.75" customHeight="1">
      <c r="A49" s="239">
        <v>47</v>
      </c>
      <c r="B49" s="499" t="s">
        <v>912</v>
      </c>
      <c r="C49" s="191">
        <v>7000</v>
      </c>
      <c r="D49" s="192"/>
      <c r="E49" s="192">
        <f t="shared" ref="E49:E52" si="3">+C49+D49</f>
        <v>7000</v>
      </c>
    </row>
    <row r="50" spans="1:5" ht="12.75" customHeight="1">
      <c r="A50" s="239">
        <v>48</v>
      </c>
      <c r="B50" s="499" t="s">
        <v>913</v>
      </c>
      <c r="C50" s="191">
        <v>9804</v>
      </c>
      <c r="D50" s="192"/>
      <c r="E50" s="192">
        <f t="shared" si="3"/>
        <v>9804</v>
      </c>
    </row>
    <row r="51" spans="1:5" ht="12.75" customHeight="1">
      <c r="A51" s="239">
        <v>49</v>
      </c>
      <c r="B51" s="499" t="s">
        <v>914</v>
      </c>
      <c r="C51" s="191">
        <v>1245</v>
      </c>
      <c r="D51" s="192"/>
      <c r="E51" s="192">
        <f t="shared" si="3"/>
        <v>1245</v>
      </c>
    </row>
    <row r="52" spans="1:5" ht="12.75" customHeight="1">
      <c r="A52" s="239">
        <v>50</v>
      </c>
      <c r="B52" s="499" t="s">
        <v>943</v>
      </c>
      <c r="C52" s="191">
        <v>850</v>
      </c>
      <c r="D52" s="192"/>
      <c r="E52" s="192">
        <f t="shared" si="3"/>
        <v>850</v>
      </c>
    </row>
    <row r="53" spans="1:5" ht="12.75" customHeight="1">
      <c r="A53" s="239">
        <v>51</v>
      </c>
      <c r="B53" s="499" t="s">
        <v>944</v>
      </c>
      <c r="C53" s="191">
        <v>1199</v>
      </c>
      <c r="D53" s="192"/>
      <c r="E53" s="192">
        <f t="shared" si="1"/>
        <v>1199</v>
      </c>
    </row>
    <row r="54" spans="1:5" ht="12.75" customHeight="1">
      <c r="A54" s="239">
        <v>52</v>
      </c>
      <c r="B54" s="499" t="s">
        <v>945</v>
      </c>
      <c r="C54" s="191">
        <v>2228</v>
      </c>
      <c r="D54" s="192"/>
      <c r="E54" s="192">
        <f t="shared" ref="E54:E70" si="4">+C54+D54</f>
        <v>2228</v>
      </c>
    </row>
    <row r="55" spans="1:5" ht="12.75" customHeight="1">
      <c r="A55" s="239">
        <v>53</v>
      </c>
      <c r="B55" s="499" t="s">
        <v>1037</v>
      </c>
      <c r="C55" s="191"/>
      <c r="D55" s="192">
        <v>953</v>
      </c>
      <c r="E55" s="192">
        <f t="shared" si="4"/>
        <v>953</v>
      </c>
    </row>
    <row r="56" spans="1:5" ht="12.75" customHeight="1">
      <c r="A56" s="239">
        <v>54</v>
      </c>
      <c r="B56" s="499" t="s">
        <v>961</v>
      </c>
      <c r="C56" s="191"/>
      <c r="D56" s="192">
        <v>39</v>
      </c>
      <c r="E56" s="192">
        <f t="shared" si="4"/>
        <v>39</v>
      </c>
    </row>
    <row r="57" spans="1:5" ht="12.75" customHeight="1">
      <c r="A57" s="239">
        <v>56</v>
      </c>
      <c r="B57" s="816" t="s">
        <v>969</v>
      </c>
      <c r="C57" s="191"/>
      <c r="D57" s="192">
        <v>1048</v>
      </c>
      <c r="E57" s="192">
        <f t="shared" si="4"/>
        <v>1048</v>
      </c>
    </row>
    <row r="58" spans="1:5" ht="12.75" customHeight="1">
      <c r="A58" s="239">
        <v>57</v>
      </c>
      <c r="B58" s="816" t="s">
        <v>970</v>
      </c>
      <c r="C58" s="191"/>
      <c r="D58" s="192">
        <v>500</v>
      </c>
      <c r="E58" s="192">
        <f t="shared" si="4"/>
        <v>500</v>
      </c>
    </row>
    <row r="59" spans="1:5" ht="12.75" customHeight="1">
      <c r="A59" s="239">
        <v>58</v>
      </c>
      <c r="B59" s="816" t="s">
        <v>971</v>
      </c>
      <c r="C59" s="191"/>
      <c r="D59" s="192">
        <v>522</v>
      </c>
      <c r="E59" s="192">
        <f t="shared" si="4"/>
        <v>522</v>
      </c>
    </row>
    <row r="60" spans="1:5" ht="12.75" customHeight="1">
      <c r="A60" s="239"/>
      <c r="B60" s="816" t="s">
        <v>974</v>
      </c>
      <c r="C60" s="191"/>
      <c r="D60" s="192">
        <v>1257</v>
      </c>
      <c r="E60" s="192">
        <f t="shared" si="4"/>
        <v>1257</v>
      </c>
    </row>
    <row r="61" spans="1:5" ht="12.75" customHeight="1">
      <c r="A61" s="239"/>
      <c r="B61" s="816" t="s">
        <v>983</v>
      </c>
      <c r="C61" s="191"/>
      <c r="D61" s="192">
        <v>6040</v>
      </c>
      <c r="E61" s="192">
        <f t="shared" si="4"/>
        <v>6040</v>
      </c>
    </row>
    <row r="62" spans="1:5" ht="12.75" customHeight="1">
      <c r="A62" s="239"/>
      <c r="B62" s="816" t="s">
        <v>987</v>
      </c>
      <c r="C62" s="191"/>
      <c r="D62" s="192">
        <v>1308</v>
      </c>
      <c r="E62" s="192">
        <f t="shared" si="4"/>
        <v>1308</v>
      </c>
    </row>
    <row r="63" spans="1:5" ht="12.75" customHeight="1">
      <c r="A63" s="239"/>
      <c r="B63" s="816" t="s">
        <v>988</v>
      </c>
      <c r="C63" s="191"/>
      <c r="D63" s="192">
        <v>100</v>
      </c>
      <c r="E63" s="192">
        <f t="shared" si="4"/>
        <v>100</v>
      </c>
    </row>
    <row r="64" spans="1:5" ht="12.75" customHeight="1">
      <c r="A64" s="239"/>
      <c r="B64" s="816" t="s">
        <v>989</v>
      </c>
      <c r="C64" s="191"/>
      <c r="D64" s="192">
        <v>152</v>
      </c>
      <c r="E64" s="192">
        <f t="shared" si="4"/>
        <v>152</v>
      </c>
    </row>
    <row r="65" spans="1:5" ht="12.75" customHeight="1">
      <c r="A65" s="239">
        <v>59</v>
      </c>
      <c r="B65" s="816" t="s">
        <v>990</v>
      </c>
      <c r="C65" s="191"/>
      <c r="D65" s="192">
        <v>102</v>
      </c>
      <c r="E65" s="192">
        <f t="shared" si="4"/>
        <v>102</v>
      </c>
    </row>
    <row r="66" spans="1:5" ht="12.75" customHeight="1">
      <c r="A66" s="239">
        <v>60</v>
      </c>
      <c r="B66" s="816" t="s">
        <v>991</v>
      </c>
      <c r="C66" s="191"/>
      <c r="D66" s="192">
        <v>145</v>
      </c>
      <c r="E66" s="192">
        <f t="shared" si="4"/>
        <v>145</v>
      </c>
    </row>
    <row r="67" spans="1:5" ht="12.75" customHeight="1">
      <c r="A67" s="239">
        <v>61</v>
      </c>
      <c r="B67" s="816" t="s">
        <v>992</v>
      </c>
      <c r="C67" s="191"/>
      <c r="D67" s="192">
        <v>858</v>
      </c>
      <c r="E67" s="192">
        <f t="shared" si="4"/>
        <v>858</v>
      </c>
    </row>
    <row r="68" spans="1:5" ht="12.75" customHeight="1">
      <c r="A68" s="239">
        <v>62</v>
      </c>
      <c r="B68" s="816" t="s">
        <v>993</v>
      </c>
      <c r="C68" s="191"/>
      <c r="D68" s="192">
        <v>1016</v>
      </c>
      <c r="E68" s="192">
        <f t="shared" si="4"/>
        <v>1016</v>
      </c>
    </row>
    <row r="69" spans="1:5" ht="12.75" customHeight="1">
      <c r="A69" s="239">
        <v>63</v>
      </c>
      <c r="B69" s="816" t="s">
        <v>994</v>
      </c>
      <c r="C69" s="191">
        <v>0</v>
      </c>
      <c r="D69" s="192">
        <v>314</v>
      </c>
      <c r="E69" s="192">
        <f t="shared" si="4"/>
        <v>314</v>
      </c>
    </row>
    <row r="70" spans="1:5" ht="12.75" customHeight="1">
      <c r="A70" s="239">
        <v>64</v>
      </c>
      <c r="B70" s="816" t="s">
        <v>995</v>
      </c>
      <c r="C70" s="191">
        <v>0</v>
      </c>
      <c r="D70" s="192">
        <v>450</v>
      </c>
      <c r="E70" s="192">
        <f t="shared" si="4"/>
        <v>450</v>
      </c>
    </row>
    <row r="71" spans="1:5" ht="12.75" customHeight="1">
      <c r="A71" s="832">
        <v>55</v>
      </c>
      <c r="B71" s="242" t="s">
        <v>349</v>
      </c>
      <c r="C71" s="188"/>
      <c r="D71" s="193"/>
      <c r="E71" s="193"/>
    </row>
    <row r="72" spans="1:5" ht="12.75" customHeight="1" thickBot="1">
      <c r="A72" s="833">
        <v>56</v>
      </c>
      <c r="B72" s="499"/>
      <c r="C72" s="500"/>
      <c r="D72" s="501"/>
      <c r="E72" s="501"/>
    </row>
    <row r="73" spans="1:5" s="241" customFormat="1" ht="12.75" customHeight="1" thickBot="1">
      <c r="A73" s="835">
        <v>57</v>
      </c>
      <c r="B73" s="505" t="s">
        <v>350</v>
      </c>
      <c r="C73" s="506">
        <f>+C71+C11</f>
        <v>180092</v>
      </c>
      <c r="D73" s="506">
        <f>SUM(D11:D72)</f>
        <v>14462</v>
      </c>
      <c r="E73" s="506">
        <f>+E71+E11</f>
        <v>194554</v>
      </c>
    </row>
    <row r="74" spans="1:5" ht="12.75" customHeight="1">
      <c r="A74" s="834">
        <v>58</v>
      </c>
      <c r="B74" s="502"/>
      <c r="C74" s="503"/>
      <c r="D74" s="504"/>
      <c r="E74" s="504"/>
    </row>
    <row r="75" spans="1:5" ht="12.75" customHeight="1">
      <c r="A75" s="832">
        <v>59</v>
      </c>
      <c r="B75" s="194" t="s">
        <v>351</v>
      </c>
      <c r="C75" s="188"/>
      <c r="D75" s="193"/>
      <c r="E75" s="193"/>
    </row>
    <row r="76" spans="1:5" ht="12.75" customHeight="1">
      <c r="A76" s="239">
        <v>60</v>
      </c>
      <c r="B76" s="243"/>
      <c r="C76" s="191"/>
      <c r="D76" s="192"/>
      <c r="E76" s="192"/>
    </row>
    <row r="77" spans="1:5" ht="12.75" customHeight="1">
      <c r="A77" s="832">
        <v>61</v>
      </c>
      <c r="B77" s="194" t="s">
        <v>353</v>
      </c>
      <c r="C77" s="188"/>
      <c r="D77" s="233"/>
      <c r="E77" s="233"/>
    </row>
    <row r="78" spans="1:5" ht="12.75" customHeight="1">
      <c r="A78" s="239">
        <v>62</v>
      </c>
      <c r="B78" s="194"/>
      <c r="C78" s="188"/>
      <c r="D78" s="193"/>
      <c r="E78" s="193"/>
    </row>
    <row r="79" spans="1:5" ht="12.75" customHeight="1">
      <c r="A79" s="832">
        <v>63</v>
      </c>
      <c r="B79" s="194" t="s">
        <v>597</v>
      </c>
      <c r="C79" s="188"/>
      <c r="D79" s="193"/>
      <c r="E79" s="193"/>
    </row>
    <row r="80" spans="1:5" ht="12.75" customHeight="1">
      <c r="A80" s="239">
        <v>64</v>
      </c>
      <c r="B80" s="190" t="s">
        <v>598</v>
      </c>
      <c r="C80" s="806">
        <v>3200</v>
      </c>
      <c r="D80" s="192">
        <v>954</v>
      </c>
      <c r="E80" s="192">
        <f>+C80+D80</f>
        <v>4154</v>
      </c>
    </row>
    <row r="81" spans="1:5" ht="12.75" customHeight="1">
      <c r="A81" s="239">
        <v>65</v>
      </c>
      <c r="B81" s="190" t="s">
        <v>599</v>
      </c>
      <c r="C81" s="806"/>
      <c r="D81" s="192"/>
      <c r="E81" s="192"/>
    </row>
    <row r="82" spans="1:5" ht="12.75" customHeight="1">
      <c r="A82" s="239">
        <v>66</v>
      </c>
      <c r="B82" s="190" t="s">
        <v>600</v>
      </c>
      <c r="C82" s="806">
        <v>17</v>
      </c>
      <c r="D82" s="192">
        <v>205</v>
      </c>
      <c r="E82" s="192">
        <f>+C82+D82</f>
        <v>222</v>
      </c>
    </row>
    <row r="83" spans="1:5" ht="12.75" customHeight="1">
      <c r="A83" s="239">
        <v>67</v>
      </c>
      <c r="B83" s="499" t="s">
        <v>601</v>
      </c>
      <c r="C83" s="806"/>
      <c r="D83" s="501"/>
      <c r="E83" s="501"/>
    </row>
    <row r="84" spans="1:5" ht="12.75" customHeight="1">
      <c r="A84" s="239">
        <v>68</v>
      </c>
      <c r="B84" s="499" t="s">
        <v>602</v>
      </c>
      <c r="C84" s="806">
        <v>981</v>
      </c>
      <c r="D84" s="501">
        <v>-38</v>
      </c>
      <c r="E84" s="192">
        <f>+C84+D84</f>
        <v>943</v>
      </c>
    </row>
    <row r="85" spans="1:5" ht="12.75" customHeight="1" thickBot="1">
      <c r="A85" s="833">
        <v>69</v>
      </c>
      <c r="B85" s="499" t="s">
        <v>603</v>
      </c>
      <c r="C85" s="806">
        <v>2438</v>
      </c>
      <c r="D85" s="501">
        <v>2076</v>
      </c>
      <c r="E85" s="501">
        <f>+C85+D85</f>
        <v>4514</v>
      </c>
    </row>
    <row r="86" spans="1:5" s="241" customFormat="1" ht="12.75" customHeight="1" thickBot="1">
      <c r="A86" s="835">
        <v>70</v>
      </c>
      <c r="B86" s="505" t="s">
        <v>354</v>
      </c>
      <c r="C86" s="506">
        <f>SUM(C80:C85)</f>
        <v>6636</v>
      </c>
      <c r="D86" s="506">
        <f t="shared" ref="D86:E86" si="5">SUM(D80:D85)</f>
        <v>3197</v>
      </c>
      <c r="E86" s="506">
        <f t="shared" si="5"/>
        <v>9833</v>
      </c>
    </row>
    <row r="87" spans="1:5" s="241" customFormat="1" ht="13.5" customHeight="1" thickBot="1">
      <c r="A87" s="835">
        <v>71</v>
      </c>
      <c r="B87" s="810" t="s">
        <v>357</v>
      </c>
      <c r="C87" s="811">
        <f>+C86+C73</f>
        <v>186728</v>
      </c>
      <c r="D87" s="811">
        <f t="shared" ref="D87:E87" si="6">+D86+D73</f>
        <v>17659</v>
      </c>
      <c r="E87" s="811">
        <f t="shared" si="6"/>
        <v>204387</v>
      </c>
    </row>
    <row r="88" spans="1:5" ht="13.5" customHeight="1">
      <c r="B88" s="195"/>
      <c r="C88" s="244"/>
      <c r="D88" s="245"/>
      <c r="E88" s="24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&amp;C&amp;"Times New Roman,Félkövér"&amp;12Martonvásár Város Önkormányzat beruházási (felhalmozási) célú kiadásai
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topLeftCell="A7" workbookViewId="0">
      <selection activeCell="C21" sqref="C21"/>
    </sheetView>
  </sheetViews>
  <sheetFormatPr defaultColWidth="53.109375" defaultRowHeight="14.4"/>
  <cols>
    <col min="1" max="1" width="5.5546875" style="115" customWidth="1"/>
    <col min="2" max="2" width="53.109375" style="116" customWidth="1"/>
    <col min="3" max="3" width="13.6640625" style="115" customWidth="1"/>
    <col min="4" max="4" width="13.44140625" style="115" customWidth="1"/>
    <col min="5" max="5" width="13.33203125" style="115" customWidth="1"/>
    <col min="6" max="16384" width="53.109375" style="115"/>
  </cols>
  <sheetData>
    <row r="1" spans="1:5" ht="12.75" customHeight="1" thickBot="1"/>
    <row r="2" spans="1:5" s="138" customFormat="1" ht="39.75" customHeight="1" thickBot="1">
      <c r="A2" s="137" t="s">
        <v>358</v>
      </c>
      <c r="B2" s="117" t="s">
        <v>359</v>
      </c>
      <c r="C2" s="117" t="s">
        <v>874</v>
      </c>
      <c r="D2" s="117" t="s">
        <v>732</v>
      </c>
      <c r="E2" s="117" t="s">
        <v>951</v>
      </c>
    </row>
    <row r="3" spans="1:5" s="141" customFormat="1" ht="12.75" customHeight="1">
      <c r="A3" s="139">
        <v>1</v>
      </c>
      <c r="B3" s="140" t="s">
        <v>300</v>
      </c>
      <c r="C3" s="140" t="s">
        <v>307</v>
      </c>
      <c r="D3" s="140" t="s">
        <v>301</v>
      </c>
      <c r="E3" s="140" t="s">
        <v>302</v>
      </c>
    </row>
    <row r="4" spans="1:5" s="141" customFormat="1" ht="12.75" customHeight="1">
      <c r="A4" s="142">
        <v>2</v>
      </c>
      <c r="B4" s="143" t="s">
        <v>360</v>
      </c>
      <c r="C4" s="144"/>
      <c r="D4" s="144"/>
      <c r="E4" s="144"/>
    </row>
    <row r="5" spans="1:5" ht="13.5" customHeight="1">
      <c r="A5" s="142">
        <v>3</v>
      </c>
      <c r="B5" s="129"/>
      <c r="C5" s="145"/>
      <c r="D5" s="146"/>
      <c r="E5" s="147"/>
    </row>
    <row r="6" spans="1:5" ht="12.75" customHeight="1">
      <c r="A6" s="142">
        <v>4</v>
      </c>
      <c r="B6" s="148"/>
      <c r="C6" s="145"/>
      <c r="D6" s="146"/>
      <c r="E6" s="147"/>
    </row>
    <row r="7" spans="1:5" ht="12.75" customHeight="1" thickBot="1">
      <c r="A7" s="149">
        <v>5</v>
      </c>
      <c r="B7" s="130"/>
      <c r="C7" s="150"/>
      <c r="D7" s="151"/>
      <c r="E7" s="152"/>
    </row>
    <row r="8" spans="1:5" ht="12.75" customHeight="1" thickBot="1">
      <c r="A8" s="153">
        <v>6</v>
      </c>
      <c r="B8" s="118" t="s">
        <v>361</v>
      </c>
      <c r="C8" s="154"/>
      <c r="D8" s="155"/>
      <c r="E8" s="124"/>
    </row>
    <row r="9" spans="1:5" ht="12.75" customHeight="1">
      <c r="A9" s="139">
        <v>7</v>
      </c>
      <c r="B9" s="156" t="s">
        <v>433</v>
      </c>
      <c r="C9" s="157"/>
      <c r="D9" s="158"/>
      <c r="E9" s="125"/>
    </row>
    <row r="10" spans="1:5" ht="12.75" customHeight="1" thickBot="1">
      <c r="A10" s="149">
        <v>8</v>
      </c>
      <c r="B10" s="130"/>
      <c r="C10" s="150"/>
      <c r="D10" s="151"/>
      <c r="E10" s="152"/>
    </row>
    <row r="11" spans="1:5" ht="12.75" customHeight="1" thickBot="1">
      <c r="A11" s="153">
        <v>9</v>
      </c>
      <c r="B11" s="128" t="s">
        <v>347</v>
      </c>
      <c r="C11" s="154"/>
      <c r="D11" s="155"/>
      <c r="E11" s="124"/>
    </row>
    <row r="12" spans="1:5" ht="12.75" customHeight="1">
      <c r="A12" s="139">
        <v>10</v>
      </c>
      <c r="B12" s="156" t="s">
        <v>362</v>
      </c>
      <c r="C12" s="157"/>
      <c r="D12" s="157">
        <f t="shared" ref="D12" si="0">+SUM(D13:D14)</f>
        <v>0</v>
      </c>
      <c r="E12" s="157"/>
    </row>
    <row r="13" spans="1:5" ht="12.75" customHeight="1">
      <c r="A13" s="142">
        <v>11</v>
      </c>
      <c r="B13" s="190" t="s">
        <v>864</v>
      </c>
      <c r="C13" s="191">
        <v>5418</v>
      </c>
      <c r="D13" s="192"/>
      <c r="E13" s="191">
        <f>+C13+D13</f>
        <v>5418</v>
      </c>
    </row>
    <row r="14" spans="1:5" ht="12.75" customHeight="1">
      <c r="A14" s="142">
        <v>12</v>
      </c>
      <c r="B14" s="190" t="s">
        <v>865</v>
      </c>
      <c r="C14" s="191">
        <v>245</v>
      </c>
      <c r="D14" s="192"/>
      <c r="E14" s="191">
        <f>+C14+D14</f>
        <v>245</v>
      </c>
    </row>
    <row r="15" spans="1:5" ht="12.75" customHeight="1">
      <c r="A15" s="142">
        <v>13</v>
      </c>
      <c r="B15" s="190" t="s">
        <v>936</v>
      </c>
      <c r="C15" s="145">
        <v>486</v>
      </c>
      <c r="D15" s="830"/>
      <c r="E15" s="191">
        <f>+C15+D15</f>
        <v>486</v>
      </c>
    </row>
    <row r="16" spans="1:5" ht="12.75" customHeight="1">
      <c r="A16" s="149">
        <v>14</v>
      </c>
      <c r="B16" s="190" t="s">
        <v>937</v>
      </c>
      <c r="C16" s="191">
        <v>31340</v>
      </c>
      <c r="D16" s="831">
        <v>8660</v>
      </c>
      <c r="E16" s="191">
        <f>+C16+D16</f>
        <v>40000</v>
      </c>
    </row>
    <row r="17" spans="1:5" ht="12.75" customHeight="1" thickBot="1">
      <c r="A17" s="909"/>
      <c r="B17" s="910" t="s">
        <v>1038</v>
      </c>
      <c r="C17" s="911">
        <v>0</v>
      </c>
      <c r="D17" s="912">
        <v>7878</v>
      </c>
      <c r="E17" s="191">
        <f>+C17+D17</f>
        <v>7878</v>
      </c>
    </row>
    <row r="18" spans="1:5" ht="12.75" customHeight="1" thickBot="1">
      <c r="A18" s="153">
        <v>15</v>
      </c>
      <c r="B18" s="131" t="s">
        <v>363</v>
      </c>
      <c r="C18" s="132">
        <v>37489</v>
      </c>
      <c r="D18" s="132">
        <f>SUM(D13:D17)</f>
        <v>16538</v>
      </c>
      <c r="E18" s="132">
        <f>SUM(E13:E17)</f>
        <v>54027</v>
      </c>
    </row>
    <row r="19" spans="1:5" ht="12.75" customHeight="1">
      <c r="A19" s="139">
        <v>16</v>
      </c>
      <c r="B19" s="133" t="s">
        <v>351</v>
      </c>
      <c r="C19" s="134"/>
      <c r="D19" s="164"/>
      <c r="E19" s="134"/>
    </row>
    <row r="20" spans="1:5" ht="12.75" customHeight="1">
      <c r="A20" s="142">
        <v>17</v>
      </c>
      <c r="B20" s="129"/>
      <c r="C20" s="119"/>
      <c r="D20" s="160"/>
      <c r="E20" s="119"/>
    </row>
    <row r="21" spans="1:5" ht="12.75" customHeight="1">
      <c r="A21" s="142">
        <v>18</v>
      </c>
      <c r="B21" s="126" t="s">
        <v>352</v>
      </c>
      <c r="C21" s="161"/>
      <c r="D21" s="162"/>
      <c r="E21" s="127"/>
    </row>
    <row r="22" spans="1:5" ht="12.75" customHeight="1">
      <c r="A22" s="142">
        <v>19</v>
      </c>
      <c r="B22" s="126"/>
      <c r="C22" s="161"/>
      <c r="D22" s="162"/>
      <c r="E22" s="127"/>
    </row>
    <row r="23" spans="1:5" ht="12.75" customHeight="1" thickBot="1">
      <c r="A23" s="149">
        <v>20</v>
      </c>
      <c r="B23" s="121"/>
      <c r="C23" s="122"/>
      <c r="D23" s="163"/>
      <c r="E23" s="122"/>
    </row>
    <row r="24" spans="1:5" ht="12.75" customHeight="1" thickBot="1">
      <c r="A24" s="153">
        <v>21</v>
      </c>
      <c r="B24" s="131" t="s">
        <v>353</v>
      </c>
      <c r="C24" s="132"/>
      <c r="D24" s="136">
        <f>SUM(D22:D23)</f>
        <v>0</v>
      </c>
      <c r="E24" s="136">
        <f>SUM(E22:E23)</f>
        <v>0</v>
      </c>
    </row>
    <row r="25" spans="1:5" ht="12.75" customHeight="1">
      <c r="A25" s="139">
        <v>22</v>
      </c>
      <c r="B25" s="133" t="s">
        <v>364</v>
      </c>
      <c r="C25" s="134"/>
      <c r="D25" s="164"/>
      <c r="E25" s="134"/>
    </row>
    <row r="26" spans="1:5" ht="12.75" customHeight="1" thickBot="1">
      <c r="A26" s="149">
        <v>23</v>
      </c>
      <c r="B26" s="165"/>
      <c r="C26" s="122"/>
      <c r="D26" s="166"/>
      <c r="E26" s="122"/>
    </row>
    <row r="27" spans="1:5" ht="12.75" customHeight="1" thickBot="1">
      <c r="A27" s="153">
        <v>24</v>
      </c>
      <c r="B27" s="131" t="s">
        <v>365</v>
      </c>
      <c r="C27" s="132"/>
      <c r="D27" s="136">
        <f>SUM(D26:D26)</f>
        <v>0</v>
      </c>
      <c r="E27" s="136">
        <f>SUM(E26:E26)</f>
        <v>0</v>
      </c>
    </row>
    <row r="28" spans="1:5" ht="12.75" customHeight="1">
      <c r="A28" s="139">
        <v>25</v>
      </c>
      <c r="B28" s="133" t="s">
        <v>355</v>
      </c>
      <c r="C28" s="134"/>
      <c r="D28" s="135"/>
      <c r="E28" s="135"/>
    </row>
    <row r="29" spans="1:5" ht="12.75" customHeight="1">
      <c r="A29" s="142">
        <v>26</v>
      </c>
      <c r="B29" s="159"/>
      <c r="C29" s="119"/>
      <c r="D29" s="120"/>
      <c r="E29" s="120"/>
    </row>
    <row r="30" spans="1:5" ht="12.75" customHeight="1" thickBot="1">
      <c r="A30" s="149">
        <v>27</v>
      </c>
      <c r="B30" s="165"/>
      <c r="C30" s="122"/>
      <c r="D30" s="123"/>
      <c r="E30" s="123"/>
    </row>
    <row r="31" spans="1:5" s="167" customFormat="1" ht="12.75" customHeight="1" thickBot="1">
      <c r="A31" s="153">
        <v>28</v>
      </c>
      <c r="B31" s="131" t="s">
        <v>356</v>
      </c>
      <c r="C31" s="132"/>
      <c r="D31" s="136"/>
      <c r="E31" s="136"/>
    </row>
    <row r="32" spans="1:5" ht="12.75" customHeight="1">
      <c r="A32" s="139">
        <v>29</v>
      </c>
      <c r="B32" s="168"/>
      <c r="C32" s="169"/>
      <c r="D32" s="170"/>
      <c r="E32" s="170"/>
    </row>
    <row r="33" spans="1:5" s="167" customFormat="1" ht="12.75" customHeight="1" thickBot="1">
      <c r="A33" s="149">
        <v>30</v>
      </c>
      <c r="B33" s="171"/>
      <c r="C33" s="172"/>
      <c r="D33" s="173"/>
      <c r="E33" s="173"/>
    </row>
    <row r="34" spans="1:5" s="167" customFormat="1" ht="12.75" customHeight="1" thickBot="1">
      <c r="A34" s="153">
        <v>31</v>
      </c>
      <c r="B34" s="174" t="s">
        <v>366</v>
      </c>
      <c r="C34" s="175">
        <f t="shared" ref="C34:E34" si="1">+C31+C27+C24+C21+C18</f>
        <v>37489</v>
      </c>
      <c r="D34" s="175">
        <f t="shared" si="1"/>
        <v>16538</v>
      </c>
      <c r="E34" s="175">
        <f t="shared" si="1"/>
        <v>54027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&amp;C&amp;"Times New Roman,Félkövér"&amp;12Martonvásár Város Önkormányzat felújítási (felhalmozási) célú kiadásai
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" sqref="E1:E4"/>
    </sheetView>
  </sheetViews>
  <sheetFormatPr defaultRowHeight="14.4"/>
  <cols>
    <col min="1" max="1" width="7.88671875" bestFit="1" customWidth="1"/>
    <col min="2" max="2" width="29.5546875" customWidth="1"/>
    <col min="3" max="3" width="13" customWidth="1"/>
    <col min="4" max="4" width="13.5546875" customWidth="1"/>
    <col min="5" max="5" width="13.6640625" customWidth="1"/>
  </cols>
  <sheetData>
    <row r="1" spans="1:5" ht="14.4" customHeight="1">
      <c r="A1" s="1108" t="s">
        <v>367</v>
      </c>
      <c r="B1" s="1110" t="s">
        <v>279</v>
      </c>
      <c r="C1" s="1112" t="s">
        <v>952</v>
      </c>
      <c r="D1" s="1112" t="s">
        <v>732</v>
      </c>
      <c r="E1" s="1114" t="s">
        <v>953</v>
      </c>
    </row>
    <row r="2" spans="1:5">
      <c r="A2" s="1109"/>
      <c r="B2" s="1111"/>
      <c r="C2" s="1113"/>
      <c r="D2" s="1113"/>
      <c r="E2" s="1115"/>
    </row>
    <row r="3" spans="1:5">
      <c r="A3" s="1109"/>
      <c r="B3" s="1111"/>
      <c r="C3" s="1113"/>
      <c r="D3" s="1113"/>
      <c r="E3" s="1115"/>
    </row>
    <row r="4" spans="1:5">
      <c r="A4" s="1109"/>
      <c r="B4" s="1111"/>
      <c r="C4" s="1113"/>
      <c r="D4" s="1113"/>
      <c r="E4" s="1115"/>
    </row>
    <row r="5" spans="1:5">
      <c r="A5" s="766" t="s">
        <v>300</v>
      </c>
      <c r="B5" s="767" t="s">
        <v>307</v>
      </c>
      <c r="C5" s="768" t="s">
        <v>301</v>
      </c>
      <c r="D5" s="768" t="s">
        <v>302</v>
      </c>
      <c r="E5" s="769" t="s">
        <v>303</v>
      </c>
    </row>
    <row r="6" spans="1:5">
      <c r="A6" s="176">
        <v>1</v>
      </c>
      <c r="B6" s="177" t="s">
        <v>261</v>
      </c>
      <c r="C6" s="177">
        <v>1</v>
      </c>
      <c r="D6" s="177"/>
      <c r="E6" s="178">
        <f>+C6+D6</f>
        <v>1</v>
      </c>
    </row>
    <row r="7" spans="1:5">
      <c r="A7" s="176">
        <v>2</v>
      </c>
      <c r="B7" s="177" t="s">
        <v>368</v>
      </c>
      <c r="C7" s="177"/>
      <c r="D7" s="177"/>
      <c r="E7" s="178"/>
    </row>
    <row r="8" spans="1:5">
      <c r="A8" s="176">
        <v>3</v>
      </c>
      <c r="B8" s="179" t="s">
        <v>289</v>
      </c>
      <c r="C8" s="179">
        <v>35</v>
      </c>
      <c r="D8" s="179"/>
      <c r="E8" s="180">
        <f>+C8+D8</f>
        <v>35</v>
      </c>
    </row>
    <row r="9" spans="1:5">
      <c r="A9" s="176">
        <v>4</v>
      </c>
      <c r="B9" s="179" t="s">
        <v>369</v>
      </c>
      <c r="C9" s="179">
        <v>6</v>
      </c>
      <c r="D9" s="179"/>
      <c r="E9" s="180">
        <f>+C9+D9</f>
        <v>6</v>
      </c>
    </row>
    <row r="10" spans="1:5">
      <c r="A10" s="176">
        <v>5</v>
      </c>
      <c r="B10" s="177" t="s">
        <v>370</v>
      </c>
      <c r="C10" s="181">
        <f t="shared" ref="C10:D10" si="0">SUM(C8:C9)</f>
        <v>41</v>
      </c>
      <c r="D10" s="181">
        <f t="shared" si="0"/>
        <v>0</v>
      </c>
      <c r="E10" s="800">
        <f t="shared" ref="E10" si="1">SUM(E8:E9)</f>
        <v>41</v>
      </c>
    </row>
    <row r="11" spans="1:5">
      <c r="A11" s="176">
        <v>6</v>
      </c>
      <c r="B11" s="177" t="s">
        <v>395</v>
      </c>
      <c r="C11" s="177">
        <v>26.5</v>
      </c>
      <c r="D11" s="177"/>
      <c r="E11" s="178">
        <f>+C11+D11</f>
        <v>26.5</v>
      </c>
    </row>
    <row r="12" spans="1:5">
      <c r="A12" s="176"/>
      <c r="B12" s="177" t="s">
        <v>671</v>
      </c>
      <c r="C12" s="177">
        <v>1</v>
      </c>
      <c r="D12" s="177"/>
      <c r="E12" s="178">
        <f>+C12+D12</f>
        <v>1</v>
      </c>
    </row>
    <row r="13" spans="1:5">
      <c r="A13" s="176">
        <v>7</v>
      </c>
      <c r="B13" s="177" t="s">
        <v>371</v>
      </c>
      <c r="C13" s="177">
        <v>3</v>
      </c>
      <c r="D13" s="177"/>
      <c r="E13" s="178">
        <f>+C13+D13</f>
        <v>3</v>
      </c>
    </row>
    <row r="14" spans="1:5">
      <c r="A14" s="176">
        <v>8</v>
      </c>
      <c r="B14" s="177" t="s">
        <v>372</v>
      </c>
      <c r="C14" s="177">
        <v>1</v>
      </c>
      <c r="D14" s="177"/>
      <c r="E14" s="178">
        <f>+C14+D14</f>
        <v>1</v>
      </c>
    </row>
    <row r="15" spans="1:5">
      <c r="A15" s="176">
        <v>9</v>
      </c>
      <c r="B15" s="177" t="s">
        <v>373</v>
      </c>
      <c r="C15" s="177">
        <v>12</v>
      </c>
      <c r="D15" s="177"/>
      <c r="E15" s="178">
        <f>+C15+D15</f>
        <v>12</v>
      </c>
    </row>
    <row r="16" spans="1:5" ht="15" thickBot="1">
      <c r="A16" s="182">
        <v>10</v>
      </c>
      <c r="B16" s="801" t="s">
        <v>374</v>
      </c>
      <c r="C16" s="183">
        <f>SUM(C10:C15)+C6</f>
        <v>85.5</v>
      </c>
      <c r="D16" s="183">
        <f>SUM(D10:D15)+D6</f>
        <v>0</v>
      </c>
      <c r="E16" s="802">
        <f>SUM(E10:E15)+E6</f>
        <v>85.5</v>
      </c>
    </row>
  </sheetData>
  <mergeCells count="5">
    <mergeCell ref="A1:A4"/>
    <mergeCell ref="B1:B4"/>
    <mergeCell ref="C1:C4"/>
    <mergeCell ref="D1:D4"/>
    <mergeCell ref="E1:E4"/>
  </mergeCells>
  <printOptions horizontalCentered="1"/>
  <pageMargins left="0.70866141732283472" right="0.70866141732283472" top="0.89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  
2016.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workbookViewId="0">
      <selection activeCell="B24" sqref="B24:C24"/>
    </sheetView>
  </sheetViews>
  <sheetFormatPr defaultColWidth="9.109375" defaultRowHeight="14.4"/>
  <cols>
    <col min="1" max="1" width="5.88671875" style="332" customWidth="1"/>
    <col min="2" max="2" width="42.5546875" style="333" customWidth="1"/>
    <col min="3" max="8" width="11" style="333" customWidth="1"/>
    <col min="9" max="9" width="12.109375" style="333" customWidth="1"/>
    <col min="10" max="10" width="13.33203125" style="333" customWidth="1"/>
    <col min="11" max="16384" width="9.109375" style="333"/>
  </cols>
  <sheetData>
    <row r="1" spans="1:11" s="379" customFormat="1" ht="26.25" customHeight="1" thickBot="1">
      <c r="A1" s="332"/>
      <c r="B1" s="333"/>
      <c r="C1" s="333"/>
      <c r="D1" s="333"/>
      <c r="E1" s="333"/>
      <c r="F1" s="333"/>
      <c r="G1" s="333"/>
      <c r="H1" s="333"/>
      <c r="I1" s="333"/>
      <c r="J1" s="378" t="s">
        <v>466</v>
      </c>
    </row>
    <row r="2" spans="1:11" s="380" customFormat="1" ht="32.25" customHeight="1" thickBot="1">
      <c r="A2" s="1123" t="s">
        <v>483</v>
      </c>
      <c r="B2" s="1125" t="s">
        <v>484</v>
      </c>
      <c r="C2" s="1123" t="s">
        <v>485</v>
      </c>
      <c r="D2" s="1123" t="s">
        <v>486</v>
      </c>
      <c r="E2" s="1116" t="s">
        <v>487</v>
      </c>
      <c r="F2" s="1117"/>
      <c r="G2" s="1117"/>
      <c r="H2" s="1117"/>
      <c r="I2" s="1118"/>
      <c r="J2" s="1119" t="s">
        <v>178</v>
      </c>
    </row>
    <row r="3" spans="1:11" s="384" customFormat="1" ht="37.5" customHeight="1" thickBot="1">
      <c r="A3" s="1124"/>
      <c r="B3" s="1126"/>
      <c r="C3" s="1120"/>
      <c r="D3" s="1124"/>
      <c r="E3" s="381" t="s">
        <v>488</v>
      </c>
      <c r="F3" s="382" t="s">
        <v>489</v>
      </c>
      <c r="G3" s="382" t="s">
        <v>490</v>
      </c>
      <c r="H3" s="382" t="s">
        <v>491</v>
      </c>
      <c r="I3" s="383" t="s">
        <v>607</v>
      </c>
      <c r="J3" s="1120"/>
    </row>
    <row r="4" spans="1:11" ht="20.100000000000001" customHeight="1">
      <c r="A4" s="385">
        <v>1</v>
      </c>
      <c r="B4" s="386">
        <v>2</v>
      </c>
      <c r="C4" s="385">
        <v>3</v>
      </c>
      <c r="D4" s="385">
        <v>4</v>
      </c>
      <c r="E4" s="387">
        <v>5</v>
      </c>
      <c r="F4" s="388">
        <v>6</v>
      </c>
      <c r="G4" s="388">
        <v>7</v>
      </c>
      <c r="H4" s="388">
        <v>8</v>
      </c>
      <c r="I4" s="389">
        <v>9</v>
      </c>
      <c r="J4" s="385" t="s">
        <v>492</v>
      </c>
    </row>
    <row r="5" spans="1:11" s="398" customFormat="1" ht="20.100000000000001" customHeight="1">
      <c r="A5" s="390" t="s">
        <v>304</v>
      </c>
      <c r="B5" s="391" t="s">
        <v>493</v>
      </c>
      <c r="C5" s="392"/>
      <c r="D5" s="393"/>
      <c r="E5" s="394">
        <f>SUM(E6:E6)</f>
        <v>0</v>
      </c>
      <c r="F5" s="395"/>
      <c r="G5" s="395"/>
      <c r="H5" s="395"/>
      <c r="I5" s="396"/>
      <c r="J5" s="397"/>
    </row>
    <row r="6" spans="1:11" ht="20.100000000000001" customHeight="1">
      <c r="A6" s="390" t="s">
        <v>409</v>
      </c>
      <c r="B6" s="399"/>
      <c r="C6" s="400"/>
      <c r="D6" s="401"/>
      <c r="E6" s="402"/>
      <c r="F6" s="403"/>
      <c r="G6" s="403"/>
      <c r="H6" s="403"/>
      <c r="I6" s="404"/>
      <c r="J6" s="397"/>
    </row>
    <row r="7" spans="1:11" ht="20.100000000000001" customHeight="1">
      <c r="A7" s="390" t="s">
        <v>468</v>
      </c>
      <c r="B7" s="405"/>
      <c r="C7" s="406"/>
      <c r="D7" s="401"/>
      <c r="E7" s="402"/>
      <c r="F7" s="403"/>
      <c r="G7" s="403"/>
      <c r="H7" s="403"/>
      <c r="I7" s="404"/>
      <c r="J7" s="397"/>
    </row>
    <row r="8" spans="1:11" ht="20.100000000000001" customHeight="1">
      <c r="A8" s="390" t="s">
        <v>469</v>
      </c>
      <c r="B8" s="405"/>
      <c r="C8" s="406"/>
      <c r="D8" s="401"/>
      <c r="E8" s="402"/>
      <c r="F8" s="403"/>
      <c r="G8" s="403"/>
      <c r="H8" s="403"/>
      <c r="I8" s="404"/>
      <c r="J8" s="397"/>
    </row>
    <row r="9" spans="1:11" s="398" customFormat="1" ht="20.100000000000001" customHeight="1">
      <c r="A9" s="390" t="s">
        <v>470</v>
      </c>
      <c r="B9" s="407" t="s">
        <v>494</v>
      </c>
      <c r="C9" s="408"/>
      <c r="D9" s="393">
        <f t="shared" ref="D9:J9" si="0">SUM(D10:D11)</f>
        <v>0</v>
      </c>
      <c r="E9" s="394">
        <f t="shared" si="0"/>
        <v>0</v>
      </c>
      <c r="F9" s="395">
        <f t="shared" si="0"/>
        <v>0</v>
      </c>
      <c r="G9" s="395">
        <f t="shared" si="0"/>
        <v>0</v>
      </c>
      <c r="H9" s="395">
        <f t="shared" si="0"/>
        <v>0</v>
      </c>
      <c r="I9" s="396">
        <f t="shared" si="0"/>
        <v>0</v>
      </c>
      <c r="J9" s="393">
        <f t="shared" si="0"/>
        <v>0</v>
      </c>
    </row>
    <row r="10" spans="1:11" ht="20.100000000000001" customHeight="1">
      <c r="A10" s="390" t="s">
        <v>471</v>
      </c>
      <c r="B10" s="399"/>
      <c r="C10" s="400"/>
      <c r="D10" s="401">
        <v>0</v>
      </c>
      <c r="E10" s="402">
        <v>0</v>
      </c>
      <c r="F10" s="403">
        <v>0</v>
      </c>
      <c r="G10" s="403">
        <v>0</v>
      </c>
      <c r="H10" s="403">
        <v>0</v>
      </c>
      <c r="I10" s="404">
        <v>0</v>
      </c>
      <c r="J10" s="397">
        <f>SUM(D10:I10)</f>
        <v>0</v>
      </c>
    </row>
    <row r="11" spans="1:11" ht="20.100000000000001" customHeight="1">
      <c r="A11" s="390" t="s">
        <v>472</v>
      </c>
      <c r="B11" s="399"/>
      <c r="C11" s="400"/>
      <c r="D11" s="401"/>
      <c r="E11" s="402"/>
      <c r="F11" s="403"/>
      <c r="G11" s="403"/>
      <c r="H11" s="403"/>
      <c r="I11" s="404"/>
      <c r="J11" s="397">
        <f>SUM(D11:I11)</f>
        <v>0</v>
      </c>
      <c r="K11" s="409"/>
    </row>
    <row r="12" spans="1:11" ht="19.5" customHeight="1">
      <c r="A12" s="390" t="s">
        <v>473</v>
      </c>
      <c r="B12" s="399"/>
      <c r="C12" s="400"/>
      <c r="D12" s="401"/>
      <c r="E12" s="402"/>
      <c r="F12" s="403"/>
      <c r="G12" s="403"/>
      <c r="H12" s="403"/>
      <c r="I12" s="404"/>
      <c r="J12" s="397"/>
    </row>
    <row r="13" spans="1:11" ht="20.100000000000001" customHeight="1">
      <c r="A13" s="390" t="s">
        <v>474</v>
      </c>
      <c r="B13" s="410"/>
      <c r="C13" s="411"/>
      <c r="D13" s="412"/>
      <c r="E13" s="413"/>
      <c r="F13" s="414"/>
      <c r="G13" s="414"/>
      <c r="H13" s="414"/>
      <c r="I13" s="415"/>
      <c r="J13" s="397"/>
    </row>
    <row r="14" spans="1:11" s="398" customFormat="1" ht="13.2">
      <c r="A14" s="390" t="s">
        <v>475</v>
      </c>
      <c r="B14" s="416" t="s">
        <v>495</v>
      </c>
      <c r="C14" s="408"/>
      <c r="D14" s="417">
        <f>+D15+D16</f>
        <v>24727</v>
      </c>
      <c r="E14" s="803">
        <f t="shared" ref="E14:J14" si="1">+E15+E16</f>
        <v>8973</v>
      </c>
      <c r="F14" s="805">
        <f t="shared" si="1"/>
        <v>0</v>
      </c>
      <c r="G14" s="804">
        <f t="shared" si="1"/>
        <v>1812</v>
      </c>
      <c r="H14" s="417">
        <f t="shared" si="1"/>
        <v>0</v>
      </c>
      <c r="I14" s="417">
        <f t="shared" si="1"/>
        <v>0</v>
      </c>
      <c r="J14" s="417">
        <f t="shared" si="1"/>
        <v>35512</v>
      </c>
    </row>
    <row r="15" spans="1:11" s="422" customFormat="1">
      <c r="A15" s="390" t="s">
        <v>476</v>
      </c>
      <c r="B15" s="604" t="s">
        <v>496</v>
      </c>
      <c r="C15" s="418">
        <v>2012</v>
      </c>
      <c r="D15" s="419">
        <v>23327</v>
      </c>
      <c r="E15" s="420">
        <v>6673</v>
      </c>
      <c r="F15" s="334"/>
      <c r="G15" s="334"/>
      <c r="H15" s="334"/>
      <c r="I15" s="421"/>
      <c r="J15" s="397">
        <f>SUM(E15+G15+H15+I15)+D15</f>
        <v>30000</v>
      </c>
    </row>
    <row r="16" spans="1:11" ht="15" thickBot="1">
      <c r="A16" s="423" t="s">
        <v>477</v>
      </c>
      <c r="B16" s="604" t="s">
        <v>711</v>
      </c>
      <c r="C16" s="418">
        <v>2015</v>
      </c>
      <c r="D16" s="424">
        <v>1400</v>
      </c>
      <c r="E16" s="425">
        <v>2300</v>
      </c>
      <c r="F16" s="426"/>
      <c r="G16" s="426">
        <v>1812</v>
      </c>
      <c r="H16" s="426"/>
      <c r="I16" s="427"/>
      <c r="J16" s="397">
        <f>SUM(E16+G16+H16+I16)+D16</f>
        <v>5512</v>
      </c>
    </row>
    <row r="17" spans="1:10" s="398" customFormat="1" ht="13.8" thickBot="1">
      <c r="A17" s="1121" t="s">
        <v>497</v>
      </c>
      <c r="B17" s="1122"/>
      <c r="C17" s="428"/>
      <c r="D17" s="429">
        <f>+D14+D9</f>
        <v>24727</v>
      </c>
      <c r="E17" s="430">
        <f t="shared" ref="E17:J17" si="2">+E14+E9</f>
        <v>8973</v>
      </c>
      <c r="F17" s="431">
        <f t="shared" si="2"/>
        <v>0</v>
      </c>
      <c r="G17" s="431">
        <f t="shared" si="2"/>
        <v>1812</v>
      </c>
      <c r="H17" s="431">
        <f t="shared" si="2"/>
        <v>0</v>
      </c>
      <c r="I17" s="432">
        <f t="shared" si="2"/>
        <v>0</v>
      </c>
      <c r="J17" s="429">
        <f t="shared" si="2"/>
        <v>35512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topLeftCell="A7" zoomScale="89" zoomScaleNormal="89" workbookViewId="0">
      <selection activeCell="I37" sqref="I37"/>
    </sheetView>
  </sheetViews>
  <sheetFormatPr defaultColWidth="9.109375" defaultRowHeight="13.2"/>
  <cols>
    <col min="1" max="1" width="4.109375" style="335" customWidth="1"/>
    <col min="2" max="2" width="31.44140625" style="336" customWidth="1"/>
    <col min="3" max="3" width="8.88671875" style="336" bestFit="1" customWidth="1"/>
    <col min="4" max="5" width="7.6640625" style="336" customWidth="1"/>
    <col min="6" max="6" width="8.109375" style="336" customWidth="1"/>
    <col min="7" max="7" width="7.5546875" style="336" customWidth="1"/>
    <col min="8" max="8" width="7.44140625" style="336" customWidth="1"/>
    <col min="9" max="9" width="7.5546875" style="336" customWidth="1"/>
    <col min="10" max="10" width="8.5546875" style="336" customWidth="1"/>
    <col min="11" max="11" width="8.109375" style="336" customWidth="1"/>
    <col min="12" max="12" width="10.44140625" style="336" customWidth="1"/>
    <col min="13" max="13" width="8.109375" style="336" customWidth="1"/>
    <col min="14" max="14" width="8.5546875" style="336" customWidth="1"/>
    <col min="15" max="15" width="9.109375" style="336" customWidth="1"/>
    <col min="16" max="16" width="10.88671875" style="335" customWidth="1"/>
    <col min="17" max="16384" width="9.109375" style="336"/>
  </cols>
  <sheetData>
    <row r="1" spans="1:17" ht="13.8" thickBot="1">
      <c r="P1" s="337" t="s">
        <v>479</v>
      </c>
    </row>
    <row r="2" spans="1:17" s="335" customFormat="1" ht="39.6">
      <c r="A2" s="338" t="s">
        <v>467</v>
      </c>
      <c r="B2" s="339" t="s">
        <v>279</v>
      </c>
      <c r="C2" s="340" t="s">
        <v>828</v>
      </c>
      <c r="D2" s="339" t="s">
        <v>453</v>
      </c>
      <c r="E2" s="339" t="s">
        <v>454</v>
      </c>
      <c r="F2" s="339" t="s">
        <v>455</v>
      </c>
      <c r="G2" s="339" t="s">
        <v>456</v>
      </c>
      <c r="H2" s="339" t="s">
        <v>457</v>
      </c>
      <c r="I2" s="339" t="s">
        <v>458</v>
      </c>
      <c r="J2" s="339" t="s">
        <v>459</v>
      </c>
      <c r="K2" s="339" t="s">
        <v>480</v>
      </c>
      <c r="L2" s="339" t="s">
        <v>460</v>
      </c>
      <c r="M2" s="339" t="s">
        <v>461</v>
      </c>
      <c r="N2" s="339" t="s">
        <v>462</v>
      </c>
      <c r="O2" s="339" t="s">
        <v>463</v>
      </c>
      <c r="P2" s="341" t="s">
        <v>478</v>
      </c>
    </row>
    <row r="3" spans="1:17" s="343" customFormat="1">
      <c r="A3" s="342"/>
      <c r="B3" s="1127" t="s">
        <v>334</v>
      </c>
      <c r="C3" s="1127"/>
      <c r="D3" s="1127"/>
      <c r="E3" s="1127"/>
      <c r="F3" s="1127"/>
      <c r="G3" s="1127"/>
      <c r="H3" s="1127"/>
      <c r="I3" s="1127"/>
      <c r="J3" s="1127"/>
      <c r="K3" s="1127"/>
      <c r="L3" s="1127"/>
      <c r="M3" s="1127"/>
      <c r="N3" s="1127"/>
      <c r="O3" s="1127"/>
      <c r="P3" s="1128"/>
    </row>
    <row r="4" spans="1:17" s="346" customFormat="1" ht="15" customHeight="1">
      <c r="A4" s="342"/>
      <c r="B4" s="66" t="s">
        <v>327</v>
      </c>
      <c r="C4" s="91">
        <f>+'1.mell. Mérleg'!E5</f>
        <v>591393</v>
      </c>
      <c r="D4" s="344">
        <v>49283</v>
      </c>
      <c r="E4" s="344">
        <v>49283</v>
      </c>
      <c r="F4" s="344">
        <v>49283</v>
      </c>
      <c r="G4" s="344">
        <v>49283</v>
      </c>
      <c r="H4" s="344">
        <v>49283</v>
      </c>
      <c r="I4" s="344">
        <v>49283</v>
      </c>
      <c r="J4" s="344">
        <v>49283</v>
      </c>
      <c r="K4" s="344">
        <v>49283</v>
      </c>
      <c r="L4" s="344">
        <v>49283</v>
      </c>
      <c r="M4" s="344">
        <v>49283</v>
      </c>
      <c r="N4" s="344">
        <v>49283</v>
      </c>
      <c r="O4" s="344">
        <v>49280</v>
      </c>
      <c r="P4" s="345">
        <f>SUM(D4:O4)</f>
        <v>591393</v>
      </c>
    </row>
    <row r="5" spans="1:17" s="346" customFormat="1" ht="26.4">
      <c r="A5" s="342"/>
      <c r="B5" s="66" t="s">
        <v>202</v>
      </c>
      <c r="C5" s="91">
        <f>+'1.mell. Mérleg'!E6</f>
        <v>58818</v>
      </c>
      <c r="D5" s="344">
        <v>4901</v>
      </c>
      <c r="E5" s="344">
        <v>4902</v>
      </c>
      <c r="F5" s="344">
        <v>4901</v>
      </c>
      <c r="G5" s="344">
        <v>4902</v>
      </c>
      <c r="H5" s="344">
        <v>4901</v>
      </c>
      <c r="I5" s="344">
        <v>4902</v>
      </c>
      <c r="J5" s="344">
        <v>4901</v>
      </c>
      <c r="K5" s="344">
        <v>4902</v>
      </c>
      <c r="L5" s="344">
        <v>4901</v>
      </c>
      <c r="M5" s="344">
        <v>4902</v>
      </c>
      <c r="N5" s="344">
        <v>4901</v>
      </c>
      <c r="O5" s="344">
        <v>4902</v>
      </c>
      <c r="P5" s="345">
        <f>SUM(D5:O5)</f>
        <v>58818</v>
      </c>
    </row>
    <row r="6" spans="1:17" s="350" customFormat="1" ht="26.4">
      <c r="A6" s="347"/>
      <c r="B6" s="67" t="s">
        <v>325</v>
      </c>
      <c r="C6" s="95">
        <f>+C4+C5</f>
        <v>650211</v>
      </c>
      <c r="D6" s="348">
        <f>SUM(D4:D5)</f>
        <v>54184</v>
      </c>
      <c r="E6" s="348">
        <f t="shared" ref="E6:P6" si="0">SUM(E4:E5)</f>
        <v>54185</v>
      </c>
      <c r="F6" s="348">
        <f t="shared" si="0"/>
        <v>54184</v>
      </c>
      <c r="G6" s="348">
        <f t="shared" si="0"/>
        <v>54185</v>
      </c>
      <c r="H6" s="348">
        <f t="shared" si="0"/>
        <v>54184</v>
      </c>
      <c r="I6" s="348">
        <f t="shared" si="0"/>
        <v>54185</v>
      </c>
      <c r="J6" s="348">
        <f t="shared" si="0"/>
        <v>54184</v>
      </c>
      <c r="K6" s="348">
        <f t="shared" si="0"/>
        <v>54185</v>
      </c>
      <c r="L6" s="348">
        <f t="shared" si="0"/>
        <v>54184</v>
      </c>
      <c r="M6" s="348">
        <f t="shared" si="0"/>
        <v>54185</v>
      </c>
      <c r="N6" s="348">
        <f t="shared" si="0"/>
        <v>54184</v>
      </c>
      <c r="O6" s="348">
        <f t="shared" si="0"/>
        <v>54182</v>
      </c>
      <c r="P6" s="349">
        <f t="shared" si="0"/>
        <v>650211</v>
      </c>
      <c r="Q6" s="346"/>
    </row>
    <row r="7" spans="1:17" s="346" customFormat="1">
      <c r="A7" s="342"/>
      <c r="B7" s="66" t="s">
        <v>217</v>
      </c>
      <c r="C7" s="91">
        <f>+'1.mell. Mérleg'!E10</f>
        <v>176270</v>
      </c>
      <c r="D7" s="344">
        <v>2780</v>
      </c>
      <c r="E7" s="344">
        <v>2780</v>
      </c>
      <c r="F7" s="344">
        <v>50000</v>
      </c>
      <c r="G7" s="344">
        <v>22780</v>
      </c>
      <c r="H7" s="344">
        <f>2780+4470</f>
        <v>7250</v>
      </c>
      <c r="I7" s="344">
        <v>2780</v>
      </c>
      <c r="J7" s="344">
        <v>2780</v>
      </c>
      <c r="K7" s="344">
        <v>2780</v>
      </c>
      <c r="L7" s="344">
        <v>2780</v>
      </c>
      <c r="M7" s="344">
        <v>40000</v>
      </c>
      <c r="N7" s="344">
        <v>36780</v>
      </c>
      <c r="O7" s="344">
        <v>2780</v>
      </c>
      <c r="P7" s="345">
        <f t="shared" ref="P7:P12" si="1">SUM(D7:O7)</f>
        <v>176270</v>
      </c>
    </row>
    <row r="8" spans="1:17" s="346" customFormat="1">
      <c r="A8" s="342"/>
      <c r="B8" s="66" t="s">
        <v>330</v>
      </c>
      <c r="C8" s="91">
        <f>+'1.mell. Mérleg'!E11</f>
        <v>142231</v>
      </c>
      <c r="D8" s="344">
        <v>3900</v>
      </c>
      <c r="E8" s="344">
        <v>3900</v>
      </c>
      <c r="F8" s="344">
        <v>45000</v>
      </c>
      <c r="G8" s="344">
        <v>6900</v>
      </c>
      <c r="H8" s="344">
        <v>3900</v>
      </c>
      <c r="I8" s="344">
        <v>3900</v>
      </c>
      <c r="J8" s="344">
        <v>3900</v>
      </c>
      <c r="K8" s="344">
        <v>3900</v>
      </c>
      <c r="L8" s="344">
        <v>45000</v>
      </c>
      <c r="M8" s="344">
        <f>6900+7231</f>
        <v>14131</v>
      </c>
      <c r="N8" s="344">
        <v>3900</v>
      </c>
      <c r="O8" s="344">
        <v>3900</v>
      </c>
      <c r="P8" s="345">
        <f t="shared" si="1"/>
        <v>142231</v>
      </c>
    </row>
    <row r="9" spans="1:17" s="346" customFormat="1">
      <c r="A9" s="342"/>
      <c r="B9" s="66" t="s">
        <v>230</v>
      </c>
      <c r="C9" s="91">
        <f>+'1.mell. Mérleg'!E12</f>
        <v>4832</v>
      </c>
      <c r="D9" s="344">
        <v>402</v>
      </c>
      <c r="E9" s="344">
        <v>403</v>
      </c>
      <c r="F9" s="344">
        <v>402</v>
      </c>
      <c r="G9" s="344">
        <v>403</v>
      </c>
      <c r="H9" s="344">
        <v>402</v>
      </c>
      <c r="I9" s="344">
        <v>403</v>
      </c>
      <c r="J9" s="344">
        <v>402</v>
      </c>
      <c r="K9" s="344">
        <v>403</v>
      </c>
      <c r="L9" s="344">
        <v>402</v>
      </c>
      <c r="M9" s="344">
        <v>404</v>
      </c>
      <c r="N9" s="344">
        <v>403</v>
      </c>
      <c r="O9" s="344">
        <v>403</v>
      </c>
      <c r="P9" s="345">
        <f t="shared" si="1"/>
        <v>4832</v>
      </c>
    </row>
    <row r="10" spans="1:17" s="350" customFormat="1">
      <c r="A10" s="347"/>
      <c r="B10" s="67" t="s">
        <v>331</v>
      </c>
      <c r="C10" s="95">
        <f>SUM(C7:C9)</f>
        <v>323333</v>
      </c>
      <c r="D10" s="348">
        <f>SUM(D7:D9)</f>
        <v>7082</v>
      </c>
      <c r="E10" s="348">
        <f t="shared" ref="E10:P10" si="2">SUM(E7:E9)</f>
        <v>7083</v>
      </c>
      <c r="F10" s="348">
        <f t="shared" si="2"/>
        <v>95402</v>
      </c>
      <c r="G10" s="348">
        <f t="shared" si="2"/>
        <v>30083</v>
      </c>
      <c r="H10" s="348">
        <f t="shared" si="2"/>
        <v>11552</v>
      </c>
      <c r="I10" s="348">
        <f t="shared" si="2"/>
        <v>7083</v>
      </c>
      <c r="J10" s="348">
        <f t="shared" si="2"/>
        <v>7082</v>
      </c>
      <c r="K10" s="348">
        <f t="shared" si="2"/>
        <v>7083</v>
      </c>
      <c r="L10" s="348">
        <f t="shared" si="2"/>
        <v>48182</v>
      </c>
      <c r="M10" s="348">
        <f t="shared" si="2"/>
        <v>54535</v>
      </c>
      <c r="N10" s="348">
        <f t="shared" si="2"/>
        <v>41083</v>
      </c>
      <c r="O10" s="348">
        <f t="shared" si="2"/>
        <v>7083</v>
      </c>
      <c r="P10" s="349">
        <f t="shared" si="2"/>
        <v>323333</v>
      </c>
      <c r="Q10" s="346"/>
    </row>
    <row r="11" spans="1:17" s="346" customFormat="1">
      <c r="A11" s="342"/>
      <c r="B11" s="66" t="s">
        <v>277</v>
      </c>
      <c r="C11" s="91">
        <f>+'1.mell. Mérleg'!E13</f>
        <v>51135</v>
      </c>
      <c r="D11" s="344">
        <v>4261</v>
      </c>
      <c r="E11" s="344">
        <v>4261</v>
      </c>
      <c r="F11" s="344">
        <v>4261</v>
      </c>
      <c r="G11" s="344">
        <v>4261</v>
      </c>
      <c r="H11" s="344">
        <v>4262</v>
      </c>
      <c r="I11" s="344">
        <v>4261</v>
      </c>
      <c r="J11" s="344">
        <v>4261</v>
      </c>
      <c r="K11" s="344">
        <v>4261</v>
      </c>
      <c r="L11" s="344">
        <v>4263</v>
      </c>
      <c r="M11" s="344">
        <v>4261</v>
      </c>
      <c r="N11" s="344">
        <v>4261</v>
      </c>
      <c r="O11" s="344">
        <v>4261</v>
      </c>
      <c r="P11" s="345">
        <f t="shared" si="1"/>
        <v>51135</v>
      </c>
    </row>
    <row r="12" spans="1:17" s="346" customFormat="1">
      <c r="A12" s="342"/>
      <c r="B12" s="66" t="s">
        <v>275</v>
      </c>
      <c r="C12" s="91">
        <f>+'1.mell. Mérleg'!E14</f>
        <v>19775</v>
      </c>
      <c r="D12" s="344">
        <f>19500-4500</f>
        <v>15000</v>
      </c>
      <c r="E12" s="344"/>
      <c r="F12" s="344">
        <v>11</v>
      </c>
      <c r="G12" s="344"/>
      <c r="H12" s="344"/>
      <c r="I12" s="344">
        <v>10</v>
      </c>
      <c r="J12" s="344">
        <v>3983</v>
      </c>
      <c r="K12" s="344"/>
      <c r="L12" s="344">
        <v>11</v>
      </c>
      <c r="M12" s="344"/>
      <c r="N12" s="344">
        <v>750</v>
      </c>
      <c r="O12" s="344">
        <v>10</v>
      </c>
      <c r="P12" s="345">
        <f t="shared" si="1"/>
        <v>19775</v>
      </c>
    </row>
    <row r="13" spans="1:17" s="350" customFormat="1">
      <c r="A13" s="351"/>
      <c r="B13" s="352" t="s">
        <v>407</v>
      </c>
      <c r="C13" s="353">
        <f>+C12+C11+C10+C6</f>
        <v>1044454</v>
      </c>
      <c r="D13" s="353">
        <f t="shared" ref="D13:P13" si="3">+D12+D11+D10+D6</f>
        <v>80527</v>
      </c>
      <c r="E13" s="353">
        <f t="shared" si="3"/>
        <v>65529</v>
      </c>
      <c r="F13" s="353">
        <f t="shared" si="3"/>
        <v>153858</v>
      </c>
      <c r="G13" s="353">
        <f t="shared" si="3"/>
        <v>88529</v>
      </c>
      <c r="H13" s="353">
        <f t="shared" si="3"/>
        <v>69998</v>
      </c>
      <c r="I13" s="353">
        <f t="shared" si="3"/>
        <v>65539</v>
      </c>
      <c r="J13" s="353">
        <f t="shared" si="3"/>
        <v>69510</v>
      </c>
      <c r="K13" s="353">
        <f t="shared" si="3"/>
        <v>65529</v>
      </c>
      <c r="L13" s="353">
        <f t="shared" si="3"/>
        <v>106640</v>
      </c>
      <c r="M13" s="353">
        <f t="shared" si="3"/>
        <v>112981</v>
      </c>
      <c r="N13" s="353">
        <f t="shared" si="3"/>
        <v>100278</v>
      </c>
      <c r="O13" s="353">
        <f t="shared" si="3"/>
        <v>65536</v>
      </c>
      <c r="P13" s="354">
        <f t="shared" si="3"/>
        <v>1044454</v>
      </c>
      <c r="Q13" s="346"/>
    </row>
    <row r="14" spans="1:17" s="346" customFormat="1" ht="26.4">
      <c r="A14" s="342"/>
      <c r="B14" s="66" t="s">
        <v>326</v>
      </c>
      <c r="C14" s="91">
        <f>+'1.mell. Mérleg'!E16</f>
        <v>807103</v>
      </c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>
        <v>807103</v>
      </c>
      <c r="P14" s="349">
        <f>SUM(D14:O14)</f>
        <v>807103</v>
      </c>
    </row>
    <row r="15" spans="1:17" s="346" customFormat="1" ht="14.1" customHeight="1">
      <c r="A15" s="342"/>
      <c r="B15" s="66" t="s">
        <v>276</v>
      </c>
      <c r="C15" s="91">
        <f>+'1.mell. Mérleg'!E17</f>
        <v>49605</v>
      </c>
      <c r="D15" s="344">
        <v>21000</v>
      </c>
      <c r="E15" s="344"/>
      <c r="F15" s="344"/>
      <c r="G15" s="344"/>
      <c r="H15" s="344"/>
      <c r="I15" s="344"/>
      <c r="J15" s="344">
        <v>28605</v>
      </c>
      <c r="K15" s="344"/>
      <c r="L15" s="344"/>
      <c r="M15" s="344"/>
      <c r="N15" s="344"/>
      <c r="O15" s="344"/>
      <c r="P15" s="349">
        <f>SUM(D15:O15)</f>
        <v>49605</v>
      </c>
    </row>
    <row r="16" spans="1:17" s="346" customFormat="1" ht="14.1" customHeight="1">
      <c r="A16" s="342"/>
      <c r="B16" s="66" t="s">
        <v>280</v>
      </c>
      <c r="C16" s="91">
        <f>+'1.mell. Mérleg'!E18</f>
        <v>0</v>
      </c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9">
        <f>SUM(D16:O16)</f>
        <v>0</v>
      </c>
    </row>
    <row r="17" spans="1:17" s="346" customFormat="1" ht="14.1" customHeight="1">
      <c r="A17" s="355"/>
      <c r="B17" s="352" t="s">
        <v>276</v>
      </c>
      <c r="C17" s="353">
        <f>+C16+C15+C14</f>
        <v>856708</v>
      </c>
      <c r="D17" s="353">
        <f t="shared" ref="D17:P17" si="4">+D16+D15+D14</f>
        <v>21000</v>
      </c>
      <c r="E17" s="353">
        <f t="shared" si="4"/>
        <v>0</v>
      </c>
      <c r="F17" s="353">
        <f t="shared" si="4"/>
        <v>0</v>
      </c>
      <c r="G17" s="353">
        <f t="shared" si="4"/>
        <v>0</v>
      </c>
      <c r="H17" s="353">
        <f t="shared" si="4"/>
        <v>0</v>
      </c>
      <c r="I17" s="353">
        <f t="shared" si="4"/>
        <v>0</v>
      </c>
      <c r="J17" s="353">
        <f t="shared" si="4"/>
        <v>28605</v>
      </c>
      <c r="K17" s="353">
        <f t="shared" si="4"/>
        <v>0</v>
      </c>
      <c r="L17" s="353">
        <f t="shared" si="4"/>
        <v>0</v>
      </c>
      <c r="M17" s="353">
        <f t="shared" si="4"/>
        <v>0</v>
      </c>
      <c r="N17" s="353">
        <f t="shared" si="4"/>
        <v>0</v>
      </c>
      <c r="O17" s="353">
        <f t="shared" si="4"/>
        <v>807103</v>
      </c>
      <c r="P17" s="354">
        <f t="shared" si="4"/>
        <v>856708</v>
      </c>
    </row>
    <row r="18" spans="1:17" s="346" customFormat="1" ht="14.1" customHeight="1">
      <c r="A18" s="342"/>
      <c r="B18" s="66" t="s">
        <v>390</v>
      </c>
      <c r="C18" s="91">
        <f>+'1.mell. Mérleg'!E21</f>
        <v>0</v>
      </c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9">
        <f>SUM(D18:O18)</f>
        <v>0</v>
      </c>
    </row>
    <row r="19" spans="1:17" s="346" customFormat="1" ht="14.1" customHeight="1">
      <c r="A19" s="342"/>
      <c r="B19" s="66" t="s">
        <v>1012</v>
      </c>
      <c r="C19" s="91">
        <f>+'1.mell. Mérleg'!E22</f>
        <v>140000</v>
      </c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>
        <v>140000</v>
      </c>
      <c r="P19" s="349">
        <f t="shared" ref="P19:P20" si="5">SUM(D19:O19)</f>
        <v>140000</v>
      </c>
    </row>
    <row r="20" spans="1:17" s="346" customFormat="1" ht="14.1" customHeight="1">
      <c r="A20" s="342"/>
      <c r="B20" s="66" t="s">
        <v>391</v>
      </c>
      <c r="C20" s="91">
        <f>+'1.mell. Mérleg'!E24</f>
        <v>56840</v>
      </c>
      <c r="D20" s="344"/>
      <c r="E20" s="344"/>
      <c r="F20" s="344"/>
      <c r="G20" s="344"/>
      <c r="H20" s="344">
        <v>11562</v>
      </c>
      <c r="I20" s="344"/>
      <c r="J20" s="344"/>
      <c r="K20" s="344">
        <v>33947</v>
      </c>
      <c r="L20" s="344"/>
      <c r="M20" s="344">
        <v>4735</v>
      </c>
      <c r="N20" s="344">
        <v>6596</v>
      </c>
      <c r="O20" s="344"/>
      <c r="P20" s="349">
        <f t="shared" si="5"/>
        <v>56840</v>
      </c>
    </row>
    <row r="21" spans="1:17" s="346" customFormat="1" ht="14.1" customHeight="1">
      <c r="A21" s="342"/>
      <c r="B21" s="66" t="s">
        <v>392</v>
      </c>
      <c r="C21" s="91">
        <f>+'1.mell. Mérleg'!E25</f>
        <v>355806</v>
      </c>
      <c r="D21" s="344">
        <v>185376</v>
      </c>
      <c r="E21" s="344">
        <v>45899</v>
      </c>
      <c r="F21" s="344"/>
      <c r="G21" s="344"/>
      <c r="H21" s="344">
        <v>29344</v>
      </c>
      <c r="I21" s="344">
        <v>38987</v>
      </c>
      <c r="J21" s="344">
        <v>38206</v>
      </c>
      <c r="K21" s="344"/>
      <c r="L21" s="344"/>
      <c r="M21" s="344"/>
      <c r="N21" s="344">
        <v>6669</v>
      </c>
      <c r="O21" s="344">
        <v>11325</v>
      </c>
      <c r="P21" s="349">
        <f>SUM(D21:O21)</f>
        <v>355806</v>
      </c>
    </row>
    <row r="22" spans="1:17" s="350" customFormat="1" ht="14.1" customHeight="1">
      <c r="A22" s="347"/>
      <c r="B22" s="67" t="s">
        <v>332</v>
      </c>
      <c r="C22" s="95">
        <f>+C21+C20</f>
        <v>412646</v>
      </c>
      <c r="D22" s="95">
        <f t="shared" ref="D22:P22" si="6">+D21+D20</f>
        <v>185376</v>
      </c>
      <c r="E22" s="95">
        <f t="shared" si="6"/>
        <v>45899</v>
      </c>
      <c r="F22" s="95">
        <f t="shared" si="6"/>
        <v>0</v>
      </c>
      <c r="G22" s="95">
        <f t="shared" si="6"/>
        <v>0</v>
      </c>
      <c r="H22" s="95">
        <f t="shared" si="6"/>
        <v>40906</v>
      </c>
      <c r="I22" s="95">
        <f t="shared" si="6"/>
        <v>38987</v>
      </c>
      <c r="J22" s="95">
        <f t="shared" si="6"/>
        <v>38206</v>
      </c>
      <c r="K22" s="95">
        <f t="shared" si="6"/>
        <v>33947</v>
      </c>
      <c r="L22" s="95">
        <f t="shared" si="6"/>
        <v>0</v>
      </c>
      <c r="M22" s="95">
        <f t="shared" si="6"/>
        <v>4735</v>
      </c>
      <c r="N22" s="95">
        <f t="shared" si="6"/>
        <v>13265</v>
      </c>
      <c r="O22" s="95">
        <f t="shared" si="6"/>
        <v>11325</v>
      </c>
      <c r="P22" s="356">
        <f t="shared" si="6"/>
        <v>412646</v>
      </c>
      <c r="Q22" s="346"/>
    </row>
    <row r="23" spans="1:17" s="346" customFormat="1" ht="14.1" customHeight="1">
      <c r="A23" s="355"/>
      <c r="B23" s="357" t="s">
        <v>283</v>
      </c>
      <c r="C23" s="353">
        <f>+C22+C18+C19</f>
        <v>552646</v>
      </c>
      <c r="D23" s="353">
        <f t="shared" ref="D23:N23" si="7">+D22+D18</f>
        <v>185376</v>
      </c>
      <c r="E23" s="353">
        <f t="shared" si="7"/>
        <v>45899</v>
      </c>
      <c r="F23" s="353">
        <f t="shared" si="7"/>
        <v>0</v>
      </c>
      <c r="G23" s="353">
        <f t="shared" si="7"/>
        <v>0</v>
      </c>
      <c r="H23" s="353">
        <f t="shared" si="7"/>
        <v>40906</v>
      </c>
      <c r="I23" s="353">
        <f t="shared" si="7"/>
        <v>38987</v>
      </c>
      <c r="J23" s="353">
        <f t="shared" si="7"/>
        <v>38206</v>
      </c>
      <c r="K23" s="353">
        <f t="shared" si="7"/>
        <v>33947</v>
      </c>
      <c r="L23" s="353">
        <f t="shared" si="7"/>
        <v>0</v>
      </c>
      <c r="M23" s="353">
        <f t="shared" si="7"/>
        <v>4735</v>
      </c>
      <c r="N23" s="353">
        <f t="shared" si="7"/>
        <v>13265</v>
      </c>
      <c r="O23" s="353">
        <f>+O22+O18+O19</f>
        <v>151325</v>
      </c>
      <c r="P23" s="353">
        <f>+P22+P18+P19</f>
        <v>552646</v>
      </c>
    </row>
    <row r="24" spans="1:17" s="343" customFormat="1" ht="15.9" customHeight="1" thickBot="1">
      <c r="A24" s="358"/>
      <c r="B24" s="359" t="s">
        <v>394</v>
      </c>
      <c r="C24" s="360">
        <f>+C23+C17+C13</f>
        <v>2453808</v>
      </c>
      <c r="D24" s="360">
        <f t="shared" ref="D24:P24" si="8">+D23+D17+D13</f>
        <v>286903</v>
      </c>
      <c r="E24" s="360">
        <f t="shared" si="8"/>
        <v>111428</v>
      </c>
      <c r="F24" s="360">
        <f t="shared" si="8"/>
        <v>153858</v>
      </c>
      <c r="G24" s="360">
        <f t="shared" si="8"/>
        <v>88529</v>
      </c>
      <c r="H24" s="360">
        <f t="shared" si="8"/>
        <v>110904</v>
      </c>
      <c r="I24" s="360">
        <f t="shared" si="8"/>
        <v>104526</v>
      </c>
      <c r="J24" s="360">
        <f t="shared" si="8"/>
        <v>136321</v>
      </c>
      <c r="K24" s="360">
        <f t="shared" si="8"/>
        <v>99476</v>
      </c>
      <c r="L24" s="360">
        <f t="shared" si="8"/>
        <v>106640</v>
      </c>
      <c r="M24" s="360">
        <f t="shared" si="8"/>
        <v>117716</v>
      </c>
      <c r="N24" s="360">
        <f t="shared" si="8"/>
        <v>113543</v>
      </c>
      <c r="O24" s="360">
        <f t="shared" si="8"/>
        <v>1023964</v>
      </c>
      <c r="P24" s="361">
        <f t="shared" si="8"/>
        <v>2453808</v>
      </c>
      <c r="Q24" s="346"/>
    </row>
    <row r="25" spans="1:17" s="343" customFormat="1" ht="15" customHeight="1" thickBot="1">
      <c r="A25" s="362"/>
      <c r="B25" s="1129"/>
      <c r="C25" s="1129"/>
      <c r="D25" s="1129"/>
      <c r="E25" s="1129"/>
      <c r="F25" s="1129"/>
      <c r="G25" s="1129"/>
      <c r="H25" s="1129"/>
      <c r="I25" s="1129"/>
      <c r="J25" s="1129"/>
      <c r="K25" s="1129"/>
      <c r="L25" s="1129"/>
      <c r="M25" s="1129"/>
      <c r="N25" s="1129"/>
      <c r="O25" s="1129"/>
      <c r="P25" s="1129"/>
      <c r="Q25" s="346"/>
    </row>
    <row r="26" spans="1:17" s="335" customFormat="1" ht="26.1" customHeight="1">
      <c r="A26" s="338" t="s">
        <v>467</v>
      </c>
      <c r="B26" s="339" t="s">
        <v>279</v>
      </c>
      <c r="C26" s="340" t="s">
        <v>828</v>
      </c>
      <c r="D26" s="339" t="s">
        <v>453</v>
      </c>
      <c r="E26" s="339" t="s">
        <v>454</v>
      </c>
      <c r="F26" s="339" t="s">
        <v>455</v>
      </c>
      <c r="G26" s="339" t="s">
        <v>456</v>
      </c>
      <c r="H26" s="339" t="s">
        <v>457</v>
      </c>
      <c r="I26" s="339" t="s">
        <v>458</v>
      </c>
      <c r="J26" s="339" t="s">
        <v>459</v>
      </c>
      <c r="K26" s="339" t="s">
        <v>480</v>
      </c>
      <c r="L26" s="339" t="s">
        <v>460</v>
      </c>
      <c r="M26" s="339" t="s">
        <v>461</v>
      </c>
      <c r="N26" s="339" t="s">
        <v>462</v>
      </c>
      <c r="O26" s="339" t="s">
        <v>463</v>
      </c>
      <c r="P26" s="341" t="s">
        <v>478</v>
      </c>
      <c r="Q26" s="346"/>
    </row>
    <row r="27" spans="1:17" s="346" customFormat="1" ht="14.1" customHeight="1">
      <c r="A27" s="342"/>
      <c r="B27" s="196" t="s">
        <v>173</v>
      </c>
      <c r="C27" s="215">
        <f>+'1.mell. Mérleg'!E32</f>
        <v>275966</v>
      </c>
      <c r="D27" s="344">
        <f>22005-64</f>
        <v>21941</v>
      </c>
      <c r="E27" s="344">
        <f>22005-64</f>
        <v>21941</v>
      </c>
      <c r="F27" s="344">
        <f>22005-64</f>
        <v>21941</v>
      </c>
      <c r="G27" s="344">
        <f>22005-64</f>
        <v>21941</v>
      </c>
      <c r="H27" s="344">
        <f>22006-64</f>
        <v>21942</v>
      </c>
      <c r="I27" s="344">
        <f>22005-63</f>
        <v>21942</v>
      </c>
      <c r="J27" s="344">
        <f>22006+3023</f>
        <v>25029</v>
      </c>
      <c r="K27" s="344">
        <f>22005+3024</f>
        <v>25029</v>
      </c>
      <c r="L27" s="344">
        <f>22005+3024</f>
        <v>25029</v>
      </c>
      <c r="M27" s="344">
        <f>22006+3215</f>
        <v>25221</v>
      </c>
      <c r="N27" s="344">
        <v>22005</v>
      </c>
      <c r="O27" s="344">
        <v>22005</v>
      </c>
      <c r="P27" s="345">
        <f t="shared" ref="P27:P32" si="9">SUM(D27:O27)</f>
        <v>275966</v>
      </c>
    </row>
    <row r="28" spans="1:17" s="346" customFormat="1" ht="14.1" customHeight="1">
      <c r="A28" s="342"/>
      <c r="B28" s="196" t="s">
        <v>172</v>
      </c>
      <c r="C28" s="215">
        <f>+'1.mell. Mérleg'!E33</f>
        <v>74605</v>
      </c>
      <c r="D28" s="344">
        <f>6140+25</f>
        <v>6165</v>
      </c>
      <c r="E28" s="344">
        <f>6140+26</f>
        <v>6166</v>
      </c>
      <c r="F28" s="344">
        <f>6140+25</f>
        <v>6165</v>
      </c>
      <c r="G28" s="344">
        <f>6140+26</f>
        <v>6166</v>
      </c>
      <c r="H28" s="344">
        <f>6140+25</f>
        <v>6165</v>
      </c>
      <c r="I28" s="344">
        <f>6140+26</f>
        <v>6166</v>
      </c>
      <c r="J28" s="344">
        <f>6140+756</f>
        <v>6896</v>
      </c>
      <c r="K28" s="344">
        <f>6140+756</f>
        <v>6896</v>
      </c>
      <c r="L28" s="344">
        <f>6140+756</f>
        <v>6896</v>
      </c>
      <c r="M28" s="344">
        <f>6140-1496</f>
        <v>4644</v>
      </c>
      <c r="N28" s="344">
        <v>6140</v>
      </c>
      <c r="O28" s="344">
        <v>6140</v>
      </c>
      <c r="P28" s="345">
        <f t="shared" si="9"/>
        <v>74605</v>
      </c>
    </row>
    <row r="29" spans="1:17" s="346" customFormat="1" ht="14.1" customHeight="1">
      <c r="A29" s="342"/>
      <c r="B29" s="196" t="s">
        <v>152</v>
      </c>
      <c r="C29" s="215">
        <f>+'1.mell. Mérleg'!E34</f>
        <v>198351</v>
      </c>
      <c r="D29" s="344">
        <f>10639+4751</f>
        <v>15390</v>
      </c>
      <c r="E29" s="344">
        <f>10640+4751</f>
        <v>15391</v>
      </c>
      <c r="F29" s="344">
        <f>10639+4751</f>
        <v>15390</v>
      </c>
      <c r="G29" s="344">
        <f>10640+4751</f>
        <v>15391</v>
      </c>
      <c r="H29" s="344">
        <f>10639+4751</f>
        <v>15390</v>
      </c>
      <c r="I29" s="344">
        <f>10640+4752</f>
        <v>15392</v>
      </c>
      <c r="J29" s="344">
        <f>10639+11121</f>
        <v>21760</v>
      </c>
      <c r="K29" s="344">
        <f>10640+11121</f>
        <v>21761</v>
      </c>
      <c r="L29" s="344">
        <f>10642+11121</f>
        <v>21763</v>
      </c>
      <c r="M29" s="344">
        <v>15399</v>
      </c>
      <c r="N29" s="344">
        <v>14657</v>
      </c>
      <c r="O29" s="344">
        <v>10667</v>
      </c>
      <c r="P29" s="345">
        <f t="shared" si="9"/>
        <v>198351</v>
      </c>
    </row>
    <row r="30" spans="1:17" s="346" customFormat="1" ht="14.1" customHeight="1">
      <c r="A30" s="342"/>
      <c r="B30" s="197" t="s">
        <v>151</v>
      </c>
      <c r="C30" s="215">
        <f>+'1.mell. Mérleg'!E35</f>
        <v>21950</v>
      </c>
      <c r="D30" s="344">
        <f>1898-1158</f>
        <v>740</v>
      </c>
      <c r="E30" s="344">
        <f>1898</f>
        <v>1898</v>
      </c>
      <c r="F30" s="344">
        <v>1898</v>
      </c>
      <c r="G30" s="344">
        <v>1898</v>
      </c>
      <c r="H30" s="344">
        <v>1898</v>
      </c>
      <c r="I30" s="344">
        <v>1898</v>
      </c>
      <c r="J30" s="344">
        <v>1898</v>
      </c>
      <c r="K30" s="344">
        <v>1898</v>
      </c>
      <c r="L30" s="344">
        <v>1898</v>
      </c>
      <c r="M30" s="344">
        <v>1899</v>
      </c>
      <c r="N30" s="344">
        <v>2229</v>
      </c>
      <c r="O30" s="344">
        <v>1898</v>
      </c>
      <c r="P30" s="345">
        <f t="shared" si="9"/>
        <v>21950</v>
      </c>
    </row>
    <row r="31" spans="1:17" s="346" customFormat="1" ht="14.1" customHeight="1">
      <c r="A31" s="342"/>
      <c r="B31" s="196" t="s">
        <v>164</v>
      </c>
      <c r="C31" s="215">
        <f>+'1.mell. Mérleg'!E36</f>
        <v>439196</v>
      </c>
      <c r="D31" s="344">
        <f>32749+21183</f>
        <v>53932</v>
      </c>
      <c r="E31" s="344">
        <v>32750</v>
      </c>
      <c r="F31" s="344">
        <f>32749+11344</f>
        <v>44093</v>
      </c>
      <c r="G31" s="344">
        <v>21406</v>
      </c>
      <c r="H31" s="344">
        <v>32749</v>
      </c>
      <c r="I31" s="344">
        <v>32750</v>
      </c>
      <c r="J31" s="344">
        <f>32749+7660</f>
        <v>40409</v>
      </c>
      <c r="K31" s="344">
        <f>32750+7660</f>
        <v>40410</v>
      </c>
      <c r="L31" s="344">
        <f>32749+7659</f>
        <v>40408</v>
      </c>
      <c r="M31" s="344">
        <f>32750+2040</f>
        <v>34790</v>
      </c>
      <c r="N31" s="344">
        <v>32749</v>
      </c>
      <c r="O31" s="344">
        <v>32750</v>
      </c>
      <c r="P31" s="345">
        <f t="shared" si="9"/>
        <v>439196</v>
      </c>
    </row>
    <row r="32" spans="1:17" s="346" customFormat="1" ht="14.1" customHeight="1">
      <c r="A32" s="342"/>
      <c r="B32" s="196" t="s">
        <v>430</v>
      </c>
      <c r="C32" s="215">
        <f>+'1.mell. Mérleg'!E37</f>
        <v>804452</v>
      </c>
      <c r="D32" s="344">
        <f>32967+8200-4500-1</f>
        <v>36666</v>
      </c>
      <c r="E32" s="344">
        <f>32968-11756-19584</f>
        <v>1628</v>
      </c>
      <c r="F32" s="344">
        <f>32967-12275</f>
        <v>20692</v>
      </c>
      <c r="G32" s="344">
        <f>32969-11756</f>
        <v>21213</v>
      </c>
      <c r="H32" s="344">
        <f>32967-12275-18280</f>
        <v>2412</v>
      </c>
      <c r="I32" s="344">
        <f>32969+36276-48312-6625</f>
        <v>14308</v>
      </c>
      <c r="J32" s="344">
        <f>32967-30000</f>
        <v>2967</v>
      </c>
      <c r="K32" s="344">
        <f>32969-30000</f>
        <v>2969</v>
      </c>
      <c r="L32" s="344">
        <f>32968-30000</f>
        <v>2968</v>
      </c>
      <c r="M32" s="344">
        <v>32968</v>
      </c>
      <c r="N32" s="344">
        <v>32968</v>
      </c>
      <c r="O32" s="344">
        <f>32970+599723</f>
        <v>632693</v>
      </c>
      <c r="P32" s="345">
        <f t="shared" si="9"/>
        <v>804452</v>
      </c>
    </row>
    <row r="33" spans="1:17" s="346" customFormat="1" ht="14.1" customHeight="1">
      <c r="A33" s="355"/>
      <c r="B33" s="352" t="s">
        <v>419</v>
      </c>
      <c r="C33" s="363">
        <f>SUM(C27:C32)</f>
        <v>1814520</v>
      </c>
      <c r="D33" s="363">
        <f t="shared" ref="D33:P33" si="10">SUM(D27:D32)</f>
        <v>134834</v>
      </c>
      <c r="E33" s="363">
        <f t="shared" si="10"/>
        <v>79774</v>
      </c>
      <c r="F33" s="363">
        <f t="shared" si="10"/>
        <v>110179</v>
      </c>
      <c r="G33" s="363">
        <f t="shared" si="10"/>
        <v>88015</v>
      </c>
      <c r="H33" s="363">
        <f t="shared" si="10"/>
        <v>80556</v>
      </c>
      <c r="I33" s="363">
        <f t="shared" si="10"/>
        <v>92456</v>
      </c>
      <c r="J33" s="363">
        <f t="shared" si="10"/>
        <v>98959</v>
      </c>
      <c r="K33" s="363">
        <f t="shared" si="10"/>
        <v>98963</v>
      </c>
      <c r="L33" s="363">
        <f t="shared" si="10"/>
        <v>98962</v>
      </c>
      <c r="M33" s="363">
        <f t="shared" si="10"/>
        <v>114921</v>
      </c>
      <c r="N33" s="363">
        <f t="shared" si="10"/>
        <v>110748</v>
      </c>
      <c r="O33" s="363">
        <f t="shared" si="10"/>
        <v>706153</v>
      </c>
      <c r="P33" s="364">
        <f t="shared" si="10"/>
        <v>1814520</v>
      </c>
    </row>
    <row r="34" spans="1:17" s="346" customFormat="1" ht="14.1" customHeight="1">
      <c r="A34" s="342"/>
      <c r="B34" s="196" t="s">
        <v>162</v>
      </c>
      <c r="C34" s="215">
        <f>+'1.mell. Mérleg'!E39</f>
        <v>204387</v>
      </c>
      <c r="D34" s="344">
        <f>2281+9274+1</f>
        <v>11556</v>
      </c>
      <c r="E34" s="344">
        <f>2282+9274</f>
        <v>11556</v>
      </c>
      <c r="F34" s="344">
        <f>23111+20055</f>
        <v>43166</v>
      </c>
      <c r="G34" s="344"/>
      <c r="H34" s="344">
        <f>2281+9274</f>
        <v>11555</v>
      </c>
      <c r="I34" s="344">
        <f>2282+9274</f>
        <v>11556</v>
      </c>
      <c r="J34" s="344">
        <f>2281+34568</f>
        <v>36849</v>
      </c>
      <c r="K34" s="344"/>
      <c r="L34" s="344">
        <v>7165</v>
      </c>
      <c r="M34" s="344">
        <v>2282</v>
      </c>
      <c r="N34" s="344">
        <v>2282</v>
      </c>
      <c r="O34" s="344">
        <v>66420</v>
      </c>
      <c r="P34" s="345">
        <f>SUM(D34:O34)</f>
        <v>204387</v>
      </c>
    </row>
    <row r="35" spans="1:17" s="346" customFormat="1" ht="14.1" customHeight="1">
      <c r="A35" s="342"/>
      <c r="B35" s="196" t="s">
        <v>161</v>
      </c>
      <c r="C35" s="215">
        <f>+'1.mell. Mérleg'!E40</f>
        <v>54027</v>
      </c>
      <c r="D35" s="344"/>
      <c r="E35" s="344"/>
      <c r="F35" s="344"/>
      <c r="G35" s="344"/>
      <c r="H35" s="344">
        <v>5663</v>
      </c>
      <c r="I35" s="344"/>
      <c r="J35" s="344"/>
      <c r="K35" s="344"/>
      <c r="L35" s="344"/>
      <c r="M35" s="344"/>
      <c r="N35" s="344"/>
      <c r="O35" s="344">
        <v>48364</v>
      </c>
      <c r="P35" s="345">
        <f>SUM(D35:O35)</f>
        <v>54027</v>
      </c>
    </row>
    <row r="36" spans="1:17" s="346" customFormat="1" ht="14.1" customHeight="1">
      <c r="A36" s="342"/>
      <c r="B36" s="196" t="s">
        <v>159</v>
      </c>
      <c r="C36" s="215">
        <f>+'1.mell. Mérleg'!E41</f>
        <v>14617</v>
      </c>
      <c r="D36" s="344"/>
      <c r="E36" s="344"/>
      <c r="F36" s="344"/>
      <c r="G36" s="344"/>
      <c r="H36" s="344">
        <v>12617</v>
      </c>
      <c r="I36" s="344"/>
      <c r="J36" s="344"/>
      <c r="K36" s="344"/>
      <c r="L36" s="344"/>
      <c r="M36" s="344"/>
      <c r="N36" s="344"/>
      <c r="O36" s="344">
        <v>2000</v>
      </c>
      <c r="P36" s="345">
        <f>SUM(D36:O36)</f>
        <v>14617</v>
      </c>
    </row>
    <row r="37" spans="1:17" s="346" customFormat="1" ht="14.1" customHeight="1">
      <c r="A37" s="355"/>
      <c r="B37" s="352" t="s">
        <v>421</v>
      </c>
      <c r="C37" s="365">
        <f>SUM(C34:C36)</f>
        <v>273031</v>
      </c>
      <c r="D37" s="365">
        <f t="shared" ref="D37:P37" si="11">SUM(D34:D36)</f>
        <v>11556</v>
      </c>
      <c r="E37" s="365">
        <f t="shared" si="11"/>
        <v>11556</v>
      </c>
      <c r="F37" s="365">
        <f t="shared" si="11"/>
        <v>43166</v>
      </c>
      <c r="G37" s="365">
        <f t="shared" si="11"/>
        <v>0</v>
      </c>
      <c r="H37" s="365">
        <f t="shared" si="11"/>
        <v>29835</v>
      </c>
      <c r="I37" s="365">
        <f t="shared" si="11"/>
        <v>11556</v>
      </c>
      <c r="J37" s="365">
        <f t="shared" si="11"/>
        <v>36849</v>
      </c>
      <c r="K37" s="365">
        <f t="shared" si="11"/>
        <v>0</v>
      </c>
      <c r="L37" s="365">
        <f t="shared" si="11"/>
        <v>7165</v>
      </c>
      <c r="M37" s="365">
        <f t="shared" si="11"/>
        <v>2282</v>
      </c>
      <c r="N37" s="365">
        <f t="shared" si="11"/>
        <v>2282</v>
      </c>
      <c r="O37" s="365">
        <f t="shared" si="11"/>
        <v>116784</v>
      </c>
      <c r="P37" s="366">
        <f t="shared" si="11"/>
        <v>273031</v>
      </c>
    </row>
    <row r="38" spans="1:17" s="346" customFormat="1" ht="14.1" customHeight="1">
      <c r="A38" s="355"/>
      <c r="B38" s="367" t="s">
        <v>274</v>
      </c>
      <c r="C38" s="365">
        <f>+'1.mell. Mérleg'!E43</f>
        <v>366257</v>
      </c>
      <c r="D38" s="368">
        <v>140513</v>
      </c>
      <c r="E38" s="368">
        <f>514+19584</f>
        <v>20098</v>
      </c>
      <c r="F38" s="368">
        <v>513</v>
      </c>
      <c r="G38" s="368">
        <v>514</v>
      </c>
      <c r="H38" s="368">
        <v>513</v>
      </c>
      <c r="I38" s="368">
        <v>514</v>
      </c>
      <c r="J38" s="368">
        <v>513</v>
      </c>
      <c r="K38" s="368">
        <v>513</v>
      </c>
      <c r="L38" s="368">
        <v>513</v>
      </c>
      <c r="M38" s="368">
        <v>513</v>
      </c>
      <c r="N38" s="368">
        <v>513</v>
      </c>
      <c r="O38" s="368">
        <v>201027</v>
      </c>
      <c r="P38" s="369">
        <f>SUM(D38:O38)</f>
        <v>366257</v>
      </c>
    </row>
    <row r="39" spans="1:17" s="343" customFormat="1" ht="15.9" customHeight="1" thickBot="1">
      <c r="A39" s="358"/>
      <c r="B39" s="360" t="s">
        <v>418</v>
      </c>
      <c r="C39" s="360">
        <f>+C38+C37+C33</f>
        <v>2453808</v>
      </c>
      <c r="D39" s="360">
        <f>+D38+D37+D33</f>
        <v>286903</v>
      </c>
      <c r="E39" s="360">
        <f t="shared" ref="E39:P39" si="12">+E38+E37+E33</f>
        <v>111428</v>
      </c>
      <c r="F39" s="360">
        <f t="shared" si="12"/>
        <v>153858</v>
      </c>
      <c r="G39" s="360">
        <f t="shared" si="12"/>
        <v>88529</v>
      </c>
      <c r="H39" s="360">
        <f t="shared" si="12"/>
        <v>110904</v>
      </c>
      <c r="I39" s="360">
        <f t="shared" si="12"/>
        <v>104526</v>
      </c>
      <c r="J39" s="360">
        <f t="shared" si="12"/>
        <v>136321</v>
      </c>
      <c r="K39" s="360">
        <f t="shared" si="12"/>
        <v>99476</v>
      </c>
      <c r="L39" s="360">
        <f t="shared" si="12"/>
        <v>106640</v>
      </c>
      <c r="M39" s="360">
        <f t="shared" si="12"/>
        <v>117716</v>
      </c>
      <c r="N39" s="360">
        <f t="shared" si="12"/>
        <v>113543</v>
      </c>
      <c r="O39" s="360">
        <f t="shared" si="12"/>
        <v>1023964</v>
      </c>
      <c r="P39" s="361">
        <f t="shared" si="12"/>
        <v>2453808</v>
      </c>
      <c r="Q39" s="346"/>
    </row>
    <row r="40" spans="1:17" s="373" customFormat="1" ht="15.9" customHeight="1" thickBot="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2"/>
    </row>
    <row r="41" spans="1:17" ht="13.8" thickBot="1">
      <c r="A41" s="374"/>
      <c r="B41" s="375" t="s">
        <v>481</v>
      </c>
      <c r="C41" s="376">
        <f>+C24-C39</f>
        <v>0</v>
      </c>
      <c r="D41" s="376">
        <f t="shared" ref="D41:P41" si="13">+D24-D39</f>
        <v>0</v>
      </c>
      <c r="E41" s="376">
        <f t="shared" si="13"/>
        <v>0</v>
      </c>
      <c r="F41" s="376">
        <f t="shared" si="13"/>
        <v>0</v>
      </c>
      <c r="G41" s="376">
        <f t="shared" si="13"/>
        <v>0</v>
      </c>
      <c r="H41" s="376">
        <f t="shared" si="13"/>
        <v>0</v>
      </c>
      <c r="I41" s="376">
        <f t="shared" si="13"/>
        <v>0</v>
      </c>
      <c r="J41" s="376">
        <f t="shared" si="13"/>
        <v>0</v>
      </c>
      <c r="K41" s="376">
        <f t="shared" si="13"/>
        <v>0</v>
      </c>
      <c r="L41" s="376">
        <f t="shared" si="13"/>
        <v>0</v>
      </c>
      <c r="M41" s="376">
        <f t="shared" si="13"/>
        <v>0</v>
      </c>
      <c r="N41" s="376">
        <f t="shared" si="13"/>
        <v>0</v>
      </c>
      <c r="O41" s="376">
        <f t="shared" si="13"/>
        <v>0</v>
      </c>
      <c r="P41" s="377">
        <f t="shared" si="13"/>
        <v>0</v>
      </c>
      <c r="Q41" s="346"/>
    </row>
    <row r="47" spans="1:17">
      <c r="L47" s="336" t="s">
        <v>868</v>
      </c>
    </row>
  </sheetData>
  <mergeCells count="2">
    <mergeCell ref="B3:P3"/>
    <mergeCell ref="B25:P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&amp;C&amp;"Times New Roman,Félkövér"&amp;12Előirányzat-felhasználási ütemterv 2016. évre 
(&amp;"Times New Roman,Normál"módosított adatok alapján)  &amp;"Times New Roman,Félkövér"             &amp;R&amp;"Times New Roman,Félkövér"&amp;12&amp;K000000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1"/>
  <sheetViews>
    <sheetView zoomScaleSheetLayoutView="70" workbookViewId="0">
      <pane xSplit="3" ySplit="4" topLeftCell="AA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8" sqref="B8"/>
    </sheetView>
  </sheetViews>
  <sheetFormatPr defaultColWidth="9.109375" defaultRowHeight="13.2"/>
  <cols>
    <col min="1" max="1" width="5.6640625" style="709" customWidth="1"/>
    <col min="2" max="2" width="50.88671875" style="709" customWidth="1"/>
    <col min="3" max="3" width="8.6640625" style="709" customWidth="1"/>
    <col min="4" max="4" width="9.109375" style="709" customWidth="1"/>
    <col min="5" max="5" width="7.5546875" style="709" customWidth="1"/>
    <col min="6" max="6" width="9.88671875" style="709" customWidth="1"/>
    <col min="7" max="7" width="7.44140625" style="709" customWidth="1"/>
    <col min="8" max="8" width="9.6640625" style="709" customWidth="1"/>
    <col min="9" max="9" width="10.109375" style="709" customWidth="1"/>
    <col min="10" max="10" width="11.109375" style="709" bestFit="1" customWidth="1"/>
    <col min="11" max="11" width="10.109375" style="709" bestFit="1" customWidth="1"/>
    <col min="12" max="12" width="9.109375" style="709" customWidth="1"/>
    <col min="13" max="13" width="7.33203125" style="709" customWidth="1"/>
    <col min="14" max="14" width="9.5546875" style="709" customWidth="1"/>
    <col min="15" max="15" width="10.6640625" style="709" customWidth="1"/>
    <col min="16" max="16" width="9.88671875" style="709" customWidth="1"/>
    <col min="17" max="17" width="8.88671875" style="709" customWidth="1"/>
    <col min="18" max="18" width="10.6640625" style="709" customWidth="1"/>
    <col min="19" max="19" width="9.88671875" style="709" customWidth="1"/>
    <col min="20" max="20" width="8" style="709" customWidth="1"/>
    <col min="21" max="21" width="11" style="709" customWidth="1"/>
    <col min="22" max="22" width="10" style="710" customWidth="1"/>
    <col min="23" max="23" width="10" style="709" customWidth="1"/>
    <col min="24" max="24" width="10.5546875" style="709" customWidth="1"/>
    <col min="25" max="25" width="11.6640625" style="709" customWidth="1"/>
    <col min="26" max="26" width="11" style="709" customWidth="1"/>
    <col min="27" max="27" width="9.6640625" style="709" customWidth="1"/>
    <col min="28" max="28" width="12.5546875" style="709" customWidth="1"/>
    <col min="29" max="29" width="9.5546875" style="709" customWidth="1"/>
    <col min="30" max="30" width="9.33203125" style="709" customWidth="1"/>
    <col min="31" max="31" width="10.5546875" style="709" customWidth="1"/>
    <col min="32" max="32" width="9" style="709" customWidth="1"/>
    <col min="33" max="33" width="15.33203125" style="709" customWidth="1"/>
    <col min="34" max="34" width="9.109375" style="709" customWidth="1"/>
    <col min="35" max="16384" width="9.109375" style="709"/>
  </cols>
  <sheetData>
    <row r="1" spans="1:33" ht="13.8" thickBot="1">
      <c r="AE1" s="1131" t="s">
        <v>399</v>
      </c>
      <c r="AF1" s="1131"/>
      <c r="AG1" s="1131"/>
    </row>
    <row r="2" spans="1:33" s="814" customFormat="1" ht="16.5" customHeight="1">
      <c r="A2" s="1132" t="s">
        <v>345</v>
      </c>
      <c r="B2" s="1134" t="s">
        <v>743</v>
      </c>
      <c r="C2" s="1134" t="s">
        <v>744</v>
      </c>
      <c r="D2" s="1136" t="s">
        <v>305</v>
      </c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7"/>
      <c r="U2" s="1138" t="s">
        <v>285</v>
      </c>
      <c r="V2" s="1136" t="s">
        <v>298</v>
      </c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40" t="s">
        <v>745</v>
      </c>
    </row>
    <row r="3" spans="1:33" s="814" customFormat="1" ht="25.5" customHeight="1">
      <c r="A3" s="1133"/>
      <c r="B3" s="1130"/>
      <c r="C3" s="1135"/>
      <c r="D3" s="1130" t="s">
        <v>746</v>
      </c>
      <c r="E3" s="1130" t="s">
        <v>747</v>
      </c>
      <c r="F3" s="1130" t="s">
        <v>152</v>
      </c>
      <c r="G3" s="1130" t="s">
        <v>748</v>
      </c>
      <c r="H3" s="1130" t="s">
        <v>164</v>
      </c>
      <c r="I3" s="1142"/>
      <c r="J3" s="1130" t="s">
        <v>749</v>
      </c>
      <c r="K3" s="1143" t="s">
        <v>750</v>
      </c>
      <c r="L3" s="1130" t="s">
        <v>751</v>
      </c>
      <c r="M3" s="1130" t="s">
        <v>752</v>
      </c>
      <c r="N3" s="1130" t="s">
        <v>753</v>
      </c>
      <c r="O3" s="1130" t="s">
        <v>867</v>
      </c>
      <c r="P3" s="1130" t="s">
        <v>698</v>
      </c>
      <c r="Q3" s="1130" t="s">
        <v>755</v>
      </c>
      <c r="R3" s="1130" t="s">
        <v>756</v>
      </c>
      <c r="S3" s="1130" t="s">
        <v>757</v>
      </c>
      <c r="T3" s="1130" t="s">
        <v>758</v>
      </c>
      <c r="U3" s="1139"/>
      <c r="V3" s="1130" t="s">
        <v>759</v>
      </c>
      <c r="W3" s="1130" t="s">
        <v>760</v>
      </c>
      <c r="X3" s="1130" t="s">
        <v>761</v>
      </c>
      <c r="Y3" s="1130" t="s">
        <v>762</v>
      </c>
      <c r="Z3" s="1130" t="s">
        <v>763</v>
      </c>
      <c r="AA3" s="1130" t="s">
        <v>764</v>
      </c>
      <c r="AB3" s="1130" t="s">
        <v>765</v>
      </c>
      <c r="AC3" s="1130" t="s">
        <v>766</v>
      </c>
      <c r="AD3" s="1130" t="s">
        <v>767</v>
      </c>
      <c r="AE3" s="1130" t="s">
        <v>283</v>
      </c>
      <c r="AF3" s="1130" t="s">
        <v>768</v>
      </c>
      <c r="AG3" s="1141"/>
    </row>
    <row r="4" spans="1:33" s="814" customFormat="1" ht="35.25" customHeight="1">
      <c r="A4" s="1133"/>
      <c r="B4" s="1130"/>
      <c r="C4" s="1135"/>
      <c r="D4" s="1130"/>
      <c r="E4" s="1130"/>
      <c r="F4" s="1130"/>
      <c r="G4" s="1130"/>
      <c r="H4" s="815" t="s">
        <v>769</v>
      </c>
      <c r="I4" s="815" t="s">
        <v>770</v>
      </c>
      <c r="J4" s="1130"/>
      <c r="K4" s="1143"/>
      <c r="L4" s="1130"/>
      <c r="M4" s="1144"/>
      <c r="N4" s="1130"/>
      <c r="O4" s="1130"/>
      <c r="P4" s="1130"/>
      <c r="Q4" s="1130"/>
      <c r="R4" s="1130"/>
      <c r="S4" s="1145"/>
      <c r="T4" s="1144"/>
      <c r="U4" s="1139"/>
      <c r="V4" s="1130"/>
      <c r="W4" s="1130"/>
      <c r="X4" s="1142"/>
      <c r="Y4" s="1142"/>
      <c r="Z4" s="1130"/>
      <c r="AA4" s="1142"/>
      <c r="AB4" s="1142"/>
      <c r="AC4" s="1142"/>
      <c r="AD4" s="1130"/>
      <c r="AE4" s="1130"/>
      <c r="AF4" s="1130"/>
      <c r="AG4" s="1141"/>
    </row>
    <row r="5" spans="1:33">
      <c r="A5" s="712" t="s">
        <v>304</v>
      </c>
      <c r="B5" s="816" t="s">
        <v>999</v>
      </c>
      <c r="C5" s="717"/>
      <c r="D5" s="842">
        <v>156</v>
      </c>
      <c r="E5" s="842">
        <v>1</v>
      </c>
      <c r="F5" s="842">
        <f>-788+333+1</f>
        <v>-454</v>
      </c>
      <c r="G5" s="842"/>
      <c r="H5" s="842">
        <v>639</v>
      </c>
      <c r="I5" s="842"/>
      <c r="J5" s="842">
        <v>-342</v>
      </c>
      <c r="K5" s="842"/>
      <c r="L5" s="842"/>
      <c r="M5" s="842"/>
      <c r="N5" s="842"/>
      <c r="O5" s="842"/>
      <c r="P5" s="842"/>
      <c r="Q5" s="842"/>
      <c r="R5" s="842"/>
      <c r="S5" s="842"/>
      <c r="T5" s="842"/>
      <c r="U5" s="839">
        <f t="shared" ref="U5:U38" si="0">SUM(D5:T5)</f>
        <v>0</v>
      </c>
      <c r="V5" s="840"/>
      <c r="W5" s="842"/>
      <c r="X5" s="842"/>
      <c r="Y5" s="842"/>
      <c r="Z5" s="842"/>
      <c r="AA5" s="842"/>
      <c r="AB5" s="842"/>
      <c r="AC5" s="842"/>
      <c r="AD5" s="842"/>
      <c r="AE5" s="842"/>
      <c r="AF5" s="842"/>
      <c r="AG5" s="841"/>
    </row>
    <row r="6" spans="1:33">
      <c r="A6" s="712" t="s">
        <v>409</v>
      </c>
      <c r="B6" s="816" t="s">
        <v>957</v>
      </c>
      <c r="C6" s="717" t="s">
        <v>902</v>
      </c>
      <c r="D6" s="842"/>
      <c r="E6" s="842"/>
      <c r="F6" s="842"/>
      <c r="G6" s="842"/>
      <c r="H6" s="842"/>
      <c r="I6" s="842"/>
      <c r="J6" s="842"/>
      <c r="K6" s="842">
        <v>8660</v>
      </c>
      <c r="L6" s="842"/>
      <c r="M6" s="842"/>
      <c r="N6" s="842"/>
      <c r="O6" s="842"/>
      <c r="P6" s="842"/>
      <c r="Q6" s="842"/>
      <c r="R6" s="842"/>
      <c r="S6" s="842">
        <v>-8660</v>
      </c>
      <c r="T6" s="842"/>
      <c r="U6" s="839">
        <f t="shared" si="0"/>
        <v>0</v>
      </c>
      <c r="V6" s="840"/>
      <c r="W6" s="842"/>
      <c r="X6" s="842"/>
      <c r="Y6" s="842"/>
      <c r="Z6" s="842"/>
      <c r="AA6" s="842"/>
      <c r="AB6" s="842"/>
      <c r="AC6" s="842"/>
      <c r="AD6" s="842"/>
      <c r="AE6" s="842"/>
      <c r="AF6" s="842"/>
      <c r="AG6" s="841">
        <f t="shared" ref="AG6:AG39" si="1">SUM(V6:AF6)</f>
        <v>0</v>
      </c>
    </row>
    <row r="7" spans="1:33">
      <c r="A7" s="712" t="s">
        <v>468</v>
      </c>
      <c r="B7" s="816" t="s">
        <v>958</v>
      </c>
      <c r="C7" s="717" t="s">
        <v>900</v>
      </c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>
        <v>313</v>
      </c>
      <c r="O7" s="842"/>
      <c r="P7" s="842">
        <v>-313</v>
      </c>
      <c r="Q7" s="842"/>
      <c r="R7" s="842"/>
      <c r="S7" s="842"/>
      <c r="T7" s="842"/>
      <c r="U7" s="839">
        <f t="shared" si="0"/>
        <v>0</v>
      </c>
      <c r="V7" s="840"/>
      <c r="W7" s="842"/>
      <c r="X7" s="842"/>
      <c r="Y7" s="842"/>
      <c r="Z7" s="842"/>
      <c r="AA7" s="842"/>
      <c r="AB7" s="842"/>
      <c r="AC7" s="842"/>
      <c r="AD7" s="842"/>
      <c r="AE7" s="842"/>
      <c r="AF7" s="842"/>
      <c r="AG7" s="841">
        <f t="shared" si="1"/>
        <v>0</v>
      </c>
    </row>
    <row r="8" spans="1:33">
      <c r="A8" s="712" t="s">
        <v>469</v>
      </c>
      <c r="B8" s="816" t="s">
        <v>959</v>
      </c>
      <c r="C8" s="717" t="s">
        <v>900</v>
      </c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>
        <f>763+335</f>
        <v>1098</v>
      </c>
      <c r="O8" s="842"/>
      <c r="P8" s="842"/>
      <c r="Q8" s="842"/>
      <c r="R8" s="842"/>
      <c r="S8" s="842"/>
      <c r="T8" s="842"/>
      <c r="U8" s="839">
        <f t="shared" si="0"/>
        <v>1098</v>
      </c>
      <c r="V8" s="840"/>
      <c r="W8" s="842"/>
      <c r="X8" s="842">
        <v>335</v>
      </c>
      <c r="Y8" s="842"/>
      <c r="Z8" s="842"/>
      <c r="AA8" s="842"/>
      <c r="AB8" s="842">
        <v>763</v>
      </c>
      <c r="AC8" s="842"/>
      <c r="AD8" s="842"/>
      <c r="AE8" s="842"/>
      <c r="AF8" s="842"/>
      <c r="AG8" s="841">
        <f t="shared" si="1"/>
        <v>1098</v>
      </c>
    </row>
    <row r="9" spans="1:33">
      <c r="A9" s="712" t="s">
        <v>470</v>
      </c>
      <c r="B9" s="816" t="s">
        <v>960</v>
      </c>
      <c r="C9" s="717" t="s">
        <v>902</v>
      </c>
      <c r="D9" s="842"/>
      <c r="E9" s="842"/>
      <c r="F9" s="842"/>
      <c r="G9" s="842"/>
      <c r="H9" s="842"/>
      <c r="I9" s="842"/>
      <c r="J9" s="842">
        <v>953</v>
      </c>
      <c r="K9" s="842"/>
      <c r="L9" s="842"/>
      <c r="M9" s="842"/>
      <c r="N9" s="842"/>
      <c r="O9" s="842"/>
      <c r="P9" s="842"/>
      <c r="Q9" s="842"/>
      <c r="R9" s="842">
        <v>-953</v>
      </c>
      <c r="S9" s="842"/>
      <c r="T9" s="842"/>
      <c r="U9" s="839">
        <f t="shared" si="0"/>
        <v>0</v>
      </c>
      <c r="V9" s="840"/>
      <c r="W9" s="842"/>
      <c r="X9" s="842"/>
      <c r="Y9" s="842"/>
      <c r="Z9" s="842"/>
      <c r="AA9" s="842"/>
      <c r="AB9" s="842"/>
      <c r="AC9" s="842"/>
      <c r="AD9" s="842"/>
      <c r="AE9" s="842"/>
      <c r="AF9" s="842"/>
      <c r="AG9" s="841">
        <f t="shared" si="1"/>
        <v>0</v>
      </c>
    </row>
    <row r="10" spans="1:33">
      <c r="A10" s="712" t="s">
        <v>471</v>
      </c>
      <c r="B10" s="816" t="s">
        <v>961</v>
      </c>
      <c r="C10" s="717" t="s">
        <v>499</v>
      </c>
      <c r="D10" s="842"/>
      <c r="E10" s="842"/>
      <c r="F10" s="842"/>
      <c r="G10" s="842"/>
      <c r="H10" s="842"/>
      <c r="I10" s="842"/>
      <c r="J10" s="842">
        <v>39</v>
      </c>
      <c r="K10" s="842"/>
      <c r="L10" s="842"/>
      <c r="M10" s="842"/>
      <c r="N10" s="842"/>
      <c r="O10" s="842"/>
      <c r="P10" s="842"/>
      <c r="Q10" s="842"/>
      <c r="R10" s="842">
        <v>-39</v>
      </c>
      <c r="S10" s="842"/>
      <c r="T10" s="842"/>
      <c r="U10" s="839">
        <f t="shared" si="0"/>
        <v>0</v>
      </c>
      <c r="V10" s="840"/>
      <c r="W10" s="842"/>
      <c r="X10" s="842"/>
      <c r="Y10" s="842"/>
      <c r="Z10" s="842"/>
      <c r="AA10" s="842"/>
      <c r="AB10" s="842"/>
      <c r="AC10" s="842"/>
      <c r="AD10" s="842"/>
      <c r="AE10" s="842"/>
      <c r="AF10" s="842"/>
      <c r="AG10" s="841">
        <f t="shared" si="1"/>
        <v>0</v>
      </c>
    </row>
    <row r="11" spans="1:33">
      <c r="A11" s="712" t="s">
        <v>472</v>
      </c>
      <c r="B11" s="816" t="s">
        <v>962</v>
      </c>
      <c r="C11" s="717" t="s">
        <v>963</v>
      </c>
      <c r="D11" s="842"/>
      <c r="E11" s="842"/>
      <c r="F11" s="842"/>
      <c r="G11" s="842"/>
      <c r="H11" s="842"/>
      <c r="I11" s="842"/>
      <c r="J11" s="842"/>
      <c r="K11" s="842"/>
      <c r="L11" s="842"/>
      <c r="M11" s="842"/>
      <c r="N11" s="842"/>
      <c r="O11" s="842">
        <v>200000</v>
      </c>
      <c r="P11" s="842"/>
      <c r="Q11" s="842"/>
      <c r="R11" s="842">
        <v>-200000</v>
      </c>
      <c r="S11" s="842"/>
      <c r="T11" s="842"/>
      <c r="U11" s="839">
        <f t="shared" si="0"/>
        <v>0</v>
      </c>
      <c r="V11" s="840"/>
      <c r="W11" s="842"/>
      <c r="X11" s="842"/>
      <c r="Y11" s="842"/>
      <c r="Z11" s="842"/>
      <c r="AA11" s="842"/>
      <c r="AB11" s="842"/>
      <c r="AC11" s="842"/>
      <c r="AD11" s="842"/>
      <c r="AE11" s="842"/>
      <c r="AF11" s="842"/>
      <c r="AG11" s="841">
        <f t="shared" si="1"/>
        <v>0</v>
      </c>
    </row>
    <row r="12" spans="1:33">
      <c r="A12" s="712" t="s">
        <v>473</v>
      </c>
      <c r="B12" s="816" t="s">
        <v>964</v>
      </c>
      <c r="C12" s="717" t="s">
        <v>900</v>
      </c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>
        <v>3418</v>
      </c>
      <c r="O12" s="842"/>
      <c r="P12" s="842">
        <v>-2096</v>
      </c>
      <c r="Q12" s="842"/>
      <c r="R12" s="842">
        <v>-1322</v>
      </c>
      <c r="S12" s="842"/>
      <c r="T12" s="842"/>
      <c r="U12" s="839">
        <f t="shared" si="0"/>
        <v>0</v>
      </c>
      <c r="V12" s="840"/>
      <c r="W12" s="842"/>
      <c r="X12" s="842"/>
      <c r="Y12" s="842"/>
      <c r="Z12" s="842"/>
      <c r="AA12" s="842"/>
      <c r="AB12" s="842"/>
      <c r="AC12" s="842"/>
      <c r="AD12" s="842"/>
      <c r="AE12" s="842"/>
      <c r="AF12" s="842"/>
      <c r="AG12" s="841">
        <f t="shared" si="1"/>
        <v>0</v>
      </c>
    </row>
    <row r="13" spans="1:33">
      <c r="A13" s="712" t="s">
        <v>474</v>
      </c>
      <c r="B13" s="816" t="s">
        <v>965</v>
      </c>
      <c r="C13" s="717" t="s">
        <v>900</v>
      </c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2">
        <v>889</v>
      </c>
      <c r="O13" s="842"/>
      <c r="P13" s="842">
        <v>-889</v>
      </c>
      <c r="Q13" s="842"/>
      <c r="R13" s="842"/>
      <c r="S13" s="842"/>
      <c r="T13" s="842"/>
      <c r="U13" s="839">
        <f t="shared" si="0"/>
        <v>0</v>
      </c>
      <c r="V13" s="840"/>
      <c r="W13" s="842"/>
      <c r="X13" s="842"/>
      <c r="Y13" s="842"/>
      <c r="Z13" s="842"/>
      <c r="AA13" s="842"/>
      <c r="AB13" s="842"/>
      <c r="AC13" s="842"/>
      <c r="AD13" s="842"/>
      <c r="AE13" s="842"/>
      <c r="AF13" s="842"/>
      <c r="AG13" s="841">
        <f t="shared" si="1"/>
        <v>0</v>
      </c>
    </row>
    <row r="14" spans="1:33">
      <c r="A14" s="712" t="s">
        <v>475</v>
      </c>
      <c r="B14" s="816" t="s">
        <v>966</v>
      </c>
      <c r="C14" s="717"/>
      <c r="D14" s="842"/>
      <c r="E14" s="842"/>
      <c r="F14" s="842"/>
      <c r="G14" s="842"/>
      <c r="H14" s="842"/>
      <c r="I14" s="842"/>
      <c r="J14" s="842"/>
      <c r="K14" s="842"/>
      <c r="L14" s="842"/>
      <c r="M14" s="842"/>
      <c r="N14" s="842"/>
      <c r="O14" s="842"/>
      <c r="P14" s="842">
        <v>38833</v>
      </c>
      <c r="Q14" s="842"/>
      <c r="R14" s="842"/>
      <c r="S14" s="842"/>
      <c r="T14" s="842"/>
      <c r="U14" s="839">
        <f t="shared" si="0"/>
        <v>38833</v>
      </c>
      <c r="V14" s="840">
        <v>38833</v>
      </c>
      <c r="W14" s="842"/>
      <c r="X14" s="842"/>
      <c r="Y14" s="842"/>
      <c r="Z14" s="842"/>
      <c r="AA14" s="842"/>
      <c r="AB14" s="842"/>
      <c r="AC14" s="842"/>
      <c r="AD14" s="842"/>
      <c r="AE14" s="842"/>
      <c r="AF14" s="842"/>
      <c r="AG14" s="841">
        <f t="shared" si="1"/>
        <v>38833</v>
      </c>
    </row>
    <row r="15" spans="1:33">
      <c r="A15" s="712" t="s">
        <v>476</v>
      </c>
      <c r="B15" s="816" t="s">
        <v>967</v>
      </c>
      <c r="C15" s="717" t="s">
        <v>771</v>
      </c>
      <c r="D15" s="842"/>
      <c r="E15" s="842"/>
      <c r="F15" s="842">
        <f>162+44</f>
        <v>206</v>
      </c>
      <c r="G15" s="842"/>
      <c r="H15" s="842"/>
      <c r="I15" s="842"/>
      <c r="J15" s="842"/>
      <c r="K15" s="842"/>
      <c r="L15" s="842"/>
      <c r="M15" s="842"/>
      <c r="N15" s="842"/>
      <c r="O15" s="842"/>
      <c r="P15" s="842"/>
      <c r="Q15" s="842"/>
      <c r="R15" s="842">
        <v>-206</v>
      </c>
      <c r="S15" s="842"/>
      <c r="T15" s="842"/>
      <c r="U15" s="839">
        <f t="shared" si="0"/>
        <v>0</v>
      </c>
      <c r="V15" s="840"/>
      <c r="W15" s="842"/>
      <c r="X15" s="842"/>
      <c r="Y15" s="842"/>
      <c r="Z15" s="842"/>
      <c r="AA15" s="842"/>
      <c r="AB15" s="842"/>
      <c r="AC15" s="842"/>
      <c r="AD15" s="842"/>
      <c r="AE15" s="842"/>
      <c r="AF15" s="842"/>
      <c r="AG15" s="841">
        <f t="shared" si="1"/>
        <v>0</v>
      </c>
    </row>
    <row r="16" spans="1:33">
      <c r="A16" s="712" t="s">
        <v>477</v>
      </c>
      <c r="B16" s="816" t="s">
        <v>968</v>
      </c>
      <c r="C16" s="717" t="s">
        <v>908</v>
      </c>
      <c r="D16" s="842"/>
      <c r="E16" s="842"/>
      <c r="F16" s="842">
        <f>1564+422</f>
        <v>1986</v>
      </c>
      <c r="G16" s="842"/>
      <c r="H16" s="842"/>
      <c r="I16" s="842"/>
      <c r="J16" s="842"/>
      <c r="K16" s="842"/>
      <c r="L16" s="842"/>
      <c r="M16" s="842"/>
      <c r="N16" s="842"/>
      <c r="O16" s="842"/>
      <c r="P16" s="842"/>
      <c r="Q16" s="842"/>
      <c r="R16" s="842">
        <v>-1986</v>
      </c>
      <c r="S16" s="842"/>
      <c r="T16" s="842"/>
      <c r="U16" s="839">
        <f t="shared" si="0"/>
        <v>0</v>
      </c>
      <c r="V16" s="840"/>
      <c r="W16" s="842"/>
      <c r="X16" s="842"/>
      <c r="Y16" s="842"/>
      <c r="Z16" s="842"/>
      <c r="AA16" s="842"/>
      <c r="AB16" s="842"/>
      <c r="AC16" s="842"/>
      <c r="AD16" s="842"/>
      <c r="AE16" s="842"/>
      <c r="AF16" s="842"/>
      <c r="AG16" s="841">
        <f t="shared" si="1"/>
        <v>0</v>
      </c>
    </row>
    <row r="17" spans="1:33">
      <c r="A17" s="712" t="s">
        <v>799</v>
      </c>
      <c r="B17" s="816" t="s">
        <v>969</v>
      </c>
      <c r="C17" s="717" t="s">
        <v>910</v>
      </c>
      <c r="D17" s="842"/>
      <c r="E17" s="842"/>
      <c r="F17" s="842"/>
      <c r="G17" s="842"/>
      <c r="H17" s="842"/>
      <c r="I17" s="842"/>
      <c r="J17" s="842">
        <v>1048</v>
      </c>
      <c r="K17" s="842"/>
      <c r="L17" s="842"/>
      <c r="M17" s="842"/>
      <c r="N17" s="842"/>
      <c r="O17" s="842"/>
      <c r="P17" s="842"/>
      <c r="Q17" s="842"/>
      <c r="R17" s="842">
        <v>-1048</v>
      </c>
      <c r="S17" s="842"/>
      <c r="T17" s="842"/>
      <c r="U17" s="839">
        <f t="shared" si="0"/>
        <v>0</v>
      </c>
      <c r="V17" s="840"/>
      <c r="W17" s="842"/>
      <c r="X17" s="842"/>
      <c r="Y17" s="842"/>
      <c r="Z17" s="842"/>
      <c r="AA17" s="842"/>
      <c r="AB17" s="842"/>
      <c r="AC17" s="842"/>
      <c r="AD17" s="842"/>
      <c r="AE17" s="842"/>
      <c r="AF17" s="842"/>
      <c r="AG17" s="841">
        <f t="shared" si="1"/>
        <v>0</v>
      </c>
    </row>
    <row r="18" spans="1:33">
      <c r="A18" s="712" t="s">
        <v>800</v>
      </c>
      <c r="B18" s="816" t="s">
        <v>970</v>
      </c>
      <c r="C18" s="717" t="s">
        <v>771</v>
      </c>
      <c r="D18" s="842"/>
      <c r="E18" s="842"/>
      <c r="F18" s="842"/>
      <c r="G18" s="842"/>
      <c r="H18" s="842"/>
      <c r="I18" s="842"/>
      <c r="J18" s="842">
        <v>500</v>
      </c>
      <c r="K18" s="842"/>
      <c r="L18" s="842"/>
      <c r="M18" s="842"/>
      <c r="N18" s="842"/>
      <c r="O18" s="842"/>
      <c r="P18" s="842"/>
      <c r="Q18" s="842"/>
      <c r="R18" s="842">
        <v>-500</v>
      </c>
      <c r="S18" s="842"/>
      <c r="T18" s="842"/>
      <c r="U18" s="839">
        <f t="shared" si="0"/>
        <v>0</v>
      </c>
      <c r="V18" s="840"/>
      <c r="W18" s="842"/>
      <c r="X18" s="842"/>
      <c r="Y18" s="842"/>
      <c r="Z18" s="842"/>
      <c r="AA18" s="842"/>
      <c r="AB18" s="842"/>
      <c r="AC18" s="842"/>
      <c r="AD18" s="842"/>
      <c r="AE18" s="842"/>
      <c r="AF18" s="842"/>
      <c r="AG18" s="841">
        <f t="shared" si="1"/>
        <v>0</v>
      </c>
    </row>
    <row r="19" spans="1:33">
      <c r="A19" s="712" t="s">
        <v>801</v>
      </c>
      <c r="B19" s="816" t="s">
        <v>971</v>
      </c>
      <c r="C19" s="717" t="s">
        <v>910</v>
      </c>
      <c r="D19" s="842"/>
      <c r="E19" s="842"/>
      <c r="F19" s="842"/>
      <c r="G19" s="842"/>
      <c r="H19" s="842"/>
      <c r="I19" s="842"/>
      <c r="J19" s="842">
        <v>522</v>
      </c>
      <c r="K19" s="842"/>
      <c r="L19" s="842"/>
      <c r="M19" s="842"/>
      <c r="N19" s="842"/>
      <c r="O19" s="842"/>
      <c r="P19" s="842"/>
      <c r="Q19" s="842"/>
      <c r="R19" s="842">
        <v>-522</v>
      </c>
      <c r="S19" s="842"/>
      <c r="T19" s="842"/>
      <c r="U19" s="839">
        <f t="shared" si="0"/>
        <v>0</v>
      </c>
      <c r="V19" s="840"/>
      <c r="W19" s="842"/>
      <c r="X19" s="842"/>
      <c r="Y19" s="842"/>
      <c r="Z19" s="842"/>
      <c r="AA19" s="842"/>
      <c r="AB19" s="842"/>
      <c r="AC19" s="842"/>
      <c r="AD19" s="842"/>
      <c r="AE19" s="842"/>
      <c r="AF19" s="842"/>
      <c r="AG19" s="841">
        <f t="shared" si="1"/>
        <v>0</v>
      </c>
    </row>
    <row r="20" spans="1:33">
      <c r="A20" s="712" t="s">
        <v>802</v>
      </c>
      <c r="B20" s="816" t="s">
        <v>972</v>
      </c>
      <c r="C20" s="717" t="s">
        <v>900</v>
      </c>
      <c r="D20" s="842"/>
      <c r="E20" s="842"/>
      <c r="F20" s="842"/>
      <c r="G20" s="842"/>
      <c r="H20" s="842"/>
      <c r="I20" s="842"/>
      <c r="J20" s="842"/>
      <c r="K20" s="842"/>
      <c r="L20" s="842"/>
      <c r="M20" s="842"/>
      <c r="N20" s="842">
        <v>728</v>
      </c>
      <c r="O20" s="842"/>
      <c r="P20" s="842">
        <v>-728</v>
      </c>
      <c r="Q20" s="842"/>
      <c r="R20" s="842"/>
      <c r="S20" s="842"/>
      <c r="T20" s="842"/>
      <c r="U20" s="839">
        <f t="shared" si="0"/>
        <v>0</v>
      </c>
      <c r="V20" s="840"/>
      <c r="W20" s="842"/>
      <c r="X20" s="842"/>
      <c r="Y20" s="842"/>
      <c r="Z20" s="842"/>
      <c r="AA20" s="842"/>
      <c r="AB20" s="842"/>
      <c r="AC20" s="842"/>
      <c r="AD20" s="842"/>
      <c r="AE20" s="842"/>
      <c r="AF20" s="842"/>
      <c r="AG20" s="841">
        <f t="shared" si="1"/>
        <v>0</v>
      </c>
    </row>
    <row r="21" spans="1:33">
      <c r="A21" s="712">
        <v>1</v>
      </c>
      <c r="B21" s="816" t="s">
        <v>955</v>
      </c>
      <c r="C21" s="717" t="s">
        <v>906</v>
      </c>
      <c r="D21" s="842"/>
      <c r="E21" s="842"/>
      <c r="F21" s="842"/>
      <c r="G21" s="842"/>
      <c r="H21" s="842">
        <v>1478</v>
      </c>
      <c r="I21" s="842"/>
      <c r="J21" s="842"/>
      <c r="K21" s="842"/>
      <c r="L21" s="842"/>
      <c r="M21" s="842"/>
      <c r="N21" s="842">
        <v>547</v>
      </c>
      <c r="O21" s="842"/>
      <c r="P21" s="842"/>
      <c r="Q21" s="842">
        <v>-217</v>
      </c>
      <c r="R21" s="842"/>
      <c r="S21" s="842"/>
      <c r="T21" s="842"/>
      <c r="U21" s="839">
        <f t="shared" si="0"/>
        <v>1808</v>
      </c>
      <c r="V21" s="840"/>
      <c r="W21" s="842"/>
      <c r="X21" s="842">
        <v>1808</v>
      </c>
      <c r="Y21" s="842"/>
      <c r="Z21" s="842"/>
      <c r="AA21" s="842"/>
      <c r="AB21" s="842"/>
      <c r="AC21" s="842"/>
      <c r="AD21" s="842"/>
      <c r="AE21" s="842"/>
      <c r="AF21" s="842"/>
      <c r="AG21" s="841">
        <f t="shared" si="1"/>
        <v>1808</v>
      </c>
    </row>
    <row r="22" spans="1:33">
      <c r="A22" s="712" t="s">
        <v>803</v>
      </c>
      <c r="B22" s="816" t="s">
        <v>984</v>
      </c>
      <c r="C22" s="717"/>
      <c r="D22" s="842">
        <v>341</v>
      </c>
      <c r="E22" s="842"/>
      <c r="F22" s="842">
        <f>-130-2296+243</f>
        <v>-2183</v>
      </c>
      <c r="G22" s="842">
        <v>25</v>
      </c>
      <c r="H22" s="842">
        <v>-3425</v>
      </c>
      <c r="I22" s="842"/>
      <c r="J22" s="842"/>
      <c r="K22" s="842"/>
      <c r="L22" s="842"/>
      <c r="M22" s="842"/>
      <c r="N22" s="842">
        <f>-2105-1598</f>
        <v>-3703</v>
      </c>
      <c r="O22" s="842"/>
      <c r="P22" s="842"/>
      <c r="Q22" s="842"/>
      <c r="R22" s="842"/>
      <c r="S22" s="842"/>
      <c r="T22" s="842"/>
      <c r="U22" s="839">
        <f t="shared" si="0"/>
        <v>-8945</v>
      </c>
      <c r="V22" s="840"/>
      <c r="W22" s="842"/>
      <c r="X22" s="842">
        <v>-8945</v>
      </c>
      <c r="Y22" s="842"/>
      <c r="Z22" s="842"/>
      <c r="AA22" s="842"/>
      <c r="AB22" s="842"/>
      <c r="AC22" s="842"/>
      <c r="AD22" s="842"/>
      <c r="AE22" s="842"/>
      <c r="AF22" s="842"/>
      <c r="AG22" s="841">
        <f t="shared" si="1"/>
        <v>-8945</v>
      </c>
    </row>
    <row r="23" spans="1:33">
      <c r="A23" s="712" t="s">
        <v>804</v>
      </c>
      <c r="B23" s="816" t="s">
        <v>973</v>
      </c>
      <c r="C23" s="717" t="s">
        <v>906</v>
      </c>
      <c r="D23" s="842"/>
      <c r="E23" s="842"/>
      <c r="F23" s="842"/>
      <c r="G23" s="842"/>
      <c r="H23" s="842"/>
      <c r="I23" s="842"/>
      <c r="J23" s="842"/>
      <c r="K23" s="842"/>
      <c r="L23" s="842"/>
      <c r="M23" s="842"/>
      <c r="N23" s="842"/>
      <c r="O23" s="842"/>
      <c r="P23" s="842"/>
      <c r="Q23" s="842"/>
      <c r="R23" s="842">
        <v>800000</v>
      </c>
      <c r="S23" s="842"/>
      <c r="T23" s="842"/>
      <c r="U23" s="839">
        <f t="shared" si="0"/>
        <v>800000</v>
      </c>
      <c r="V23" s="840"/>
      <c r="W23" s="842"/>
      <c r="X23" s="842"/>
      <c r="Y23" s="842"/>
      <c r="Z23" s="842"/>
      <c r="AA23" s="842"/>
      <c r="AB23" s="842">
        <v>800000</v>
      </c>
      <c r="AC23" s="842"/>
      <c r="AD23" s="842"/>
      <c r="AE23" s="842"/>
      <c r="AF23" s="842"/>
      <c r="AG23" s="841">
        <f t="shared" si="1"/>
        <v>800000</v>
      </c>
    </row>
    <row r="24" spans="1:33">
      <c r="A24" s="712" t="s">
        <v>805</v>
      </c>
      <c r="B24" s="816" t="s">
        <v>974</v>
      </c>
      <c r="C24" s="717" t="s">
        <v>902</v>
      </c>
      <c r="D24" s="842"/>
      <c r="E24" s="842"/>
      <c r="F24" s="842"/>
      <c r="G24" s="842"/>
      <c r="H24" s="842"/>
      <c r="I24" s="842"/>
      <c r="J24" s="842">
        <v>1257</v>
      </c>
      <c r="K24" s="842"/>
      <c r="L24" s="842"/>
      <c r="M24" s="842"/>
      <c r="N24" s="842"/>
      <c r="O24" s="842"/>
      <c r="P24" s="842"/>
      <c r="Q24" s="842"/>
      <c r="R24" s="842">
        <v>-1257</v>
      </c>
      <c r="S24" s="842"/>
      <c r="T24" s="842"/>
      <c r="U24" s="839">
        <f t="shared" si="0"/>
        <v>0</v>
      </c>
      <c r="V24" s="840"/>
      <c r="W24" s="842"/>
      <c r="X24" s="842"/>
      <c r="Y24" s="842"/>
      <c r="Z24" s="842"/>
      <c r="AA24" s="842"/>
      <c r="AB24" s="842"/>
      <c r="AC24" s="842"/>
      <c r="AD24" s="842"/>
      <c r="AE24" s="842"/>
      <c r="AF24" s="842"/>
      <c r="AG24" s="841">
        <f t="shared" si="1"/>
        <v>0</v>
      </c>
    </row>
    <row r="25" spans="1:33">
      <c r="A25" s="712" t="s">
        <v>806</v>
      </c>
      <c r="B25" s="816" t="s">
        <v>975</v>
      </c>
      <c r="C25" s="717" t="s">
        <v>904</v>
      </c>
      <c r="D25" s="842">
        <v>143</v>
      </c>
      <c r="E25" s="842"/>
      <c r="F25" s="842"/>
      <c r="G25" s="842"/>
      <c r="H25" s="842"/>
      <c r="I25" s="842"/>
      <c r="J25" s="842"/>
      <c r="K25" s="842"/>
      <c r="L25" s="842"/>
      <c r="M25" s="842"/>
      <c r="N25" s="842"/>
      <c r="O25" s="842"/>
      <c r="P25" s="842">
        <v>-143</v>
      </c>
      <c r="Q25" s="842"/>
      <c r="R25" s="842"/>
      <c r="S25" s="842"/>
      <c r="T25" s="842"/>
      <c r="U25" s="839">
        <f t="shared" si="0"/>
        <v>0</v>
      </c>
      <c r="V25" s="840"/>
      <c r="W25" s="842"/>
      <c r="X25" s="842"/>
      <c r="Y25" s="842"/>
      <c r="Z25" s="842"/>
      <c r="AA25" s="842"/>
      <c r="AB25" s="842"/>
      <c r="AC25" s="842"/>
      <c r="AD25" s="842"/>
      <c r="AE25" s="842"/>
      <c r="AF25" s="842"/>
      <c r="AG25" s="841">
        <f t="shared" si="1"/>
        <v>0</v>
      </c>
    </row>
    <row r="26" spans="1:33">
      <c r="A26" s="712" t="s">
        <v>807</v>
      </c>
      <c r="B26" s="816" t="s">
        <v>976</v>
      </c>
      <c r="C26" s="717" t="s">
        <v>499</v>
      </c>
      <c r="D26" s="842"/>
      <c r="E26" s="842"/>
      <c r="F26" s="842">
        <v>100</v>
      </c>
      <c r="G26" s="842"/>
      <c r="H26" s="842"/>
      <c r="I26" s="842"/>
      <c r="J26" s="842"/>
      <c r="K26" s="842"/>
      <c r="L26" s="842"/>
      <c r="M26" s="842"/>
      <c r="N26" s="842"/>
      <c r="O26" s="842"/>
      <c r="P26" s="842">
        <v>-100</v>
      </c>
      <c r="Q26" s="842"/>
      <c r="R26" s="842"/>
      <c r="S26" s="842"/>
      <c r="T26" s="842"/>
      <c r="U26" s="839">
        <f t="shared" si="0"/>
        <v>0</v>
      </c>
      <c r="V26" s="840"/>
      <c r="W26" s="842"/>
      <c r="X26" s="842"/>
      <c r="Y26" s="842"/>
      <c r="Z26" s="842"/>
      <c r="AA26" s="842"/>
      <c r="AB26" s="842"/>
      <c r="AC26" s="842"/>
      <c r="AD26" s="842"/>
      <c r="AE26" s="842"/>
      <c r="AF26" s="842"/>
      <c r="AG26" s="841">
        <f t="shared" si="1"/>
        <v>0</v>
      </c>
    </row>
    <row r="27" spans="1:33">
      <c r="A27" s="712" t="s">
        <v>808</v>
      </c>
      <c r="B27" s="816" t="s">
        <v>977</v>
      </c>
      <c r="C27" s="717" t="s">
        <v>499</v>
      </c>
      <c r="D27" s="842"/>
      <c r="E27" s="842"/>
      <c r="F27" s="842">
        <v>171</v>
      </c>
      <c r="G27" s="842"/>
      <c r="H27" s="842"/>
      <c r="I27" s="842"/>
      <c r="J27" s="842"/>
      <c r="K27" s="842"/>
      <c r="L27" s="842"/>
      <c r="M27" s="842"/>
      <c r="N27" s="842"/>
      <c r="O27" s="842"/>
      <c r="P27" s="842"/>
      <c r="Q27" s="842"/>
      <c r="R27" s="842"/>
      <c r="S27" s="842"/>
      <c r="T27" s="842">
        <v>-171</v>
      </c>
      <c r="U27" s="839">
        <f t="shared" si="0"/>
        <v>0</v>
      </c>
      <c r="V27" s="840"/>
      <c r="W27" s="842"/>
      <c r="X27" s="842"/>
      <c r="Y27" s="842"/>
      <c r="Z27" s="842"/>
      <c r="AA27" s="842"/>
      <c r="AB27" s="842"/>
      <c r="AC27" s="842"/>
      <c r="AD27" s="842"/>
      <c r="AE27" s="842"/>
      <c r="AF27" s="842"/>
      <c r="AG27" s="841">
        <f t="shared" si="1"/>
        <v>0</v>
      </c>
    </row>
    <row r="28" spans="1:33">
      <c r="A28" s="712" t="s">
        <v>875</v>
      </c>
      <c r="B28" s="816" t="s">
        <v>978</v>
      </c>
      <c r="C28" s="717" t="s">
        <v>515</v>
      </c>
      <c r="D28" s="842"/>
      <c r="E28" s="842"/>
      <c r="F28" s="842"/>
      <c r="G28" s="842">
        <v>305</v>
      </c>
      <c r="H28" s="842"/>
      <c r="I28" s="842"/>
      <c r="J28" s="842"/>
      <c r="K28" s="842"/>
      <c r="L28" s="842"/>
      <c r="M28" s="842"/>
      <c r="N28" s="842"/>
      <c r="O28" s="842"/>
      <c r="P28" s="842">
        <v>-305</v>
      </c>
      <c r="Q28" s="842"/>
      <c r="R28" s="842"/>
      <c r="S28" s="842"/>
      <c r="T28" s="842"/>
      <c r="U28" s="839">
        <f t="shared" si="0"/>
        <v>0</v>
      </c>
      <c r="V28" s="840"/>
      <c r="W28" s="842"/>
      <c r="X28" s="842"/>
      <c r="Y28" s="842"/>
      <c r="Z28" s="842"/>
      <c r="AA28" s="842"/>
      <c r="AB28" s="842"/>
      <c r="AC28" s="842"/>
      <c r="AD28" s="842"/>
      <c r="AE28" s="842"/>
      <c r="AF28" s="842"/>
      <c r="AG28" s="841">
        <f t="shared" si="1"/>
        <v>0</v>
      </c>
    </row>
    <row r="29" spans="1:33">
      <c r="A29" s="712" t="s">
        <v>876</v>
      </c>
      <c r="B29" s="816" t="s">
        <v>979</v>
      </c>
      <c r="C29" s="717" t="s">
        <v>499</v>
      </c>
      <c r="D29" s="842"/>
      <c r="E29" s="842"/>
      <c r="F29" s="842">
        <v>750</v>
      </c>
      <c r="G29" s="842"/>
      <c r="H29" s="842"/>
      <c r="I29" s="842"/>
      <c r="J29" s="842"/>
      <c r="K29" s="842"/>
      <c r="L29" s="842"/>
      <c r="M29" s="842"/>
      <c r="N29" s="842"/>
      <c r="O29" s="842"/>
      <c r="P29" s="842"/>
      <c r="Q29" s="842"/>
      <c r="R29" s="842"/>
      <c r="S29" s="842"/>
      <c r="T29" s="842"/>
      <c r="U29" s="839">
        <f t="shared" si="0"/>
        <v>750</v>
      </c>
      <c r="V29" s="840"/>
      <c r="W29" s="842"/>
      <c r="X29" s="842"/>
      <c r="Y29" s="842">
        <v>750</v>
      </c>
      <c r="Z29" s="842"/>
      <c r="AA29" s="842"/>
      <c r="AB29" s="842"/>
      <c r="AC29" s="842"/>
      <c r="AD29" s="842"/>
      <c r="AE29" s="842"/>
      <c r="AF29" s="842"/>
      <c r="AG29" s="841">
        <f t="shared" si="1"/>
        <v>750</v>
      </c>
    </row>
    <row r="30" spans="1:33">
      <c r="A30" s="712" t="s">
        <v>877</v>
      </c>
      <c r="B30" s="816" t="s">
        <v>980</v>
      </c>
      <c r="C30" s="717" t="s">
        <v>903</v>
      </c>
      <c r="D30" s="842"/>
      <c r="E30" s="842"/>
      <c r="F30" s="842">
        <v>2096</v>
      </c>
      <c r="G30" s="842"/>
      <c r="H30" s="842"/>
      <c r="I30" s="842"/>
      <c r="J30" s="842"/>
      <c r="K30" s="842"/>
      <c r="L30" s="842"/>
      <c r="M30" s="842"/>
      <c r="N30" s="842"/>
      <c r="O30" s="842"/>
      <c r="P30" s="842">
        <v>-2096</v>
      </c>
      <c r="Q30" s="842"/>
      <c r="R30" s="842"/>
      <c r="S30" s="842"/>
      <c r="T30" s="842"/>
      <c r="U30" s="839">
        <f t="shared" si="0"/>
        <v>0</v>
      </c>
      <c r="V30" s="840"/>
      <c r="W30" s="842"/>
      <c r="X30" s="842"/>
      <c r="Y30" s="842"/>
      <c r="Z30" s="842"/>
      <c r="AA30" s="842"/>
      <c r="AB30" s="842"/>
      <c r="AC30" s="842"/>
      <c r="AD30" s="842"/>
      <c r="AE30" s="842"/>
      <c r="AF30" s="842"/>
      <c r="AG30" s="841">
        <f t="shared" si="1"/>
        <v>0</v>
      </c>
    </row>
    <row r="31" spans="1:33">
      <c r="A31" s="712" t="s">
        <v>878</v>
      </c>
      <c r="B31" s="816" t="s">
        <v>981</v>
      </c>
      <c r="C31" s="717" t="s">
        <v>902</v>
      </c>
      <c r="D31" s="842"/>
      <c r="E31" s="842"/>
      <c r="F31" s="842">
        <v>1401</v>
      </c>
      <c r="G31" s="842"/>
      <c r="H31" s="842"/>
      <c r="I31" s="842"/>
      <c r="J31" s="842"/>
      <c r="K31" s="842"/>
      <c r="L31" s="842"/>
      <c r="M31" s="842"/>
      <c r="N31" s="842"/>
      <c r="O31" s="842"/>
      <c r="P31" s="842"/>
      <c r="Q31" s="842"/>
      <c r="R31" s="842">
        <v>-1401</v>
      </c>
      <c r="S31" s="842"/>
      <c r="T31" s="842"/>
      <c r="U31" s="839">
        <f t="shared" si="0"/>
        <v>0</v>
      </c>
      <c r="V31" s="840"/>
      <c r="W31" s="842"/>
      <c r="X31" s="842"/>
      <c r="Y31" s="842"/>
      <c r="Z31" s="842"/>
      <c r="AA31" s="842"/>
      <c r="AB31" s="842"/>
      <c r="AC31" s="842"/>
      <c r="AD31" s="842"/>
      <c r="AE31" s="842"/>
      <c r="AF31" s="842"/>
      <c r="AG31" s="841">
        <f t="shared" si="1"/>
        <v>0</v>
      </c>
    </row>
    <row r="32" spans="1:33">
      <c r="A32" s="712" t="s">
        <v>879</v>
      </c>
      <c r="B32" s="816" t="s">
        <v>982</v>
      </c>
      <c r="C32" s="717" t="s">
        <v>908</v>
      </c>
      <c r="D32" s="842"/>
      <c r="E32" s="842"/>
      <c r="F32" s="842">
        <v>1535</v>
      </c>
      <c r="G32" s="842"/>
      <c r="H32" s="842"/>
      <c r="I32" s="842"/>
      <c r="J32" s="842"/>
      <c r="K32" s="842"/>
      <c r="L32" s="842"/>
      <c r="M32" s="842"/>
      <c r="N32" s="842"/>
      <c r="O32" s="842"/>
      <c r="P32" s="842"/>
      <c r="Q32" s="842"/>
      <c r="R32" s="842">
        <v>-1535</v>
      </c>
      <c r="S32" s="842"/>
      <c r="T32" s="842"/>
      <c r="U32" s="839">
        <f t="shared" si="0"/>
        <v>0</v>
      </c>
      <c r="V32" s="840"/>
      <c r="W32" s="842"/>
      <c r="X32" s="842"/>
      <c r="Y32" s="842"/>
      <c r="Z32" s="842"/>
      <c r="AA32" s="842"/>
      <c r="AB32" s="842"/>
      <c r="AC32" s="842"/>
      <c r="AD32" s="842"/>
      <c r="AE32" s="842"/>
      <c r="AF32" s="842"/>
      <c r="AG32" s="841">
        <f t="shared" si="1"/>
        <v>0</v>
      </c>
    </row>
    <row r="33" spans="1:33">
      <c r="A33" s="712" t="s">
        <v>880</v>
      </c>
      <c r="B33" s="816" t="s">
        <v>983</v>
      </c>
      <c r="C33" s="717" t="s">
        <v>682</v>
      </c>
      <c r="D33" s="842"/>
      <c r="E33" s="842"/>
      <c r="F33" s="842"/>
      <c r="G33" s="842"/>
      <c r="H33" s="842"/>
      <c r="I33" s="842"/>
      <c r="J33" s="842">
        <v>6040</v>
      </c>
      <c r="K33" s="842"/>
      <c r="L33" s="842">
        <v>2000</v>
      </c>
      <c r="M33" s="842"/>
      <c r="N33" s="842"/>
      <c r="O33" s="842"/>
      <c r="P33" s="842"/>
      <c r="Q33" s="842"/>
      <c r="R33" s="842">
        <v>-2000</v>
      </c>
      <c r="S33" s="842"/>
      <c r="T33" s="842"/>
      <c r="U33" s="839">
        <f t="shared" si="0"/>
        <v>6040</v>
      </c>
      <c r="V33" s="840"/>
      <c r="W33" s="842"/>
      <c r="X33" s="842"/>
      <c r="Y33" s="842"/>
      <c r="Z33" s="842"/>
      <c r="AA33" s="842"/>
      <c r="AB33" s="842"/>
      <c r="AC33" s="842">
        <v>6040</v>
      </c>
      <c r="AD33" s="842"/>
      <c r="AE33" s="842"/>
      <c r="AF33" s="842"/>
      <c r="AG33" s="841">
        <f t="shared" si="1"/>
        <v>6040</v>
      </c>
    </row>
    <row r="34" spans="1:33">
      <c r="A34" s="712" t="s">
        <v>881</v>
      </c>
      <c r="B34" s="816" t="s">
        <v>985</v>
      </c>
      <c r="C34" s="717" t="s">
        <v>499</v>
      </c>
      <c r="D34" s="842"/>
      <c r="E34" s="842"/>
      <c r="F34" s="842"/>
      <c r="G34" s="842"/>
      <c r="H34" s="842">
        <v>150</v>
      </c>
      <c r="I34" s="842"/>
      <c r="J34" s="842"/>
      <c r="K34" s="842"/>
      <c r="L34" s="842"/>
      <c r="M34" s="842"/>
      <c r="N34" s="842"/>
      <c r="O34" s="842"/>
      <c r="P34" s="842">
        <v>-150</v>
      </c>
      <c r="Q34" s="842"/>
      <c r="R34" s="842"/>
      <c r="S34" s="842"/>
      <c r="T34" s="842"/>
      <c r="U34" s="839">
        <f t="shared" si="0"/>
        <v>0</v>
      </c>
      <c r="V34" s="840"/>
      <c r="W34" s="842"/>
      <c r="X34" s="842"/>
      <c r="Y34" s="842"/>
      <c r="Z34" s="842"/>
      <c r="AA34" s="842"/>
      <c r="AB34" s="842"/>
      <c r="AC34" s="842"/>
      <c r="AD34" s="842"/>
      <c r="AE34" s="842"/>
      <c r="AF34" s="842"/>
      <c r="AG34" s="841">
        <f t="shared" si="1"/>
        <v>0</v>
      </c>
    </row>
    <row r="35" spans="1:33">
      <c r="A35" s="712" t="s">
        <v>886</v>
      </c>
      <c r="B35" s="816" t="s">
        <v>986</v>
      </c>
      <c r="C35" s="717" t="s">
        <v>900</v>
      </c>
      <c r="D35" s="842"/>
      <c r="E35" s="842"/>
      <c r="F35" s="842"/>
      <c r="G35" s="842"/>
      <c r="H35" s="842"/>
      <c r="I35" s="842"/>
      <c r="J35" s="842"/>
      <c r="K35" s="842"/>
      <c r="L35" s="842"/>
      <c r="M35" s="842"/>
      <c r="N35" s="842">
        <v>-5000</v>
      </c>
      <c r="O35" s="842"/>
      <c r="P35" s="842">
        <v>5000</v>
      </c>
      <c r="Q35" s="842"/>
      <c r="R35" s="842"/>
      <c r="S35" s="842"/>
      <c r="T35" s="842"/>
      <c r="U35" s="839">
        <f t="shared" si="0"/>
        <v>0</v>
      </c>
      <c r="V35" s="840"/>
      <c r="W35" s="842"/>
      <c r="X35" s="842"/>
      <c r="Y35" s="842"/>
      <c r="Z35" s="842"/>
      <c r="AA35" s="842"/>
      <c r="AB35" s="842"/>
      <c r="AC35" s="842"/>
      <c r="AD35" s="842"/>
      <c r="AE35" s="842"/>
      <c r="AF35" s="842"/>
      <c r="AG35" s="841">
        <f t="shared" si="1"/>
        <v>0</v>
      </c>
    </row>
    <row r="36" spans="1:33">
      <c r="A36" s="712" t="s">
        <v>887</v>
      </c>
      <c r="B36" s="816" t="s">
        <v>987</v>
      </c>
      <c r="C36" s="717" t="s">
        <v>910</v>
      </c>
      <c r="D36" s="842"/>
      <c r="E36" s="842"/>
      <c r="F36" s="842"/>
      <c r="G36" s="842"/>
      <c r="H36" s="842"/>
      <c r="I36" s="842"/>
      <c r="J36" s="842">
        <v>1308</v>
      </c>
      <c r="K36" s="842"/>
      <c r="L36" s="842"/>
      <c r="M36" s="842"/>
      <c r="N36" s="842"/>
      <c r="O36" s="842"/>
      <c r="P36" s="842"/>
      <c r="Q36" s="842"/>
      <c r="R36" s="842">
        <v>-1308</v>
      </c>
      <c r="S36" s="842"/>
      <c r="T36" s="842"/>
      <c r="U36" s="839">
        <f t="shared" si="0"/>
        <v>0</v>
      </c>
      <c r="V36" s="840"/>
      <c r="W36" s="842"/>
      <c r="X36" s="842"/>
      <c r="Y36" s="842"/>
      <c r="Z36" s="842"/>
      <c r="AA36" s="842"/>
      <c r="AB36" s="842"/>
      <c r="AC36" s="842"/>
      <c r="AD36" s="842"/>
      <c r="AE36" s="842"/>
      <c r="AF36" s="842"/>
      <c r="AG36" s="841">
        <f t="shared" si="1"/>
        <v>0</v>
      </c>
    </row>
    <row r="37" spans="1:33">
      <c r="A37" s="712" t="s">
        <v>888</v>
      </c>
      <c r="B37" s="816" t="s">
        <v>988</v>
      </c>
      <c r="C37" s="717" t="s">
        <v>772</v>
      </c>
      <c r="D37" s="842"/>
      <c r="E37" s="842"/>
      <c r="F37" s="842"/>
      <c r="G37" s="842"/>
      <c r="H37" s="842"/>
      <c r="I37" s="842"/>
      <c r="J37" s="842">
        <v>100</v>
      </c>
      <c r="K37" s="842"/>
      <c r="L37" s="842"/>
      <c r="M37" s="842"/>
      <c r="N37" s="842"/>
      <c r="O37" s="842"/>
      <c r="P37" s="842"/>
      <c r="Q37" s="842"/>
      <c r="R37" s="842">
        <v>-100</v>
      </c>
      <c r="S37" s="842"/>
      <c r="T37" s="842"/>
      <c r="U37" s="839">
        <f t="shared" si="0"/>
        <v>0</v>
      </c>
      <c r="V37" s="840"/>
      <c r="W37" s="842"/>
      <c r="X37" s="842"/>
      <c r="Y37" s="842"/>
      <c r="Z37" s="842"/>
      <c r="AA37" s="842"/>
      <c r="AB37" s="842"/>
      <c r="AC37" s="842"/>
      <c r="AD37" s="842"/>
      <c r="AE37" s="842"/>
      <c r="AF37" s="842"/>
      <c r="AG37" s="841">
        <f t="shared" si="1"/>
        <v>0</v>
      </c>
    </row>
    <row r="38" spans="1:33">
      <c r="A38" s="712" t="s">
        <v>889</v>
      </c>
      <c r="B38" s="816" t="s">
        <v>989</v>
      </c>
      <c r="C38" s="717" t="s">
        <v>499</v>
      </c>
      <c r="D38" s="842"/>
      <c r="E38" s="842"/>
      <c r="F38" s="842"/>
      <c r="G38" s="842"/>
      <c r="H38" s="842"/>
      <c r="I38" s="842">
        <v>-150</v>
      </c>
      <c r="J38" s="842">
        <v>152</v>
      </c>
      <c r="K38" s="842"/>
      <c r="L38" s="842"/>
      <c r="M38" s="842"/>
      <c r="N38" s="842"/>
      <c r="O38" s="842"/>
      <c r="P38" s="842">
        <v>-2</v>
      </c>
      <c r="Q38" s="842"/>
      <c r="R38" s="842"/>
      <c r="S38" s="842"/>
      <c r="T38" s="842"/>
      <c r="U38" s="839">
        <f t="shared" si="0"/>
        <v>0</v>
      </c>
      <c r="V38" s="840"/>
      <c r="W38" s="842"/>
      <c r="X38" s="842"/>
      <c r="Y38" s="842"/>
      <c r="Z38" s="842"/>
      <c r="AA38" s="842"/>
      <c r="AB38" s="842"/>
      <c r="AC38" s="842"/>
      <c r="AD38" s="842"/>
      <c r="AE38" s="842"/>
      <c r="AF38" s="842"/>
      <c r="AG38" s="841">
        <f t="shared" si="1"/>
        <v>0</v>
      </c>
    </row>
    <row r="39" spans="1:33">
      <c r="A39" s="712" t="s">
        <v>890</v>
      </c>
      <c r="B39" s="816" t="s">
        <v>990</v>
      </c>
      <c r="C39" s="717" t="s">
        <v>499</v>
      </c>
      <c r="D39" s="842"/>
      <c r="E39" s="842"/>
      <c r="F39" s="842"/>
      <c r="G39" s="842"/>
      <c r="H39" s="842"/>
      <c r="I39" s="842"/>
      <c r="J39" s="842">
        <v>102</v>
      </c>
      <c r="K39" s="842"/>
      <c r="L39" s="842"/>
      <c r="M39" s="842"/>
      <c r="N39" s="842"/>
      <c r="O39" s="842"/>
      <c r="P39" s="842"/>
      <c r="Q39" s="842"/>
      <c r="R39" s="842">
        <v>-102</v>
      </c>
      <c r="S39" s="842"/>
      <c r="T39" s="842"/>
      <c r="U39" s="839">
        <f t="shared" ref="U39:U48" si="2">SUM(D39:T39)</f>
        <v>0</v>
      </c>
      <c r="V39" s="840"/>
      <c r="W39" s="842"/>
      <c r="X39" s="842"/>
      <c r="Y39" s="842"/>
      <c r="Z39" s="842"/>
      <c r="AA39" s="842"/>
      <c r="AB39" s="842"/>
      <c r="AC39" s="842"/>
      <c r="AD39" s="842"/>
      <c r="AE39" s="842"/>
      <c r="AF39" s="842"/>
      <c r="AG39" s="841">
        <f t="shared" si="1"/>
        <v>0</v>
      </c>
    </row>
    <row r="40" spans="1:33">
      <c r="A40" s="712" t="s">
        <v>891</v>
      </c>
      <c r="B40" s="816" t="s">
        <v>991</v>
      </c>
      <c r="C40" s="717" t="s">
        <v>499</v>
      </c>
      <c r="D40" s="842"/>
      <c r="E40" s="842"/>
      <c r="F40" s="842"/>
      <c r="G40" s="842"/>
      <c r="H40" s="842"/>
      <c r="I40" s="842"/>
      <c r="J40" s="842">
        <v>145</v>
      </c>
      <c r="K40" s="842"/>
      <c r="L40" s="842"/>
      <c r="M40" s="842"/>
      <c r="N40" s="842"/>
      <c r="O40" s="842"/>
      <c r="P40" s="842">
        <v>-145</v>
      </c>
      <c r="Q40" s="842"/>
      <c r="R40" s="842"/>
      <c r="S40" s="842"/>
      <c r="T40" s="842"/>
      <c r="U40" s="839">
        <f t="shared" si="2"/>
        <v>0</v>
      </c>
      <c r="V40" s="840"/>
      <c r="W40" s="842"/>
      <c r="X40" s="842"/>
      <c r="Y40" s="842"/>
      <c r="Z40" s="842"/>
      <c r="AA40" s="842"/>
      <c r="AB40" s="842"/>
      <c r="AC40" s="842"/>
      <c r="AD40" s="842"/>
      <c r="AE40" s="842"/>
      <c r="AF40" s="842"/>
      <c r="AG40" s="841">
        <f t="shared" ref="AG40:AG48" si="3">SUM(V40:AF40)</f>
        <v>0</v>
      </c>
    </row>
    <row r="41" spans="1:33">
      <c r="A41" s="712" t="s">
        <v>892</v>
      </c>
      <c r="B41" s="816" t="s">
        <v>992</v>
      </c>
      <c r="C41" s="717"/>
      <c r="D41" s="842"/>
      <c r="E41" s="842"/>
      <c r="F41" s="842"/>
      <c r="G41" s="842"/>
      <c r="H41" s="842"/>
      <c r="I41" s="842"/>
      <c r="J41" s="842">
        <v>858</v>
      </c>
      <c r="K41" s="842"/>
      <c r="L41" s="842"/>
      <c r="M41" s="842"/>
      <c r="N41" s="842"/>
      <c r="O41" s="842"/>
      <c r="P41" s="842"/>
      <c r="Q41" s="842"/>
      <c r="R41" s="842">
        <v>-858</v>
      </c>
      <c r="S41" s="842"/>
      <c r="T41" s="842"/>
      <c r="U41" s="839">
        <f t="shared" si="2"/>
        <v>0</v>
      </c>
      <c r="V41" s="840"/>
      <c r="W41" s="842"/>
      <c r="X41" s="842"/>
      <c r="Y41" s="842"/>
      <c r="Z41" s="842"/>
      <c r="AA41" s="842"/>
      <c r="AB41" s="842"/>
      <c r="AC41" s="842"/>
      <c r="AD41" s="842"/>
      <c r="AE41" s="842"/>
      <c r="AF41" s="842"/>
      <c r="AG41" s="841">
        <f t="shared" si="3"/>
        <v>0</v>
      </c>
    </row>
    <row r="42" spans="1:33">
      <c r="A42" s="712" t="s">
        <v>893</v>
      </c>
      <c r="B42" s="816" t="s">
        <v>993</v>
      </c>
      <c r="C42" s="717" t="s">
        <v>910</v>
      </c>
      <c r="D42" s="842"/>
      <c r="E42" s="842"/>
      <c r="F42" s="842"/>
      <c r="G42" s="842"/>
      <c r="H42" s="842"/>
      <c r="I42" s="842"/>
      <c r="J42" s="842">
        <v>1016</v>
      </c>
      <c r="K42" s="842"/>
      <c r="L42" s="842"/>
      <c r="M42" s="842"/>
      <c r="N42" s="842"/>
      <c r="O42" s="842"/>
      <c r="P42" s="842"/>
      <c r="Q42" s="842"/>
      <c r="R42" s="842">
        <v>-1016</v>
      </c>
      <c r="S42" s="842"/>
      <c r="T42" s="842"/>
      <c r="U42" s="839">
        <f t="shared" si="2"/>
        <v>0</v>
      </c>
      <c r="V42" s="840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1">
        <f t="shared" si="3"/>
        <v>0</v>
      </c>
    </row>
    <row r="43" spans="1:33">
      <c r="A43" s="712" t="s">
        <v>894</v>
      </c>
      <c r="B43" s="816" t="s">
        <v>994</v>
      </c>
      <c r="C43" s="717" t="s">
        <v>908</v>
      </c>
      <c r="D43" s="842"/>
      <c r="E43" s="842"/>
      <c r="F43" s="842"/>
      <c r="G43" s="842"/>
      <c r="H43" s="842"/>
      <c r="I43" s="842"/>
      <c r="J43" s="842">
        <v>314</v>
      </c>
      <c r="K43" s="842"/>
      <c r="L43" s="842"/>
      <c r="M43" s="842"/>
      <c r="N43" s="842"/>
      <c r="O43" s="842"/>
      <c r="P43" s="842"/>
      <c r="Q43" s="842"/>
      <c r="R43" s="842">
        <v>-314</v>
      </c>
      <c r="S43" s="842"/>
      <c r="T43" s="842"/>
      <c r="U43" s="839">
        <f t="shared" si="2"/>
        <v>0</v>
      </c>
      <c r="V43" s="840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1">
        <f t="shared" si="3"/>
        <v>0</v>
      </c>
    </row>
    <row r="44" spans="1:33">
      <c r="A44" s="712" t="s">
        <v>895</v>
      </c>
      <c r="B44" s="816" t="s">
        <v>995</v>
      </c>
      <c r="C44" s="717" t="s">
        <v>909</v>
      </c>
      <c r="D44" s="842"/>
      <c r="E44" s="842"/>
      <c r="F44" s="842"/>
      <c r="G44" s="842"/>
      <c r="H44" s="842"/>
      <c r="I44" s="842"/>
      <c r="J44" s="842">
        <v>450</v>
      </c>
      <c r="K44" s="842"/>
      <c r="L44" s="842"/>
      <c r="M44" s="842"/>
      <c r="N44" s="842"/>
      <c r="O44" s="842"/>
      <c r="P44" s="842"/>
      <c r="Q44" s="842"/>
      <c r="R44" s="842">
        <v>-450</v>
      </c>
      <c r="S44" s="842"/>
      <c r="T44" s="842"/>
      <c r="U44" s="839">
        <f t="shared" si="2"/>
        <v>0</v>
      </c>
      <c r="V44" s="840"/>
      <c r="W44" s="842"/>
      <c r="X44" s="842"/>
      <c r="Y44" s="842"/>
      <c r="Z44" s="842"/>
      <c r="AA44" s="842"/>
      <c r="AB44" s="842"/>
      <c r="AC44" s="842"/>
      <c r="AD44" s="842"/>
      <c r="AE44" s="842"/>
      <c r="AF44" s="842"/>
      <c r="AG44" s="841">
        <f t="shared" si="3"/>
        <v>0</v>
      </c>
    </row>
    <row r="45" spans="1:33">
      <c r="A45" s="712" t="s">
        <v>896</v>
      </c>
      <c r="B45" s="816" t="s">
        <v>996</v>
      </c>
      <c r="C45" s="717" t="s">
        <v>908</v>
      </c>
      <c r="D45" s="842"/>
      <c r="E45" s="842"/>
      <c r="F45" s="842"/>
      <c r="G45" s="842"/>
      <c r="H45" s="842"/>
      <c r="I45" s="842"/>
      <c r="J45" s="842"/>
      <c r="K45" s="842">
        <v>7878</v>
      </c>
      <c r="L45" s="842"/>
      <c r="M45" s="842"/>
      <c r="N45" s="842"/>
      <c r="O45" s="842"/>
      <c r="P45" s="842"/>
      <c r="Q45" s="842"/>
      <c r="R45" s="842">
        <v>-7878</v>
      </c>
      <c r="S45" s="842"/>
      <c r="T45" s="842"/>
      <c r="U45" s="839">
        <f t="shared" si="2"/>
        <v>0</v>
      </c>
      <c r="V45" s="840"/>
      <c r="W45" s="842"/>
      <c r="X45" s="842"/>
      <c r="Y45" s="842"/>
      <c r="Z45" s="842"/>
      <c r="AA45" s="842"/>
      <c r="AB45" s="842"/>
      <c r="AC45" s="842"/>
      <c r="AD45" s="842"/>
      <c r="AE45" s="842"/>
      <c r="AF45" s="842"/>
      <c r="AG45" s="841">
        <f t="shared" si="3"/>
        <v>0</v>
      </c>
    </row>
    <row r="46" spans="1:33">
      <c r="A46" s="712" t="s">
        <v>897</v>
      </c>
      <c r="B46" s="816" t="s">
        <v>997</v>
      </c>
      <c r="C46" s="717"/>
      <c r="D46" s="842"/>
      <c r="E46" s="842"/>
      <c r="F46" s="842"/>
      <c r="G46" s="842"/>
      <c r="H46" s="842"/>
      <c r="I46" s="842">
        <v>3250</v>
      </c>
      <c r="J46" s="842"/>
      <c r="K46" s="842"/>
      <c r="L46" s="842"/>
      <c r="M46" s="842"/>
      <c r="N46" s="842"/>
      <c r="O46" s="842"/>
      <c r="P46" s="842">
        <v>-3250</v>
      </c>
      <c r="Q46" s="842"/>
      <c r="R46" s="842"/>
      <c r="S46" s="842"/>
      <c r="T46" s="842"/>
      <c r="U46" s="839">
        <f t="shared" si="2"/>
        <v>0</v>
      </c>
      <c r="V46" s="840"/>
      <c r="W46" s="842"/>
      <c r="X46" s="842"/>
      <c r="Y46" s="842"/>
      <c r="Z46" s="842"/>
      <c r="AA46" s="842"/>
      <c r="AB46" s="842"/>
      <c r="AC46" s="842"/>
      <c r="AD46" s="842"/>
      <c r="AE46" s="842"/>
      <c r="AF46" s="842"/>
      <c r="AG46" s="841">
        <f t="shared" si="3"/>
        <v>0</v>
      </c>
    </row>
    <row r="47" spans="1:33">
      <c r="A47" s="712" t="s">
        <v>898</v>
      </c>
      <c r="B47" s="816" t="s">
        <v>998</v>
      </c>
      <c r="C47" s="717" t="s">
        <v>509</v>
      </c>
      <c r="D47" s="842"/>
      <c r="E47" s="842"/>
      <c r="F47" s="842"/>
      <c r="G47" s="842"/>
      <c r="H47" s="842"/>
      <c r="I47" s="842">
        <v>50</v>
      </c>
      <c r="J47" s="842"/>
      <c r="K47" s="842"/>
      <c r="L47" s="842"/>
      <c r="M47" s="842"/>
      <c r="N47" s="842"/>
      <c r="O47" s="842"/>
      <c r="P47" s="842">
        <v>-50</v>
      </c>
      <c r="Q47" s="842"/>
      <c r="R47" s="842"/>
      <c r="S47" s="842"/>
      <c r="T47" s="842"/>
      <c r="U47" s="839">
        <f t="shared" si="2"/>
        <v>0</v>
      </c>
      <c r="V47" s="840"/>
      <c r="W47" s="842"/>
      <c r="X47" s="842"/>
      <c r="Y47" s="842"/>
      <c r="Z47" s="842"/>
      <c r="AA47" s="842"/>
      <c r="AB47" s="842"/>
      <c r="AC47" s="842"/>
      <c r="AD47" s="842"/>
      <c r="AE47" s="842"/>
      <c r="AF47" s="842"/>
      <c r="AG47" s="841">
        <f t="shared" si="3"/>
        <v>0</v>
      </c>
    </row>
    <row r="48" spans="1:33">
      <c r="A48" s="712" t="s">
        <v>899</v>
      </c>
      <c r="B48" s="816" t="s">
        <v>1031</v>
      </c>
      <c r="C48" s="717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2"/>
      <c r="O48" s="842">
        <v>140000</v>
      </c>
      <c r="P48" s="842"/>
      <c r="Q48" s="842"/>
      <c r="R48" s="842"/>
      <c r="S48" s="842"/>
      <c r="T48" s="842"/>
      <c r="U48" s="839">
        <f t="shared" si="2"/>
        <v>140000</v>
      </c>
      <c r="V48" s="840"/>
      <c r="W48" s="842"/>
      <c r="X48" s="842"/>
      <c r="Y48" s="842"/>
      <c r="Z48" s="842"/>
      <c r="AA48" s="842"/>
      <c r="AB48" s="842"/>
      <c r="AC48" s="842"/>
      <c r="AD48" s="842"/>
      <c r="AE48" s="842">
        <v>140000</v>
      </c>
      <c r="AF48" s="842"/>
      <c r="AG48" s="841">
        <f t="shared" si="3"/>
        <v>140000</v>
      </c>
    </row>
    <row r="49" spans="1:33" s="720" customFormat="1" ht="13.8" thickBot="1">
      <c r="A49" s="718"/>
      <c r="B49" s="719" t="s">
        <v>178</v>
      </c>
      <c r="C49" s="719"/>
      <c r="D49" s="843">
        <f t="shared" ref="D49:T49" si="4">SUM(D5:D48)</f>
        <v>640</v>
      </c>
      <c r="E49" s="843">
        <f t="shared" si="4"/>
        <v>1</v>
      </c>
      <c r="F49" s="843">
        <f t="shared" si="4"/>
        <v>5608</v>
      </c>
      <c r="G49" s="843">
        <f t="shared" si="4"/>
        <v>330</v>
      </c>
      <c r="H49" s="843">
        <f t="shared" si="4"/>
        <v>-1158</v>
      </c>
      <c r="I49" s="843">
        <f t="shared" si="4"/>
        <v>3150</v>
      </c>
      <c r="J49" s="843">
        <f t="shared" si="4"/>
        <v>14462</v>
      </c>
      <c r="K49" s="843">
        <f>SUM(K5:K48)</f>
        <v>16538</v>
      </c>
      <c r="L49" s="843">
        <f t="shared" si="4"/>
        <v>2000</v>
      </c>
      <c r="M49" s="843">
        <f t="shared" si="4"/>
        <v>0</v>
      </c>
      <c r="N49" s="843">
        <f t="shared" si="4"/>
        <v>-1710</v>
      </c>
      <c r="O49" s="843">
        <f t="shared" si="4"/>
        <v>340000</v>
      </c>
      <c r="P49" s="843">
        <f t="shared" si="4"/>
        <v>33566</v>
      </c>
      <c r="Q49" s="843">
        <f t="shared" si="4"/>
        <v>-217</v>
      </c>
      <c r="R49" s="843">
        <f t="shared" si="4"/>
        <v>575205</v>
      </c>
      <c r="S49" s="843">
        <f t="shared" si="4"/>
        <v>-8660</v>
      </c>
      <c r="T49" s="843">
        <f t="shared" si="4"/>
        <v>-171</v>
      </c>
      <c r="U49" s="844">
        <f>SUM(D49:T49)</f>
        <v>979584</v>
      </c>
      <c r="V49" s="845">
        <f t="shared" ref="V49:AF49" si="5">SUM(V5:V48)</f>
        <v>38833</v>
      </c>
      <c r="W49" s="845">
        <f t="shared" si="5"/>
        <v>0</v>
      </c>
      <c r="X49" s="845">
        <f t="shared" si="5"/>
        <v>-6802</v>
      </c>
      <c r="Y49" s="845">
        <f t="shared" si="5"/>
        <v>750</v>
      </c>
      <c r="Z49" s="845">
        <f t="shared" si="5"/>
        <v>0</v>
      </c>
      <c r="AA49" s="845">
        <f t="shared" si="5"/>
        <v>0</v>
      </c>
      <c r="AB49" s="845">
        <f t="shared" si="5"/>
        <v>800763</v>
      </c>
      <c r="AC49" s="845">
        <f t="shared" si="5"/>
        <v>6040</v>
      </c>
      <c r="AD49" s="845">
        <f t="shared" si="5"/>
        <v>0</v>
      </c>
      <c r="AE49" s="845">
        <f t="shared" si="5"/>
        <v>140000</v>
      </c>
      <c r="AF49" s="845">
        <f t="shared" si="5"/>
        <v>0</v>
      </c>
      <c r="AG49" s="846">
        <f t="shared" ref="AG49" si="6">SUM(V49:AF49)</f>
        <v>979584</v>
      </c>
    </row>
    <row r="51" spans="1:33">
      <c r="P51" s="850"/>
      <c r="Q51" s="850"/>
      <c r="R51" s="850"/>
      <c r="S51" s="850"/>
      <c r="T51" s="850"/>
    </row>
  </sheetData>
  <mergeCells count="35">
    <mergeCell ref="AF3:AF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V3:V4"/>
    <mergeCell ref="W3:W4"/>
    <mergeCell ref="X3:X4"/>
    <mergeCell ref="L3:L4"/>
    <mergeCell ref="AE1:AG1"/>
    <mergeCell ref="A2:A4"/>
    <mergeCell ref="B2:B4"/>
    <mergeCell ref="C2:C4"/>
    <mergeCell ref="D2:T2"/>
    <mergeCell ref="U2:U4"/>
    <mergeCell ref="V2:AF2"/>
    <mergeCell ref="AG2:AG4"/>
    <mergeCell ref="D3:D4"/>
    <mergeCell ref="E3:E4"/>
    <mergeCell ref="F3:F4"/>
    <mergeCell ref="G3:G4"/>
    <mergeCell ref="H3:I3"/>
    <mergeCell ref="J3:J4"/>
    <mergeCell ref="K3:K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6" orientation="landscape" r:id="rId1"/>
  <headerFooter alignWithMargins="0">
    <oddHeader>&amp;C&amp;"Times New Roman,Félkövér"&amp;16Előirányzat módosítás nyilvántartás Martonvásár Város Önkormányzata 2016. év&amp;R&amp;"Times New Roman CE,Normál"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9" sqref="O9:O10"/>
    </sheetView>
  </sheetViews>
  <sheetFormatPr defaultColWidth="9.109375" defaultRowHeight="13.2"/>
  <cols>
    <col min="1" max="1" width="5.6640625" style="709" customWidth="1"/>
    <col min="2" max="2" width="35.6640625" style="709" customWidth="1"/>
    <col min="3" max="3" width="6.109375" style="709" hidden="1" customWidth="1"/>
    <col min="4" max="4" width="7.44140625" style="709" customWidth="1"/>
    <col min="5" max="5" width="5.6640625" style="709" customWidth="1"/>
    <col min="6" max="7" width="5.5546875" style="709" hidden="1" customWidth="1"/>
    <col min="8" max="8" width="5.44140625" style="709" hidden="1" customWidth="1"/>
    <col min="9" max="9" width="5.33203125" style="709" hidden="1" customWidth="1"/>
    <col min="10" max="10" width="5.109375" style="709" hidden="1" customWidth="1"/>
    <col min="11" max="11" width="0.109375" style="709" hidden="1" customWidth="1"/>
    <col min="12" max="12" width="8.109375" style="709" customWidth="1"/>
    <col min="13" max="13" width="7.88671875" style="709" customWidth="1"/>
    <col min="14" max="14" width="8.5546875" style="709" customWidth="1"/>
    <col min="15" max="15" width="7.33203125" style="709" customWidth="1"/>
    <col min="16" max="16" width="6.5546875" style="709" customWidth="1"/>
    <col min="17" max="17" width="8.109375" style="709" customWidth="1"/>
    <col min="18" max="18" width="9" style="709" customWidth="1"/>
    <col min="19" max="19" width="8.88671875" style="709" customWidth="1"/>
    <col min="20" max="20" width="8.33203125" style="709" customWidth="1"/>
    <col min="21" max="22" width="9.109375" style="709"/>
    <col min="23" max="24" width="9" style="709" customWidth="1"/>
    <col min="25" max="25" width="6.88671875" style="709" customWidth="1"/>
    <col min="26" max="26" width="7.88671875" style="709" customWidth="1"/>
    <col min="27" max="27" width="9.33203125" style="709" customWidth="1"/>
    <col min="28" max="28" width="7" style="709" hidden="1" customWidth="1"/>
    <col min="29" max="16384" width="9.109375" style="709"/>
  </cols>
  <sheetData>
    <row r="1" spans="1:29" ht="15" customHeight="1" thickBot="1">
      <c r="Z1" s="1131" t="s">
        <v>399</v>
      </c>
      <c r="AA1" s="1131"/>
      <c r="AB1" s="1131"/>
      <c r="AC1" s="1131"/>
    </row>
    <row r="2" spans="1:29" ht="31.5" customHeight="1">
      <c r="A2" s="1147" t="s">
        <v>345</v>
      </c>
      <c r="B2" s="1149" t="s">
        <v>743</v>
      </c>
      <c r="C2" s="1149" t="s">
        <v>779</v>
      </c>
      <c r="D2" s="1151" t="s">
        <v>305</v>
      </c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2" t="s">
        <v>285</v>
      </c>
      <c r="S2" s="1151" t="s">
        <v>298</v>
      </c>
      <c r="T2" s="1151"/>
      <c r="U2" s="1151"/>
      <c r="V2" s="1151"/>
      <c r="W2" s="1151"/>
      <c r="X2" s="1151"/>
      <c r="Y2" s="1151"/>
      <c r="Z2" s="1151"/>
      <c r="AA2" s="1154"/>
      <c r="AB2" s="1152" t="s">
        <v>745</v>
      </c>
      <c r="AC2" s="1155" t="s">
        <v>780</v>
      </c>
    </row>
    <row r="3" spans="1:29" s="721" customFormat="1" ht="25.5" customHeight="1">
      <c r="A3" s="1148"/>
      <c r="B3" s="1146"/>
      <c r="C3" s="1150"/>
      <c r="D3" s="1146" t="s">
        <v>781</v>
      </c>
      <c r="E3" s="1146" t="s">
        <v>782</v>
      </c>
      <c r="F3" s="1146" t="s">
        <v>783</v>
      </c>
      <c r="G3" s="1146"/>
      <c r="H3" s="1146"/>
      <c r="I3" s="1146"/>
      <c r="J3" s="1146"/>
      <c r="K3" s="1146"/>
      <c r="L3" s="1146" t="s">
        <v>152</v>
      </c>
      <c r="M3" s="1146" t="s">
        <v>164</v>
      </c>
      <c r="N3" s="1157"/>
      <c r="O3" s="1146" t="s">
        <v>749</v>
      </c>
      <c r="P3" s="1146" t="s">
        <v>784</v>
      </c>
      <c r="Q3" s="1146" t="s">
        <v>785</v>
      </c>
      <c r="R3" s="1153"/>
      <c r="S3" s="1146" t="s">
        <v>759</v>
      </c>
      <c r="T3" s="1146" t="s">
        <v>760</v>
      </c>
      <c r="U3" s="1146" t="s">
        <v>753</v>
      </c>
      <c r="V3" s="1146" t="s">
        <v>786</v>
      </c>
      <c r="W3" s="1157"/>
      <c r="X3" s="1158" t="s">
        <v>787</v>
      </c>
      <c r="Y3" s="1146" t="s">
        <v>788</v>
      </c>
      <c r="Z3" s="1157"/>
      <c r="AA3" s="1158" t="s">
        <v>789</v>
      </c>
      <c r="AB3" s="1153"/>
      <c r="AC3" s="1156"/>
    </row>
    <row r="4" spans="1:29" s="721" customFormat="1" ht="23.25" customHeight="1">
      <c r="A4" s="1148"/>
      <c r="B4" s="1146"/>
      <c r="C4" s="1150"/>
      <c r="D4" s="1146"/>
      <c r="E4" s="1146"/>
      <c r="F4" s="722" t="s">
        <v>790</v>
      </c>
      <c r="G4" s="722" t="s">
        <v>791</v>
      </c>
      <c r="H4" s="722" t="s">
        <v>792</v>
      </c>
      <c r="I4" s="722" t="s">
        <v>793</v>
      </c>
      <c r="J4" s="722" t="s">
        <v>794</v>
      </c>
      <c r="K4" s="722" t="s">
        <v>795</v>
      </c>
      <c r="L4" s="1146"/>
      <c r="M4" s="836" t="s">
        <v>769</v>
      </c>
      <c r="N4" s="836" t="s">
        <v>770</v>
      </c>
      <c r="O4" s="1146"/>
      <c r="P4" s="1146"/>
      <c r="Q4" s="1146"/>
      <c r="R4" s="1153"/>
      <c r="S4" s="1146"/>
      <c r="T4" s="1146"/>
      <c r="U4" s="1146"/>
      <c r="V4" s="836" t="s">
        <v>796</v>
      </c>
      <c r="W4" s="836" t="s">
        <v>797</v>
      </c>
      <c r="X4" s="1160"/>
      <c r="Y4" s="836" t="s">
        <v>796</v>
      </c>
      <c r="Z4" s="836" t="s">
        <v>797</v>
      </c>
      <c r="AA4" s="1159"/>
      <c r="AB4" s="1153"/>
      <c r="AC4" s="1156"/>
    </row>
    <row r="5" spans="1:29" ht="13.5" customHeight="1">
      <c r="A5" s="723" t="s">
        <v>304</v>
      </c>
      <c r="B5" s="715" t="s">
        <v>1018</v>
      </c>
      <c r="C5" s="724"/>
      <c r="D5" s="716">
        <v>598</v>
      </c>
      <c r="E5" s="716">
        <v>180</v>
      </c>
      <c r="F5" s="716"/>
      <c r="G5" s="716"/>
      <c r="H5" s="716"/>
      <c r="I5" s="716"/>
      <c r="J5" s="716"/>
      <c r="K5" s="716"/>
      <c r="L5" s="716">
        <v>120</v>
      </c>
      <c r="M5" s="716"/>
      <c r="N5" s="716"/>
      <c r="O5" s="716"/>
      <c r="P5" s="716"/>
      <c r="Q5" s="716"/>
      <c r="R5" s="726">
        <f t="shared" ref="R5:R13" si="0">SUM(D5:Q5)</f>
        <v>898</v>
      </c>
      <c r="S5" s="716"/>
      <c r="T5" s="716"/>
      <c r="U5" s="716"/>
      <c r="V5" s="716">
        <v>898</v>
      </c>
      <c r="W5" s="716"/>
      <c r="X5" s="716"/>
      <c r="Y5" s="716"/>
      <c r="Z5" s="716"/>
      <c r="AA5" s="713"/>
      <c r="AB5" s="724"/>
      <c r="AC5" s="727">
        <f t="shared" ref="AC5:AC13" si="1">SUM(S5:AA5)</f>
        <v>898</v>
      </c>
    </row>
    <row r="6" spans="1:29" ht="13.5" customHeight="1">
      <c r="A6" s="723" t="s">
        <v>409</v>
      </c>
      <c r="B6" s="715" t="s">
        <v>885</v>
      </c>
      <c r="C6" s="724"/>
      <c r="D6" s="716"/>
      <c r="E6" s="716"/>
      <c r="F6" s="716"/>
      <c r="G6" s="716"/>
      <c r="H6" s="716"/>
      <c r="I6" s="716"/>
      <c r="J6" s="716"/>
      <c r="K6" s="716"/>
      <c r="L6" s="716">
        <v>38</v>
      </c>
      <c r="M6" s="716"/>
      <c r="N6" s="716"/>
      <c r="O6" s="716">
        <v>-38</v>
      </c>
      <c r="P6" s="716"/>
      <c r="Q6" s="716"/>
      <c r="R6" s="726">
        <f t="shared" si="0"/>
        <v>0</v>
      </c>
      <c r="S6" s="716"/>
      <c r="T6" s="716"/>
      <c r="U6" s="716"/>
      <c r="V6" s="716"/>
      <c r="W6" s="716"/>
      <c r="X6" s="716"/>
      <c r="Y6" s="716"/>
      <c r="Z6" s="716"/>
      <c r="AA6" s="713"/>
      <c r="AB6" s="724"/>
      <c r="AC6" s="727">
        <f t="shared" si="1"/>
        <v>0</v>
      </c>
    </row>
    <row r="7" spans="1:29" ht="13.5" customHeight="1">
      <c r="A7" s="723" t="s">
        <v>468</v>
      </c>
      <c r="B7" s="715" t="s">
        <v>883</v>
      </c>
      <c r="C7" s="724"/>
      <c r="D7" s="716"/>
      <c r="E7" s="716"/>
      <c r="F7" s="716"/>
      <c r="G7" s="716"/>
      <c r="H7" s="716"/>
      <c r="I7" s="716"/>
      <c r="J7" s="716"/>
      <c r="K7" s="716"/>
      <c r="L7" s="716">
        <v>32</v>
      </c>
      <c r="M7" s="716"/>
      <c r="N7" s="716"/>
      <c r="O7" s="716"/>
      <c r="P7" s="716"/>
      <c r="Q7" s="716"/>
      <c r="R7" s="726">
        <f t="shared" si="0"/>
        <v>32</v>
      </c>
      <c r="S7" s="716"/>
      <c r="T7" s="716">
        <v>32</v>
      </c>
      <c r="U7" s="716"/>
      <c r="V7" s="716"/>
      <c r="W7" s="716"/>
      <c r="X7" s="716"/>
      <c r="Y7" s="716"/>
      <c r="Z7" s="716"/>
      <c r="AA7" s="713"/>
      <c r="AB7" s="724"/>
      <c r="AC7" s="727">
        <f t="shared" si="1"/>
        <v>32</v>
      </c>
    </row>
    <row r="8" spans="1:29" ht="13.5" customHeight="1">
      <c r="A8" s="723" t="s">
        <v>469</v>
      </c>
      <c r="B8" s="715" t="s">
        <v>884</v>
      </c>
      <c r="C8" s="724"/>
      <c r="D8" s="716">
        <v>2096</v>
      </c>
      <c r="E8" s="716"/>
      <c r="F8" s="716"/>
      <c r="G8" s="716"/>
      <c r="H8" s="716"/>
      <c r="I8" s="716"/>
      <c r="J8" s="716"/>
      <c r="K8" s="716"/>
      <c r="L8" s="716"/>
      <c r="M8" s="716"/>
      <c r="N8" s="716"/>
      <c r="O8" s="716"/>
      <c r="P8" s="716"/>
      <c r="Q8" s="716"/>
      <c r="R8" s="726">
        <f t="shared" si="0"/>
        <v>2096</v>
      </c>
      <c r="S8" s="716"/>
      <c r="T8" s="716"/>
      <c r="U8" s="716">
        <v>2096</v>
      </c>
      <c r="V8" s="716"/>
      <c r="W8" s="716"/>
      <c r="X8" s="716"/>
      <c r="Y8" s="716"/>
      <c r="Z8" s="716"/>
      <c r="AA8" s="713"/>
      <c r="AB8" s="724"/>
      <c r="AC8" s="727">
        <f t="shared" si="1"/>
        <v>2096</v>
      </c>
    </row>
    <row r="9" spans="1:29" ht="13.5" customHeight="1">
      <c r="A9" s="723" t="s">
        <v>470</v>
      </c>
      <c r="B9" s="715" t="s">
        <v>882</v>
      </c>
      <c r="C9" s="724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  <c r="O9" s="716">
        <v>1322</v>
      </c>
      <c r="P9" s="716"/>
      <c r="Q9" s="716"/>
      <c r="R9" s="726">
        <f t="shared" si="0"/>
        <v>1322</v>
      </c>
      <c r="S9" s="716"/>
      <c r="T9" s="716"/>
      <c r="U9" s="716">
        <v>1322</v>
      </c>
      <c r="V9" s="716"/>
      <c r="W9" s="716"/>
      <c r="X9" s="716"/>
      <c r="Y9" s="716"/>
      <c r="Z9" s="716"/>
      <c r="AA9" s="713"/>
      <c r="AB9" s="724"/>
      <c r="AC9" s="727">
        <f t="shared" si="1"/>
        <v>1322</v>
      </c>
    </row>
    <row r="10" spans="1:29" ht="13.5" customHeight="1">
      <c r="A10" s="723" t="s">
        <v>471</v>
      </c>
      <c r="B10" s="715" t="s">
        <v>954</v>
      </c>
      <c r="C10" s="724"/>
      <c r="D10" s="716">
        <f>-566-755+1</f>
        <v>-1320</v>
      </c>
      <c r="E10" s="716">
        <f>-946-2</f>
        <v>-948</v>
      </c>
      <c r="F10" s="716"/>
      <c r="G10" s="716"/>
      <c r="H10" s="716"/>
      <c r="I10" s="716"/>
      <c r="J10" s="716"/>
      <c r="K10" s="716"/>
      <c r="L10" s="716">
        <f>646+948</f>
        <v>1594</v>
      </c>
      <c r="M10" s="716"/>
      <c r="N10" s="716"/>
      <c r="O10" s="716">
        <f>753+1</f>
        <v>754</v>
      </c>
      <c r="P10" s="716"/>
      <c r="Q10" s="716"/>
      <c r="R10" s="726">
        <f t="shared" si="0"/>
        <v>80</v>
      </c>
      <c r="S10" s="716"/>
      <c r="T10" s="716">
        <v>80</v>
      </c>
      <c r="U10" s="716"/>
      <c r="V10" s="716"/>
      <c r="W10" s="716"/>
      <c r="X10" s="716"/>
      <c r="Y10" s="716"/>
      <c r="Z10" s="716"/>
      <c r="AA10" s="713"/>
      <c r="AB10" s="724"/>
      <c r="AC10" s="727">
        <f t="shared" si="1"/>
        <v>80</v>
      </c>
    </row>
    <row r="11" spans="1:29" ht="13.5" customHeight="1">
      <c r="A11" s="723" t="s">
        <v>472</v>
      </c>
      <c r="B11" s="715" t="s">
        <v>955</v>
      </c>
      <c r="C11" s="724"/>
      <c r="D11" s="716">
        <v>184</v>
      </c>
      <c r="E11" s="716">
        <v>51</v>
      </c>
      <c r="F11" s="716"/>
      <c r="G11" s="716"/>
      <c r="H11" s="716"/>
      <c r="I11" s="716"/>
      <c r="J11" s="716"/>
      <c r="K11" s="716"/>
      <c r="L11" s="716"/>
      <c r="M11" s="716"/>
      <c r="N11" s="716"/>
      <c r="O11" s="716"/>
      <c r="P11" s="716"/>
      <c r="Q11" s="716"/>
      <c r="R11" s="726">
        <f t="shared" si="0"/>
        <v>235</v>
      </c>
      <c r="S11" s="716"/>
      <c r="T11" s="716"/>
      <c r="U11" s="716">
        <v>235</v>
      </c>
      <c r="V11" s="716"/>
      <c r="W11" s="716"/>
      <c r="X11" s="716"/>
      <c r="Y11" s="716"/>
      <c r="Z11" s="716"/>
      <c r="AA11" s="713"/>
      <c r="AB11" s="724"/>
      <c r="AC11" s="727">
        <f t="shared" si="1"/>
        <v>235</v>
      </c>
    </row>
    <row r="12" spans="1:29" ht="13.5" customHeight="1">
      <c r="A12" s="723"/>
      <c r="B12" s="715"/>
      <c r="C12" s="724"/>
      <c r="D12" s="716"/>
      <c r="E12" s="716"/>
      <c r="F12" s="716"/>
      <c r="G12" s="716"/>
      <c r="H12" s="716"/>
      <c r="I12" s="716"/>
      <c r="J12" s="716"/>
      <c r="K12" s="716"/>
      <c r="L12" s="716"/>
      <c r="M12" s="716"/>
      <c r="N12" s="716"/>
      <c r="O12" s="716"/>
      <c r="P12" s="716"/>
      <c r="Q12" s="716"/>
      <c r="R12" s="726">
        <f t="shared" si="0"/>
        <v>0</v>
      </c>
      <c r="S12" s="716"/>
      <c r="T12" s="716"/>
      <c r="U12" s="716"/>
      <c r="V12" s="716"/>
      <c r="W12" s="716"/>
      <c r="X12" s="716"/>
      <c r="Y12" s="716"/>
      <c r="Z12" s="716"/>
      <c r="AA12" s="713"/>
      <c r="AB12" s="724"/>
      <c r="AC12" s="727">
        <f t="shared" si="1"/>
        <v>0</v>
      </c>
    </row>
    <row r="13" spans="1:29" ht="13.8" thickBot="1">
      <c r="A13" s="736"/>
      <c r="B13" s="756" t="s">
        <v>178</v>
      </c>
      <c r="C13" s="757"/>
      <c r="D13" s="758">
        <f t="shared" ref="D13:Q13" si="2">SUM(D5:D12)</f>
        <v>1558</v>
      </c>
      <c r="E13" s="758">
        <f t="shared" si="2"/>
        <v>-717</v>
      </c>
      <c r="F13" s="758">
        <f t="shared" si="2"/>
        <v>0</v>
      </c>
      <c r="G13" s="758">
        <f t="shared" si="2"/>
        <v>0</v>
      </c>
      <c r="H13" s="758">
        <f t="shared" si="2"/>
        <v>0</v>
      </c>
      <c r="I13" s="758">
        <f t="shared" si="2"/>
        <v>0</v>
      </c>
      <c r="J13" s="758">
        <f t="shared" si="2"/>
        <v>0</v>
      </c>
      <c r="K13" s="758">
        <f t="shared" si="2"/>
        <v>0</v>
      </c>
      <c r="L13" s="758">
        <f t="shared" si="2"/>
        <v>1784</v>
      </c>
      <c r="M13" s="758">
        <f t="shared" si="2"/>
        <v>0</v>
      </c>
      <c r="N13" s="758">
        <f t="shared" si="2"/>
        <v>0</v>
      </c>
      <c r="O13" s="758">
        <f t="shared" si="2"/>
        <v>2038</v>
      </c>
      <c r="P13" s="758">
        <f t="shared" si="2"/>
        <v>0</v>
      </c>
      <c r="Q13" s="758">
        <f t="shared" si="2"/>
        <v>0</v>
      </c>
      <c r="R13" s="726">
        <f t="shared" si="0"/>
        <v>4663</v>
      </c>
      <c r="S13" s="758">
        <f t="shared" ref="S13:AB13" si="3">SUM(S5:S12)</f>
        <v>0</v>
      </c>
      <c r="T13" s="758">
        <f t="shared" si="3"/>
        <v>112</v>
      </c>
      <c r="U13" s="758">
        <f t="shared" si="3"/>
        <v>3653</v>
      </c>
      <c r="V13" s="758">
        <f t="shared" si="3"/>
        <v>898</v>
      </c>
      <c r="W13" s="758">
        <f t="shared" si="3"/>
        <v>0</v>
      </c>
      <c r="X13" s="758">
        <f t="shared" si="3"/>
        <v>0</v>
      </c>
      <c r="Y13" s="758">
        <f t="shared" si="3"/>
        <v>0</v>
      </c>
      <c r="Z13" s="758">
        <f t="shared" si="3"/>
        <v>0</v>
      </c>
      <c r="AA13" s="758">
        <f t="shared" si="3"/>
        <v>0</v>
      </c>
      <c r="AB13" s="758">
        <f t="shared" si="3"/>
        <v>0</v>
      </c>
      <c r="AC13" s="727">
        <f t="shared" si="1"/>
        <v>4663</v>
      </c>
    </row>
  </sheetData>
  <mergeCells count="24">
    <mergeCell ref="Y3:Z3"/>
    <mergeCell ref="AA3:AA4"/>
    <mergeCell ref="Q3:Q4"/>
    <mergeCell ref="S3:S4"/>
    <mergeCell ref="T3:T4"/>
    <mergeCell ref="U3:U4"/>
    <mergeCell ref="V3:W3"/>
    <mergeCell ref="X3:X4"/>
    <mergeCell ref="P3:P4"/>
    <mergeCell ref="Z1:AC1"/>
    <mergeCell ref="A2:A4"/>
    <mergeCell ref="B2:B4"/>
    <mergeCell ref="C2:C4"/>
    <mergeCell ref="D2:Q2"/>
    <mergeCell ref="R2:R4"/>
    <mergeCell ref="S2:AA2"/>
    <mergeCell ref="AB2:AB4"/>
    <mergeCell ref="AC2:AC4"/>
    <mergeCell ref="D3:D4"/>
    <mergeCell ref="E3:E4"/>
    <mergeCell ref="F3:K3"/>
    <mergeCell ref="L3:L4"/>
    <mergeCell ref="M3:N3"/>
    <mergeCell ref="O3:O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&amp;C&amp;"Times New Roman CE,Félkövér"&amp;14Előirányzat módosítás nyilvántartás Polgármesteri Hivatal 2016. év&amp;R&amp;"Times New Roman CE,Félkövér"&amp;12 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94"/>
  <sheetViews>
    <sheetView workbookViewId="0">
      <selection activeCell="N22" sqref="N22"/>
    </sheetView>
  </sheetViews>
  <sheetFormatPr defaultColWidth="9.109375" defaultRowHeight="13.2"/>
  <cols>
    <col min="1" max="1" width="7.109375" style="709" customWidth="1"/>
    <col min="2" max="2" width="53.5546875" style="709" bestFit="1" customWidth="1"/>
    <col min="3" max="3" width="1.33203125" style="709" hidden="1" customWidth="1"/>
    <col min="4" max="4" width="7.44140625" style="709" customWidth="1"/>
    <col min="5" max="5" width="6.44140625" style="709" customWidth="1"/>
    <col min="6" max="7" width="5.5546875" style="709" hidden="1" customWidth="1"/>
    <col min="8" max="8" width="5.44140625" style="709" hidden="1" customWidth="1"/>
    <col min="9" max="9" width="5.33203125" style="709" hidden="1" customWidth="1"/>
    <col min="10" max="10" width="5.109375" style="709" hidden="1" customWidth="1"/>
    <col min="11" max="11" width="0.109375" style="709" hidden="1" customWidth="1"/>
    <col min="12" max="12" width="9.88671875" style="709" customWidth="1"/>
    <col min="13" max="13" width="7.88671875" style="709" customWidth="1"/>
    <col min="14" max="14" width="8.5546875" style="709" customWidth="1"/>
    <col min="15" max="15" width="9" style="709" customWidth="1"/>
    <col min="16" max="17" width="6.6640625" style="709" customWidth="1"/>
    <col min="18" max="19" width="0" style="709" hidden="1" customWidth="1"/>
    <col min="20" max="20" width="8.6640625" style="709" hidden="1" customWidth="1"/>
    <col min="21" max="21" width="9" style="709" customWidth="1"/>
    <col min="22" max="23" width="8.33203125" style="709" customWidth="1"/>
    <col min="24" max="24" width="8" style="709" customWidth="1"/>
    <col min="25" max="25" width="9.109375" style="709"/>
    <col min="26" max="26" width="9" style="709" customWidth="1"/>
    <col min="27" max="27" width="6.88671875" style="709" customWidth="1"/>
    <col min="28" max="28" width="7.88671875" style="709" customWidth="1"/>
    <col min="29" max="29" width="7.44140625" style="709" customWidth="1"/>
    <col min="30" max="30" width="6.88671875" style="709" customWidth="1"/>
    <col min="31" max="31" width="7" style="709" hidden="1" customWidth="1"/>
    <col min="32" max="16384" width="9.109375" style="709"/>
  </cols>
  <sheetData>
    <row r="1" spans="1:31" ht="13.8" thickBot="1">
      <c r="AB1" s="1131" t="s">
        <v>399</v>
      </c>
      <c r="AC1" s="1131"/>
      <c r="AD1" s="1131"/>
      <c r="AE1" s="874"/>
    </row>
    <row r="2" spans="1:31">
      <c r="A2" s="1147" t="s">
        <v>345</v>
      </c>
      <c r="B2" s="1149" t="s">
        <v>743</v>
      </c>
      <c r="C2" s="1149" t="s">
        <v>779</v>
      </c>
      <c r="D2" s="1151" t="s">
        <v>305</v>
      </c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51"/>
      <c r="U2" s="1152" t="s">
        <v>285</v>
      </c>
      <c r="V2" s="1151" t="s">
        <v>298</v>
      </c>
      <c r="W2" s="1151"/>
      <c r="X2" s="1151"/>
      <c r="Y2" s="1151"/>
      <c r="Z2" s="1151"/>
      <c r="AA2" s="1151"/>
      <c r="AB2" s="1151"/>
      <c r="AC2" s="852"/>
      <c r="AD2" s="1165" t="s">
        <v>745</v>
      </c>
      <c r="AE2" s="1161" t="s">
        <v>481</v>
      </c>
    </row>
    <row r="3" spans="1:31">
      <c r="A3" s="1148"/>
      <c r="B3" s="1146"/>
      <c r="C3" s="1150"/>
      <c r="D3" s="1146" t="s">
        <v>781</v>
      </c>
      <c r="E3" s="1146" t="s">
        <v>782</v>
      </c>
      <c r="F3" s="1146" t="s">
        <v>783</v>
      </c>
      <c r="G3" s="1146"/>
      <c r="H3" s="1146"/>
      <c r="I3" s="1146"/>
      <c r="J3" s="1146"/>
      <c r="K3" s="1146"/>
      <c r="L3" s="1146" t="s">
        <v>152</v>
      </c>
      <c r="M3" s="1146" t="s">
        <v>164</v>
      </c>
      <c r="N3" s="1157"/>
      <c r="O3" s="1146" t="s">
        <v>749</v>
      </c>
      <c r="P3" s="1164" t="s">
        <v>784</v>
      </c>
      <c r="Q3" s="1146" t="s">
        <v>785</v>
      </c>
      <c r="R3" s="875"/>
      <c r="S3" s="875"/>
      <c r="T3" s="875"/>
      <c r="U3" s="1153"/>
      <c r="V3" s="1146" t="s">
        <v>759</v>
      </c>
      <c r="W3" s="1146" t="s">
        <v>760</v>
      </c>
      <c r="X3" s="1146" t="s">
        <v>753</v>
      </c>
      <c r="Y3" s="1146" t="s">
        <v>786</v>
      </c>
      <c r="Z3" s="1157"/>
      <c r="AA3" s="1146" t="s">
        <v>788</v>
      </c>
      <c r="AB3" s="1157"/>
      <c r="AC3" s="1158" t="s">
        <v>798</v>
      </c>
      <c r="AD3" s="1166"/>
      <c r="AE3" s="1162"/>
    </row>
    <row r="4" spans="1:31" ht="21" thickBot="1">
      <c r="A4" s="1148"/>
      <c r="B4" s="1146"/>
      <c r="C4" s="1150"/>
      <c r="D4" s="1146"/>
      <c r="E4" s="1146"/>
      <c r="F4" s="875" t="s">
        <v>790</v>
      </c>
      <c r="G4" s="875" t="s">
        <v>791</v>
      </c>
      <c r="H4" s="875" t="s">
        <v>792</v>
      </c>
      <c r="I4" s="875" t="s">
        <v>793</v>
      </c>
      <c r="J4" s="875" t="s">
        <v>794</v>
      </c>
      <c r="K4" s="875" t="s">
        <v>795</v>
      </c>
      <c r="L4" s="1146"/>
      <c r="M4" s="851" t="s">
        <v>769</v>
      </c>
      <c r="N4" s="851" t="s">
        <v>770</v>
      </c>
      <c r="O4" s="1146"/>
      <c r="P4" s="1164"/>
      <c r="Q4" s="1146"/>
      <c r="R4" s="875"/>
      <c r="S4" s="875"/>
      <c r="T4" s="875"/>
      <c r="U4" s="1153"/>
      <c r="V4" s="1146"/>
      <c r="W4" s="1146"/>
      <c r="X4" s="1146"/>
      <c r="Y4" s="851" t="s">
        <v>796</v>
      </c>
      <c r="Z4" s="851" t="s">
        <v>797</v>
      </c>
      <c r="AA4" s="851" t="s">
        <v>796</v>
      </c>
      <c r="AB4" s="851" t="s">
        <v>797</v>
      </c>
      <c r="AC4" s="1158"/>
      <c r="AD4" s="1166"/>
      <c r="AE4" s="1163"/>
    </row>
    <row r="5" spans="1:31">
      <c r="A5" s="876" t="s">
        <v>304</v>
      </c>
      <c r="B5" s="877" t="s">
        <v>1023</v>
      </c>
      <c r="C5" s="878"/>
      <c r="D5" s="879">
        <v>-300</v>
      </c>
      <c r="E5" s="879">
        <v>99</v>
      </c>
      <c r="F5" s="879"/>
      <c r="G5" s="879"/>
      <c r="H5" s="879"/>
      <c r="I5" s="879"/>
      <c r="J5" s="879"/>
      <c r="K5" s="879"/>
      <c r="L5" s="716">
        <v>165</v>
      </c>
      <c r="M5" s="879"/>
      <c r="N5" s="879">
        <v>36</v>
      </c>
      <c r="O5" s="879"/>
      <c r="P5" s="879"/>
      <c r="Q5" s="879"/>
      <c r="R5" s="879"/>
      <c r="S5" s="879"/>
      <c r="T5" s="879"/>
      <c r="U5" s="880">
        <f>SUM(D5:T5)</f>
        <v>0</v>
      </c>
      <c r="V5" s="879"/>
      <c r="W5" s="879"/>
      <c r="X5" s="879"/>
      <c r="Y5" s="879"/>
      <c r="Z5" s="879"/>
      <c r="AA5" s="879"/>
      <c r="AB5" s="879"/>
      <c r="AC5" s="881"/>
      <c r="AD5" s="726"/>
    </row>
    <row r="6" spans="1:31">
      <c r="A6" s="876" t="s">
        <v>409</v>
      </c>
      <c r="B6" s="877" t="s">
        <v>1020</v>
      </c>
      <c r="C6" s="878" t="s">
        <v>956</v>
      </c>
      <c r="D6" s="879"/>
      <c r="E6" s="879"/>
      <c r="F6" s="879"/>
      <c r="G6" s="879"/>
      <c r="H6" s="879"/>
      <c r="I6" s="879"/>
      <c r="J6" s="879"/>
      <c r="K6" s="879"/>
      <c r="L6" s="716">
        <v>313</v>
      </c>
      <c r="M6" s="879"/>
      <c r="N6" s="879"/>
      <c r="O6" s="879"/>
      <c r="P6" s="879"/>
      <c r="Q6" s="879"/>
      <c r="R6" s="879"/>
      <c r="S6" s="879"/>
      <c r="T6" s="879"/>
      <c r="U6" s="880">
        <f>SUM(D6:Q6)</f>
        <v>313</v>
      </c>
      <c r="V6" s="879"/>
      <c r="W6" s="879"/>
      <c r="X6" s="879">
        <v>313</v>
      </c>
      <c r="Y6" s="879"/>
      <c r="Z6" s="879"/>
      <c r="AA6" s="879"/>
      <c r="AB6" s="879"/>
      <c r="AC6" s="881"/>
      <c r="AD6" s="726">
        <f>SUM(V6:AC6)</f>
        <v>313</v>
      </c>
    </row>
    <row r="7" spans="1:31">
      <c r="A7" s="876" t="s">
        <v>468</v>
      </c>
      <c r="B7" s="877" t="s">
        <v>1019</v>
      </c>
      <c r="C7" s="878"/>
      <c r="D7" s="879">
        <v>534</v>
      </c>
      <c r="E7" s="879">
        <v>192</v>
      </c>
      <c r="F7" s="879"/>
      <c r="G7" s="879"/>
      <c r="H7" s="879"/>
      <c r="I7" s="879"/>
      <c r="J7" s="879"/>
      <c r="K7" s="879"/>
      <c r="L7" s="716"/>
      <c r="M7" s="879"/>
      <c r="N7" s="879"/>
      <c r="O7" s="879"/>
      <c r="P7" s="879"/>
      <c r="Q7" s="879"/>
      <c r="R7" s="879"/>
      <c r="S7" s="879"/>
      <c r="T7" s="879"/>
      <c r="U7" s="880">
        <f t="shared" ref="U7:U10" si="0">SUM(D7:Q7)</f>
        <v>726</v>
      </c>
      <c r="V7" s="879"/>
      <c r="W7" s="879"/>
      <c r="X7" s="879">
        <v>726</v>
      </c>
      <c r="Y7" s="879"/>
      <c r="Z7" s="879"/>
      <c r="AA7" s="879"/>
      <c r="AB7" s="879"/>
      <c r="AC7" s="881"/>
      <c r="AD7" s="726">
        <f t="shared" ref="AD7:AD12" si="1">SUM(V7:AC7)</f>
        <v>726</v>
      </c>
    </row>
    <row r="8" spans="1:31">
      <c r="A8" s="876" t="s">
        <v>469</v>
      </c>
      <c r="B8" s="877" t="s">
        <v>1021</v>
      </c>
      <c r="C8" s="878"/>
      <c r="D8" s="879"/>
      <c r="E8" s="879"/>
      <c r="F8" s="879"/>
      <c r="G8" s="879"/>
      <c r="H8" s="879"/>
      <c r="I8" s="879"/>
      <c r="J8" s="879"/>
      <c r="K8" s="879"/>
      <c r="L8" s="716">
        <v>-205</v>
      </c>
      <c r="M8" s="879"/>
      <c r="N8" s="879"/>
      <c r="O8" s="879">
        <v>205</v>
      </c>
      <c r="P8" s="879"/>
      <c r="Q8" s="879"/>
      <c r="R8" s="879"/>
      <c r="S8" s="879"/>
      <c r="T8" s="879"/>
      <c r="U8" s="880">
        <f t="shared" si="0"/>
        <v>0</v>
      </c>
      <c r="V8" s="879"/>
      <c r="W8" s="879"/>
      <c r="X8" s="879"/>
      <c r="Y8" s="879"/>
      <c r="Z8" s="879"/>
      <c r="AA8" s="879"/>
      <c r="AB8" s="879"/>
      <c r="AC8" s="881"/>
      <c r="AD8" s="726">
        <f t="shared" si="1"/>
        <v>0</v>
      </c>
    </row>
    <row r="9" spans="1:31">
      <c r="A9" s="876" t="s">
        <v>470</v>
      </c>
      <c r="B9" s="877" t="s">
        <v>1022</v>
      </c>
      <c r="C9" s="878"/>
      <c r="D9" s="879">
        <v>230</v>
      </c>
      <c r="E9" s="879">
        <v>62</v>
      </c>
      <c r="F9" s="879"/>
      <c r="G9" s="879"/>
      <c r="H9" s="879"/>
      <c r="I9" s="879"/>
      <c r="J9" s="879"/>
      <c r="K9" s="879"/>
      <c r="L9" s="716"/>
      <c r="M9" s="879"/>
      <c r="N9" s="879"/>
      <c r="O9" s="879"/>
      <c r="P9" s="879"/>
      <c r="Q9" s="879"/>
      <c r="R9" s="879"/>
      <c r="S9" s="879"/>
      <c r="T9" s="879"/>
      <c r="U9" s="880">
        <f t="shared" si="0"/>
        <v>292</v>
      </c>
      <c r="V9" s="879"/>
      <c r="W9" s="879"/>
      <c r="X9" s="879">
        <v>292</v>
      </c>
      <c r="Y9" s="879"/>
      <c r="Z9" s="879"/>
      <c r="AA9" s="879"/>
      <c r="AB9" s="879"/>
      <c r="AC9" s="881"/>
      <c r="AD9" s="726">
        <f t="shared" si="1"/>
        <v>292</v>
      </c>
    </row>
    <row r="10" spans="1:31">
      <c r="A10" s="876" t="s">
        <v>471</v>
      </c>
      <c r="B10" s="877" t="s">
        <v>1017</v>
      </c>
      <c r="C10" s="878"/>
      <c r="D10" s="879">
        <f>-1236-800</f>
        <v>-2036</v>
      </c>
      <c r="E10" s="879">
        <v>-1305</v>
      </c>
      <c r="F10" s="879"/>
      <c r="G10" s="879"/>
      <c r="H10" s="879"/>
      <c r="I10" s="879"/>
      <c r="J10" s="879"/>
      <c r="K10" s="879"/>
      <c r="L10" s="716">
        <v>-362</v>
      </c>
      <c r="M10" s="879"/>
      <c r="N10" s="879"/>
      <c r="O10" s="879"/>
      <c r="P10" s="879"/>
      <c r="Q10" s="879"/>
      <c r="R10" s="879"/>
      <c r="S10" s="879"/>
      <c r="T10" s="879"/>
      <c r="U10" s="880">
        <f t="shared" si="0"/>
        <v>-3703</v>
      </c>
      <c r="V10" s="879"/>
      <c r="W10" s="879"/>
      <c r="X10" s="879">
        <f>-1598-2105</f>
        <v>-3703</v>
      </c>
      <c r="Y10" s="879"/>
      <c r="Z10" s="879"/>
      <c r="AA10" s="879"/>
      <c r="AB10" s="879"/>
      <c r="AC10" s="881"/>
      <c r="AD10" s="726">
        <f t="shared" si="1"/>
        <v>-3703</v>
      </c>
    </row>
    <row r="11" spans="1:31">
      <c r="A11" s="723"/>
      <c r="B11" s="877"/>
      <c r="C11" s="878"/>
      <c r="D11" s="879"/>
      <c r="E11" s="879"/>
      <c r="F11" s="879"/>
      <c r="G11" s="879"/>
      <c r="H11" s="879"/>
      <c r="I11" s="879"/>
      <c r="J11" s="879"/>
      <c r="K11" s="879"/>
      <c r="L11" s="879"/>
      <c r="M11" s="879"/>
      <c r="N11" s="879"/>
      <c r="O11" s="879"/>
      <c r="P11" s="879"/>
      <c r="Q11" s="879"/>
      <c r="R11" s="879"/>
      <c r="S11" s="879"/>
      <c r="T11" s="879"/>
      <c r="U11" s="880">
        <f t="shared" ref="U11:U12" si="2">SUM(D11:T11)</f>
        <v>0</v>
      </c>
      <c r="V11" s="879"/>
      <c r="W11" s="879"/>
      <c r="X11" s="879"/>
      <c r="Y11" s="879"/>
      <c r="Z11" s="879"/>
      <c r="AA11" s="879"/>
      <c r="AB11" s="879"/>
      <c r="AC11" s="881"/>
      <c r="AD11" s="726">
        <f t="shared" si="1"/>
        <v>0</v>
      </c>
    </row>
    <row r="12" spans="1:31">
      <c r="A12" s="723"/>
      <c r="B12" s="877"/>
      <c r="C12" s="878"/>
      <c r="D12" s="879"/>
      <c r="E12" s="879"/>
      <c r="F12" s="879"/>
      <c r="G12" s="879"/>
      <c r="H12" s="879"/>
      <c r="I12" s="879"/>
      <c r="J12" s="879"/>
      <c r="K12" s="879"/>
      <c r="L12" s="879"/>
      <c r="M12" s="879"/>
      <c r="N12" s="879"/>
      <c r="O12" s="879"/>
      <c r="P12" s="879"/>
      <c r="Q12" s="879"/>
      <c r="R12" s="879"/>
      <c r="S12" s="879"/>
      <c r="T12" s="879"/>
      <c r="U12" s="880">
        <f t="shared" si="2"/>
        <v>0</v>
      </c>
      <c r="V12" s="879"/>
      <c r="W12" s="879"/>
      <c r="X12" s="879"/>
      <c r="Y12" s="879"/>
      <c r="Z12" s="879"/>
      <c r="AA12" s="879"/>
      <c r="AB12" s="879"/>
      <c r="AC12" s="881"/>
      <c r="AD12" s="726">
        <f t="shared" si="1"/>
        <v>0</v>
      </c>
    </row>
    <row r="13" spans="1:31" ht="13.8" thickBot="1">
      <c r="A13" s="736"/>
      <c r="B13" s="719" t="s">
        <v>178</v>
      </c>
      <c r="C13" s="757"/>
      <c r="D13" s="758">
        <f>SUM(D5:D12)</f>
        <v>-1572</v>
      </c>
      <c r="E13" s="758">
        <f t="shared" ref="E13:T13" si="3">SUM(E5:E12)</f>
        <v>-952</v>
      </c>
      <c r="F13" s="758">
        <f t="shared" si="3"/>
        <v>0</v>
      </c>
      <c r="G13" s="758">
        <f t="shared" si="3"/>
        <v>0</v>
      </c>
      <c r="H13" s="758">
        <f t="shared" si="3"/>
        <v>0</v>
      </c>
      <c r="I13" s="758">
        <f t="shared" si="3"/>
        <v>0</v>
      </c>
      <c r="J13" s="758">
        <f t="shared" si="3"/>
        <v>0</v>
      </c>
      <c r="K13" s="758">
        <f t="shared" si="3"/>
        <v>0</v>
      </c>
      <c r="L13" s="758">
        <f t="shared" si="3"/>
        <v>-89</v>
      </c>
      <c r="M13" s="758">
        <f t="shared" si="3"/>
        <v>0</v>
      </c>
      <c r="N13" s="758">
        <f t="shared" si="3"/>
        <v>36</v>
      </c>
      <c r="O13" s="758">
        <f t="shared" si="3"/>
        <v>205</v>
      </c>
      <c r="P13" s="758">
        <f t="shared" si="3"/>
        <v>0</v>
      </c>
      <c r="Q13" s="758">
        <f t="shared" si="3"/>
        <v>0</v>
      </c>
      <c r="R13" s="758">
        <f t="shared" si="3"/>
        <v>0</v>
      </c>
      <c r="S13" s="758">
        <f t="shared" si="3"/>
        <v>0</v>
      </c>
      <c r="T13" s="758">
        <f t="shared" si="3"/>
        <v>0</v>
      </c>
      <c r="U13" s="758">
        <f>SUM(U5:U12)</f>
        <v>-2372</v>
      </c>
      <c r="V13" s="758">
        <f t="shared" ref="V13:AD13" si="4">SUM(V6:V12)</f>
        <v>0</v>
      </c>
      <c r="W13" s="758">
        <f t="shared" si="4"/>
        <v>0</v>
      </c>
      <c r="X13" s="758">
        <f t="shared" si="4"/>
        <v>-2372</v>
      </c>
      <c r="Y13" s="758">
        <f t="shared" si="4"/>
        <v>0</v>
      </c>
      <c r="Z13" s="758">
        <f t="shared" si="4"/>
        <v>0</v>
      </c>
      <c r="AA13" s="758">
        <f t="shared" si="4"/>
        <v>0</v>
      </c>
      <c r="AB13" s="758">
        <f t="shared" si="4"/>
        <v>0</v>
      </c>
      <c r="AC13" s="758">
        <f t="shared" si="4"/>
        <v>0</v>
      </c>
      <c r="AD13" s="758">
        <f t="shared" si="4"/>
        <v>-2372</v>
      </c>
    </row>
    <row r="14" spans="1:31">
      <c r="L14" s="728"/>
      <c r="M14" s="882"/>
    </row>
    <row r="15" spans="1:31">
      <c r="L15" s="728"/>
      <c r="M15" s="882"/>
    </row>
    <row r="16" spans="1:31">
      <c r="L16" s="728"/>
      <c r="M16" s="882"/>
    </row>
    <row r="17" spans="12:13">
      <c r="L17" s="728"/>
      <c r="M17" s="882"/>
    </row>
    <row r="18" spans="12:13">
      <c r="L18" s="728"/>
      <c r="M18" s="882"/>
    </row>
    <row r="19" spans="12:13">
      <c r="L19" s="728"/>
      <c r="M19" s="882"/>
    </row>
    <row r="20" spans="12:13">
      <c r="L20" s="728"/>
      <c r="M20" s="882"/>
    </row>
    <row r="21" spans="12:13">
      <c r="L21" s="728"/>
      <c r="M21" s="882"/>
    </row>
    <row r="22" spans="12:13">
      <c r="L22" s="728"/>
      <c r="M22" s="882"/>
    </row>
    <row r="23" spans="12:13">
      <c r="L23" s="728"/>
      <c r="M23" s="882"/>
    </row>
    <row r="24" spans="12:13">
      <c r="L24" s="728"/>
      <c r="M24" s="882"/>
    </row>
    <row r="25" spans="12:13">
      <c r="L25" s="728"/>
      <c r="M25" s="882"/>
    </row>
    <row r="26" spans="12:13">
      <c r="L26" s="728"/>
      <c r="M26" s="882"/>
    </row>
    <row r="27" spans="12:13">
      <c r="L27" s="728"/>
      <c r="M27" s="882"/>
    </row>
    <row r="28" spans="12:13">
      <c r="L28" s="728"/>
      <c r="M28" s="882"/>
    </row>
    <row r="29" spans="12:13">
      <c r="L29" s="728"/>
      <c r="M29" s="882"/>
    </row>
    <row r="30" spans="12:13">
      <c r="L30" s="728"/>
      <c r="M30" s="882"/>
    </row>
    <row r="31" spans="12:13">
      <c r="L31" s="728"/>
      <c r="M31" s="882"/>
    </row>
    <row r="32" spans="12:13">
      <c r="L32" s="728"/>
      <c r="M32" s="882"/>
    </row>
    <row r="33" spans="12:13">
      <c r="L33" s="728"/>
      <c r="M33" s="882"/>
    </row>
    <row r="34" spans="12:13">
      <c r="L34" s="728"/>
      <c r="M34" s="882"/>
    </row>
    <row r="35" spans="12:13">
      <c r="L35" s="728"/>
      <c r="M35" s="882"/>
    </row>
    <row r="36" spans="12:13">
      <c r="L36" s="728"/>
      <c r="M36" s="882"/>
    </row>
    <row r="37" spans="12:13">
      <c r="L37" s="728"/>
      <c r="M37" s="882"/>
    </row>
    <row r="38" spans="12:13">
      <c r="L38" s="728"/>
      <c r="M38" s="882"/>
    </row>
    <row r="39" spans="12:13">
      <c r="L39" s="728"/>
      <c r="M39" s="882"/>
    </row>
    <row r="40" spans="12:13">
      <c r="L40" s="728"/>
      <c r="M40" s="882"/>
    </row>
    <row r="41" spans="12:13">
      <c r="L41" s="728"/>
      <c r="M41" s="882"/>
    </row>
    <row r="42" spans="12:13">
      <c r="L42" s="728"/>
      <c r="M42" s="882"/>
    </row>
    <row r="43" spans="12:13">
      <c r="L43" s="728"/>
      <c r="M43" s="882"/>
    </row>
    <row r="44" spans="12:13">
      <c r="L44" s="728"/>
      <c r="M44" s="882"/>
    </row>
    <row r="45" spans="12:13">
      <c r="L45" s="728"/>
      <c r="M45" s="882"/>
    </row>
    <row r="46" spans="12:13">
      <c r="L46" s="728"/>
      <c r="M46" s="882"/>
    </row>
    <row r="47" spans="12:13">
      <c r="L47" s="728"/>
      <c r="M47" s="882"/>
    </row>
    <row r="48" spans="12:13">
      <c r="L48" s="728"/>
      <c r="M48" s="882"/>
    </row>
    <row r="49" spans="12:13">
      <c r="L49" s="728"/>
      <c r="M49" s="882"/>
    </row>
    <row r="50" spans="12:13">
      <c r="L50" s="728"/>
      <c r="M50" s="882"/>
    </row>
    <row r="51" spans="12:13">
      <c r="L51" s="728"/>
      <c r="M51" s="882"/>
    </row>
    <row r="52" spans="12:13">
      <c r="L52" s="728"/>
      <c r="M52" s="882"/>
    </row>
    <row r="53" spans="12:13">
      <c r="L53" s="728"/>
      <c r="M53" s="882"/>
    </row>
    <row r="54" spans="12:13">
      <c r="L54" s="728"/>
      <c r="M54" s="882"/>
    </row>
    <row r="55" spans="12:13">
      <c r="L55" s="728"/>
      <c r="M55" s="882"/>
    </row>
    <row r="56" spans="12:13">
      <c r="L56" s="728"/>
      <c r="M56" s="882"/>
    </row>
    <row r="57" spans="12:13">
      <c r="L57" s="728"/>
      <c r="M57" s="882"/>
    </row>
    <row r="58" spans="12:13">
      <c r="L58" s="728"/>
      <c r="M58" s="882"/>
    </row>
    <row r="59" spans="12:13">
      <c r="L59" s="728"/>
      <c r="M59" s="882"/>
    </row>
    <row r="60" spans="12:13">
      <c r="L60" s="728"/>
      <c r="M60" s="882"/>
    </row>
    <row r="61" spans="12:13">
      <c r="L61" s="728"/>
      <c r="M61" s="882"/>
    </row>
    <row r="62" spans="12:13">
      <c r="L62" s="728"/>
      <c r="M62" s="882"/>
    </row>
    <row r="63" spans="12:13">
      <c r="L63" s="728"/>
      <c r="M63" s="882"/>
    </row>
    <row r="64" spans="12:13">
      <c r="L64" s="728"/>
      <c r="M64" s="882"/>
    </row>
    <row r="65" spans="12:13">
      <c r="L65" s="728"/>
      <c r="M65" s="882"/>
    </row>
    <row r="66" spans="12:13">
      <c r="L66" s="728"/>
      <c r="M66" s="882"/>
    </row>
    <row r="67" spans="12:13">
      <c r="L67" s="728"/>
      <c r="M67" s="882"/>
    </row>
    <row r="68" spans="12:13">
      <c r="L68" s="728"/>
      <c r="M68" s="882"/>
    </row>
    <row r="69" spans="12:13">
      <c r="L69" s="728"/>
      <c r="M69" s="882"/>
    </row>
    <row r="70" spans="12:13">
      <c r="L70" s="728"/>
      <c r="M70" s="882"/>
    </row>
    <row r="71" spans="12:13">
      <c r="L71" s="728"/>
      <c r="M71" s="882"/>
    </row>
    <row r="72" spans="12:13">
      <c r="L72" s="728"/>
      <c r="M72" s="882"/>
    </row>
    <row r="73" spans="12:13">
      <c r="L73" s="728"/>
      <c r="M73" s="882"/>
    </row>
    <row r="74" spans="12:13">
      <c r="L74" s="728"/>
      <c r="M74" s="882"/>
    </row>
    <row r="75" spans="12:13">
      <c r="L75" s="728"/>
      <c r="M75" s="882"/>
    </row>
    <row r="76" spans="12:13">
      <c r="L76" s="728"/>
      <c r="M76" s="882"/>
    </row>
    <row r="77" spans="12:13">
      <c r="L77" s="728"/>
      <c r="M77" s="882"/>
    </row>
    <row r="78" spans="12:13">
      <c r="L78" s="728"/>
      <c r="M78" s="882"/>
    </row>
    <row r="79" spans="12:13">
      <c r="L79" s="728"/>
      <c r="M79" s="882"/>
    </row>
    <row r="80" spans="12:13">
      <c r="L80" s="728"/>
      <c r="M80" s="882"/>
    </row>
    <row r="81" spans="12:13">
      <c r="L81" s="728"/>
      <c r="M81" s="882"/>
    </row>
    <row r="82" spans="12:13">
      <c r="L82" s="728"/>
      <c r="M82" s="882"/>
    </row>
    <row r="83" spans="12:13">
      <c r="L83" s="728"/>
      <c r="M83" s="882"/>
    </row>
    <row r="84" spans="12:13">
      <c r="L84" s="728"/>
      <c r="M84" s="882"/>
    </row>
    <row r="85" spans="12:13">
      <c r="L85" s="728"/>
      <c r="M85" s="882"/>
    </row>
    <row r="86" spans="12:13">
      <c r="L86" s="728"/>
      <c r="M86" s="882"/>
    </row>
    <row r="87" spans="12:13">
      <c r="L87" s="728"/>
      <c r="M87" s="882"/>
    </row>
    <row r="88" spans="12:13">
      <c r="L88" s="728"/>
      <c r="M88" s="882"/>
    </row>
    <row r="89" spans="12:13">
      <c r="L89" s="728"/>
      <c r="M89" s="882"/>
    </row>
    <row r="90" spans="12:13">
      <c r="L90" s="728"/>
      <c r="M90" s="882"/>
    </row>
    <row r="91" spans="12:13">
      <c r="L91" s="728"/>
      <c r="M91" s="882"/>
    </row>
    <row r="92" spans="12:13">
      <c r="L92" s="728"/>
      <c r="M92" s="882"/>
    </row>
    <row r="93" spans="12:13">
      <c r="L93" s="728"/>
      <c r="M93" s="882"/>
    </row>
    <row r="94" spans="12:13">
      <c r="L94" s="883"/>
      <c r="M94" s="882"/>
    </row>
  </sheetData>
  <mergeCells count="23">
    <mergeCell ref="A2:A4"/>
    <mergeCell ref="B2:B4"/>
    <mergeCell ref="C2:C4"/>
    <mergeCell ref="D2:T2"/>
    <mergeCell ref="AB1:AD1"/>
    <mergeCell ref="AC3:AC4"/>
    <mergeCell ref="Q3:Q4"/>
    <mergeCell ref="V3:V4"/>
    <mergeCell ref="W3:W4"/>
    <mergeCell ref="X3:X4"/>
    <mergeCell ref="Y3:Z3"/>
    <mergeCell ref="AA3:AB3"/>
    <mergeCell ref="U2:U4"/>
    <mergeCell ref="V2:AB2"/>
    <mergeCell ref="AD2:AD4"/>
    <mergeCell ref="AE2:AE4"/>
    <mergeCell ref="D3:D4"/>
    <mergeCell ref="E3:E4"/>
    <mergeCell ref="F3:K3"/>
    <mergeCell ref="L3:L4"/>
    <mergeCell ref="M3:N3"/>
    <mergeCell ref="O3:O4"/>
    <mergeCell ref="P3:P4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64" orientation="landscape" r:id="rId1"/>
  <headerFooter>
    <oddHeader>&amp;C&amp;"Times New Roman,Félkövér"&amp;14Előirányzat módosítás nyilvántartás Brunszvik Teréz Óvoda 2016. év&amp;R&amp;"Times New Roman,Normál"&amp;10 12.c.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66"/>
  <sheetViews>
    <sheetView workbookViewId="0">
      <selection activeCell="B7" sqref="B7"/>
    </sheetView>
  </sheetViews>
  <sheetFormatPr defaultColWidth="9.109375" defaultRowHeight="13.2"/>
  <cols>
    <col min="1" max="1" width="5.6640625" style="709" customWidth="1"/>
    <col min="2" max="2" width="51.109375" style="709" customWidth="1"/>
    <col min="3" max="3" width="7.44140625" style="709" customWidth="1"/>
    <col min="4" max="4" width="5.6640625" style="709" customWidth="1"/>
    <col min="5" max="6" width="5.5546875" style="709" hidden="1" customWidth="1"/>
    <col min="7" max="7" width="5.44140625" style="709" hidden="1" customWidth="1"/>
    <col min="8" max="8" width="5.33203125" style="709" hidden="1" customWidth="1"/>
    <col min="9" max="9" width="5.109375" style="709" hidden="1" customWidth="1"/>
    <col min="10" max="10" width="0.109375" style="709" hidden="1" customWidth="1"/>
    <col min="11" max="11" width="11.6640625" style="709" customWidth="1"/>
    <col min="12" max="12" width="7.88671875" style="709" customWidth="1"/>
    <col min="13" max="13" width="8.5546875" style="709" customWidth="1"/>
    <col min="14" max="14" width="7.33203125" style="709" customWidth="1"/>
    <col min="15" max="15" width="6" style="709" customWidth="1"/>
    <col min="16" max="16" width="6.6640625" style="709" customWidth="1"/>
    <col min="17" max="18" width="0" style="709" hidden="1" customWidth="1"/>
    <col min="19" max="19" width="8.6640625" style="709" hidden="1" customWidth="1"/>
    <col min="20" max="20" width="9" style="709" customWidth="1"/>
    <col min="21" max="22" width="8.33203125" style="709" customWidth="1"/>
    <col min="23" max="24" width="9.109375" style="709"/>
    <col min="25" max="25" width="9" style="709" customWidth="1"/>
    <col min="26" max="26" width="6.88671875" style="709" customWidth="1"/>
    <col min="27" max="28" width="7.88671875" style="709" customWidth="1"/>
    <col min="29" max="29" width="9.33203125" style="709" customWidth="1"/>
    <col min="30" max="30" width="7" style="709" hidden="1" customWidth="1"/>
    <col min="31" max="16384" width="9.109375" style="709"/>
  </cols>
  <sheetData>
    <row r="1" spans="1:30" ht="16.2" thickBot="1">
      <c r="A1" s="884"/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884"/>
      <c r="U1" s="884"/>
      <c r="V1" s="884"/>
      <c r="W1" s="884"/>
      <c r="X1" s="884"/>
      <c r="Y1" s="884"/>
      <c r="Z1" s="884"/>
      <c r="AA1" s="1131" t="s">
        <v>399</v>
      </c>
      <c r="AB1" s="1131"/>
      <c r="AC1" s="1131"/>
      <c r="AD1" s="884"/>
    </row>
    <row r="2" spans="1:30" ht="12.75" customHeight="1">
      <c r="A2" s="1147" t="s">
        <v>345</v>
      </c>
      <c r="B2" s="1149" t="s">
        <v>743</v>
      </c>
      <c r="C2" s="1151" t="s">
        <v>305</v>
      </c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52" t="s">
        <v>285</v>
      </c>
      <c r="U2" s="1151" t="s">
        <v>298</v>
      </c>
      <c r="V2" s="1151"/>
      <c r="W2" s="1151"/>
      <c r="X2" s="1151"/>
      <c r="Y2" s="1151"/>
      <c r="Z2" s="1151"/>
      <c r="AA2" s="1151"/>
      <c r="AB2" s="852"/>
      <c r="AC2" s="1165" t="s">
        <v>745</v>
      </c>
      <c r="AD2" s="1161" t="s">
        <v>481</v>
      </c>
    </row>
    <row r="3" spans="1:30">
      <c r="A3" s="1148"/>
      <c r="B3" s="1146"/>
      <c r="C3" s="1146" t="s">
        <v>781</v>
      </c>
      <c r="D3" s="1146" t="s">
        <v>782</v>
      </c>
      <c r="E3" s="1146" t="s">
        <v>783</v>
      </c>
      <c r="F3" s="1146"/>
      <c r="G3" s="1146"/>
      <c r="H3" s="1146"/>
      <c r="I3" s="1146"/>
      <c r="J3" s="1146"/>
      <c r="K3" s="1146" t="s">
        <v>152</v>
      </c>
      <c r="L3" s="1146" t="s">
        <v>164</v>
      </c>
      <c r="M3" s="1157"/>
      <c r="N3" s="1146" t="s">
        <v>749</v>
      </c>
      <c r="O3" s="1164" t="s">
        <v>784</v>
      </c>
      <c r="P3" s="1146" t="s">
        <v>785</v>
      </c>
      <c r="Q3" s="875"/>
      <c r="R3" s="875"/>
      <c r="S3" s="875"/>
      <c r="T3" s="1153"/>
      <c r="U3" s="1146" t="s">
        <v>759</v>
      </c>
      <c r="V3" s="1146" t="s">
        <v>760</v>
      </c>
      <c r="W3" s="1146" t="s">
        <v>753</v>
      </c>
      <c r="X3" s="1146" t="s">
        <v>786</v>
      </c>
      <c r="Y3" s="1157"/>
      <c r="Z3" s="1146" t="s">
        <v>788</v>
      </c>
      <c r="AA3" s="1157"/>
      <c r="AB3" s="1142" t="s">
        <v>798</v>
      </c>
      <c r="AC3" s="1166"/>
      <c r="AD3" s="1162"/>
    </row>
    <row r="4" spans="1:30" ht="21" thickBot="1">
      <c r="A4" s="1148"/>
      <c r="B4" s="1146"/>
      <c r="C4" s="1146"/>
      <c r="D4" s="1146"/>
      <c r="E4" s="875" t="s">
        <v>790</v>
      </c>
      <c r="F4" s="875" t="s">
        <v>791</v>
      </c>
      <c r="G4" s="875" t="s">
        <v>792</v>
      </c>
      <c r="H4" s="875" t="s">
        <v>793</v>
      </c>
      <c r="I4" s="875" t="s">
        <v>794</v>
      </c>
      <c r="J4" s="875" t="s">
        <v>795</v>
      </c>
      <c r="K4" s="1146"/>
      <c r="L4" s="851" t="s">
        <v>769</v>
      </c>
      <c r="M4" s="851" t="s">
        <v>770</v>
      </c>
      <c r="N4" s="1146"/>
      <c r="O4" s="1164"/>
      <c r="P4" s="1146"/>
      <c r="Q4" s="875"/>
      <c r="R4" s="875"/>
      <c r="S4" s="875"/>
      <c r="T4" s="1153"/>
      <c r="U4" s="1146"/>
      <c r="V4" s="1146"/>
      <c r="W4" s="1146"/>
      <c r="X4" s="851" t="s">
        <v>796</v>
      </c>
      <c r="Y4" s="851" t="s">
        <v>797</v>
      </c>
      <c r="Z4" s="851" t="s">
        <v>796</v>
      </c>
      <c r="AA4" s="851" t="s">
        <v>797</v>
      </c>
      <c r="AB4" s="1142"/>
      <c r="AC4" s="1166"/>
      <c r="AD4" s="1163"/>
    </row>
    <row r="5" spans="1:30">
      <c r="A5" s="876" t="s">
        <v>304</v>
      </c>
      <c r="B5" s="877" t="s">
        <v>1039</v>
      </c>
      <c r="C5" s="879">
        <v>1791</v>
      </c>
      <c r="D5" s="879">
        <v>59</v>
      </c>
      <c r="E5" s="879"/>
      <c r="F5" s="879"/>
      <c r="G5" s="879"/>
      <c r="H5" s="879"/>
      <c r="I5" s="879"/>
      <c r="J5" s="879"/>
      <c r="K5" s="716">
        <v>-173</v>
      </c>
      <c r="L5" s="879"/>
      <c r="M5" s="879">
        <v>12</v>
      </c>
      <c r="N5" s="879">
        <v>191</v>
      </c>
      <c r="O5" s="879"/>
      <c r="P5" s="879"/>
      <c r="Q5" s="716"/>
      <c r="R5" s="716"/>
      <c r="S5" s="716"/>
      <c r="T5" s="885">
        <f>SUM(C5:P5)</f>
        <v>1880</v>
      </c>
      <c r="U5" s="879"/>
      <c r="V5" s="879">
        <v>1880</v>
      </c>
      <c r="W5" s="879"/>
      <c r="X5" s="879"/>
      <c r="Y5" s="879"/>
      <c r="Z5" s="879"/>
      <c r="AA5" s="879"/>
      <c r="AB5" s="879"/>
      <c r="AC5" s="885">
        <f>SUM(U5:Y5)</f>
        <v>1880</v>
      </c>
    </row>
    <row r="6" spans="1:30">
      <c r="A6" s="876" t="s">
        <v>409</v>
      </c>
      <c r="B6" s="877" t="s">
        <v>1024</v>
      </c>
      <c r="C6" s="879"/>
      <c r="D6" s="879"/>
      <c r="E6" s="879"/>
      <c r="F6" s="879"/>
      <c r="G6" s="879"/>
      <c r="H6" s="879"/>
      <c r="I6" s="879"/>
      <c r="J6" s="879"/>
      <c r="K6" s="716"/>
      <c r="L6" s="879"/>
      <c r="M6" s="879"/>
      <c r="N6" s="879"/>
      <c r="O6" s="879"/>
      <c r="P6" s="879"/>
      <c r="Q6" s="716"/>
      <c r="R6" s="716"/>
      <c r="S6" s="716"/>
      <c r="T6" s="885">
        <f t="shared" ref="T6:T12" si="0">SUM(C6:P6)</f>
        <v>0</v>
      </c>
      <c r="U6" s="879"/>
      <c r="V6" s="879">
        <v>5000</v>
      </c>
      <c r="W6" s="879">
        <v>-5000</v>
      </c>
      <c r="X6" s="879"/>
      <c r="Y6" s="879"/>
      <c r="Z6" s="879"/>
      <c r="AA6" s="879"/>
      <c r="AB6" s="879"/>
      <c r="AC6" s="885">
        <f t="shared" ref="AC6:AC12" si="1">SUM(U6:Y6)</f>
        <v>0</v>
      </c>
    </row>
    <row r="7" spans="1:30">
      <c r="A7" s="876" t="s">
        <v>468</v>
      </c>
      <c r="B7" s="877" t="s">
        <v>1022</v>
      </c>
      <c r="C7" s="879">
        <v>17</v>
      </c>
      <c r="D7" s="879">
        <v>5</v>
      </c>
      <c r="E7" s="879"/>
      <c r="F7" s="879"/>
      <c r="G7" s="879"/>
      <c r="H7" s="879"/>
      <c r="I7" s="879"/>
      <c r="J7" s="879"/>
      <c r="K7" s="716"/>
      <c r="L7" s="879"/>
      <c r="M7" s="879"/>
      <c r="N7" s="879"/>
      <c r="O7" s="879"/>
      <c r="P7" s="879"/>
      <c r="Q7" s="716"/>
      <c r="R7" s="716"/>
      <c r="S7" s="716"/>
      <c r="T7" s="885">
        <f t="shared" si="0"/>
        <v>22</v>
      </c>
      <c r="U7" s="879"/>
      <c r="V7" s="879"/>
      <c r="W7" s="879">
        <v>22</v>
      </c>
      <c r="X7" s="879"/>
      <c r="Y7" s="879"/>
      <c r="Z7" s="879"/>
      <c r="AA7" s="879"/>
      <c r="AB7" s="879"/>
      <c r="AC7" s="885">
        <f t="shared" si="1"/>
        <v>22</v>
      </c>
    </row>
    <row r="8" spans="1:30">
      <c r="A8" s="876" t="s">
        <v>469</v>
      </c>
      <c r="B8" s="877" t="s">
        <v>1025</v>
      </c>
      <c r="C8" s="879">
        <v>781</v>
      </c>
      <c r="D8" s="879">
        <v>108</v>
      </c>
      <c r="E8" s="879"/>
      <c r="F8" s="879"/>
      <c r="G8" s="879"/>
      <c r="H8" s="879"/>
      <c r="I8" s="879"/>
      <c r="J8" s="879"/>
      <c r="K8" s="716"/>
      <c r="L8" s="879"/>
      <c r="M8" s="879"/>
      <c r="N8" s="879"/>
      <c r="O8" s="879"/>
      <c r="P8" s="879"/>
      <c r="Q8" s="716"/>
      <c r="R8" s="716"/>
      <c r="S8" s="716"/>
      <c r="T8" s="885">
        <f t="shared" si="0"/>
        <v>889</v>
      </c>
      <c r="U8" s="879"/>
      <c r="V8" s="879"/>
      <c r="W8" s="879">
        <v>889</v>
      </c>
      <c r="X8" s="879"/>
      <c r="Y8" s="879"/>
      <c r="Z8" s="879"/>
      <c r="AA8" s="879"/>
      <c r="AB8" s="879"/>
      <c r="AC8" s="885">
        <f t="shared" si="1"/>
        <v>889</v>
      </c>
    </row>
    <row r="9" spans="1:30">
      <c r="A9" s="876" t="s">
        <v>470</v>
      </c>
      <c r="B9" s="877" t="s">
        <v>1026</v>
      </c>
      <c r="C9" s="879"/>
      <c r="D9" s="879"/>
      <c r="E9" s="879"/>
      <c r="F9" s="879"/>
      <c r="G9" s="879"/>
      <c r="H9" s="879"/>
      <c r="I9" s="879"/>
      <c r="J9" s="879"/>
      <c r="K9" s="716">
        <v>39</v>
      </c>
      <c r="L9" s="879"/>
      <c r="M9" s="879"/>
      <c r="N9" s="879"/>
      <c r="O9" s="879"/>
      <c r="P9" s="879"/>
      <c r="Q9" s="716"/>
      <c r="R9" s="716"/>
      <c r="S9" s="716"/>
      <c r="T9" s="885">
        <f t="shared" si="0"/>
        <v>39</v>
      </c>
      <c r="U9" s="879"/>
      <c r="V9" s="879">
        <v>39</v>
      </c>
      <c r="W9" s="879"/>
      <c r="X9" s="879"/>
      <c r="Y9" s="879"/>
      <c r="Z9" s="879"/>
      <c r="AA9" s="879"/>
      <c r="AB9" s="879"/>
      <c r="AC9" s="885">
        <f t="shared" si="1"/>
        <v>39</v>
      </c>
    </row>
    <row r="10" spans="1:30">
      <c r="A10" s="876" t="s">
        <v>471</v>
      </c>
      <c r="B10" s="877" t="s">
        <v>1027</v>
      </c>
      <c r="C10" s="879"/>
      <c r="D10" s="879"/>
      <c r="E10" s="879"/>
      <c r="F10" s="879"/>
      <c r="G10" s="879"/>
      <c r="H10" s="879"/>
      <c r="I10" s="879"/>
      <c r="J10" s="879"/>
      <c r="K10" s="716">
        <v>1300</v>
      </c>
      <c r="L10" s="879"/>
      <c r="M10" s="879"/>
      <c r="N10" s="879"/>
      <c r="O10" s="879"/>
      <c r="P10" s="879"/>
      <c r="Q10" s="716"/>
      <c r="R10" s="716"/>
      <c r="S10" s="716"/>
      <c r="T10" s="885">
        <f t="shared" si="0"/>
        <v>1300</v>
      </c>
      <c r="U10" s="879"/>
      <c r="V10" s="879">
        <v>1300</v>
      </c>
      <c r="W10" s="879"/>
      <c r="X10" s="879"/>
      <c r="Y10" s="879"/>
      <c r="Z10" s="879"/>
      <c r="AA10" s="879"/>
      <c r="AB10" s="879"/>
      <c r="AC10" s="885">
        <f t="shared" si="1"/>
        <v>1300</v>
      </c>
    </row>
    <row r="11" spans="1:30">
      <c r="A11" s="876" t="s">
        <v>472</v>
      </c>
      <c r="B11" s="877" t="s">
        <v>1028</v>
      </c>
      <c r="C11" s="879"/>
      <c r="D11" s="879"/>
      <c r="E11" s="879"/>
      <c r="F11" s="879"/>
      <c r="G11" s="879"/>
      <c r="H11" s="879"/>
      <c r="I11" s="879"/>
      <c r="J11" s="879"/>
      <c r="K11" s="716">
        <v>335</v>
      </c>
      <c r="L11" s="879"/>
      <c r="M11" s="879"/>
      <c r="N11" s="879"/>
      <c r="O11" s="879"/>
      <c r="P11" s="879"/>
      <c r="Q11" s="716"/>
      <c r="R11" s="716"/>
      <c r="S11" s="716"/>
      <c r="T11" s="885">
        <f t="shared" si="0"/>
        <v>335</v>
      </c>
      <c r="U11" s="879"/>
      <c r="V11" s="879"/>
      <c r="W11" s="879">
        <v>335</v>
      </c>
      <c r="X11" s="879"/>
      <c r="Y11" s="879"/>
      <c r="Z11" s="879"/>
      <c r="AA11" s="879"/>
      <c r="AB11" s="879"/>
      <c r="AC11" s="885">
        <f t="shared" si="1"/>
        <v>335</v>
      </c>
    </row>
    <row r="12" spans="1:30">
      <c r="A12" s="876" t="s">
        <v>473</v>
      </c>
      <c r="B12" s="877" t="s">
        <v>1029</v>
      </c>
      <c r="C12" s="879"/>
      <c r="D12" s="879"/>
      <c r="E12" s="879"/>
      <c r="F12" s="879"/>
      <c r="G12" s="879"/>
      <c r="H12" s="879"/>
      <c r="I12" s="879"/>
      <c r="J12" s="879"/>
      <c r="K12" s="716"/>
      <c r="L12" s="879"/>
      <c r="M12" s="879"/>
      <c r="N12" s="879">
        <v>763</v>
      </c>
      <c r="O12" s="879"/>
      <c r="P12" s="879"/>
      <c r="Q12" s="716"/>
      <c r="R12" s="716"/>
      <c r="S12" s="716"/>
      <c r="T12" s="885">
        <f t="shared" si="0"/>
        <v>763</v>
      </c>
      <c r="U12" s="879"/>
      <c r="V12" s="879"/>
      <c r="W12" s="879">
        <v>763</v>
      </c>
      <c r="X12" s="879"/>
      <c r="Y12" s="879"/>
      <c r="Z12" s="879"/>
      <c r="AA12" s="879"/>
      <c r="AB12" s="879"/>
      <c r="AC12" s="885">
        <f t="shared" si="1"/>
        <v>763</v>
      </c>
    </row>
    <row r="13" spans="1:30" ht="13.8" thickBot="1">
      <c r="A13" s="886"/>
      <c r="B13" s="719" t="s">
        <v>178</v>
      </c>
      <c r="C13" s="758">
        <f t="shared" ref="C13:AC13" si="2">SUM(C5:C12)</f>
        <v>2589</v>
      </c>
      <c r="D13" s="758">
        <f t="shared" si="2"/>
        <v>172</v>
      </c>
      <c r="E13" s="758">
        <f t="shared" si="2"/>
        <v>0</v>
      </c>
      <c r="F13" s="758">
        <f t="shared" si="2"/>
        <v>0</v>
      </c>
      <c r="G13" s="758">
        <f t="shared" si="2"/>
        <v>0</v>
      </c>
      <c r="H13" s="758">
        <f t="shared" si="2"/>
        <v>0</v>
      </c>
      <c r="I13" s="758">
        <f t="shared" si="2"/>
        <v>0</v>
      </c>
      <c r="J13" s="758">
        <f t="shared" si="2"/>
        <v>0</v>
      </c>
      <c r="K13" s="758">
        <f t="shared" si="2"/>
        <v>1501</v>
      </c>
      <c r="L13" s="758">
        <f t="shared" si="2"/>
        <v>0</v>
      </c>
      <c r="M13" s="758">
        <f t="shared" si="2"/>
        <v>12</v>
      </c>
      <c r="N13" s="758">
        <f t="shared" si="2"/>
        <v>954</v>
      </c>
      <c r="O13" s="758">
        <f t="shared" si="2"/>
        <v>0</v>
      </c>
      <c r="P13" s="758">
        <f t="shared" si="2"/>
        <v>0</v>
      </c>
      <c r="Q13" s="758">
        <f t="shared" si="2"/>
        <v>0</v>
      </c>
      <c r="R13" s="758">
        <f t="shared" si="2"/>
        <v>0</v>
      </c>
      <c r="S13" s="758">
        <f t="shared" si="2"/>
        <v>0</v>
      </c>
      <c r="T13" s="758">
        <f t="shared" si="2"/>
        <v>5228</v>
      </c>
      <c r="U13" s="758">
        <f t="shared" si="2"/>
        <v>0</v>
      </c>
      <c r="V13" s="758">
        <f t="shared" si="2"/>
        <v>8219</v>
      </c>
      <c r="W13" s="758">
        <f t="shared" si="2"/>
        <v>-2991</v>
      </c>
      <c r="X13" s="758">
        <f t="shared" si="2"/>
        <v>0</v>
      </c>
      <c r="Y13" s="758">
        <f t="shared" si="2"/>
        <v>0</v>
      </c>
      <c r="Z13" s="758">
        <f t="shared" si="2"/>
        <v>0</v>
      </c>
      <c r="AA13" s="758">
        <f t="shared" si="2"/>
        <v>0</v>
      </c>
      <c r="AB13" s="758">
        <f t="shared" si="2"/>
        <v>0</v>
      </c>
      <c r="AC13" s="758">
        <f t="shared" si="2"/>
        <v>5228</v>
      </c>
      <c r="AD13" s="887" t="e">
        <f>SUM(#REF!)</f>
        <v>#REF!</v>
      </c>
    </row>
    <row r="14" spans="1:30">
      <c r="C14" s="882"/>
      <c r="D14" s="882"/>
      <c r="E14" s="882"/>
      <c r="F14" s="882"/>
      <c r="G14" s="882"/>
      <c r="H14" s="882"/>
      <c r="I14" s="882"/>
      <c r="J14" s="882"/>
      <c r="K14" s="728"/>
      <c r="L14" s="882"/>
      <c r="AC14" s="882"/>
    </row>
    <row r="15" spans="1:30">
      <c r="K15" s="728"/>
      <c r="L15" s="882"/>
    </row>
    <row r="16" spans="1:30">
      <c r="K16" s="728"/>
      <c r="L16" s="882"/>
    </row>
    <row r="17" spans="11:12">
      <c r="K17" s="728"/>
      <c r="L17" s="882"/>
    </row>
    <row r="18" spans="11:12">
      <c r="K18" s="728"/>
      <c r="L18" s="882"/>
    </row>
    <row r="19" spans="11:12">
      <c r="K19" s="728"/>
      <c r="L19" s="882"/>
    </row>
    <row r="20" spans="11:12">
      <c r="K20" s="728"/>
      <c r="L20" s="882"/>
    </row>
    <row r="21" spans="11:12">
      <c r="K21" s="728"/>
      <c r="L21" s="882"/>
    </row>
    <row r="22" spans="11:12">
      <c r="K22" s="728"/>
      <c r="L22" s="882"/>
    </row>
    <row r="23" spans="11:12">
      <c r="K23" s="728"/>
      <c r="L23" s="882"/>
    </row>
    <row r="24" spans="11:12">
      <c r="K24" s="728"/>
      <c r="L24" s="882"/>
    </row>
    <row r="25" spans="11:12">
      <c r="K25" s="728"/>
      <c r="L25" s="882"/>
    </row>
    <row r="26" spans="11:12">
      <c r="K26" s="728"/>
      <c r="L26" s="882"/>
    </row>
    <row r="27" spans="11:12">
      <c r="K27" s="728"/>
      <c r="L27" s="882"/>
    </row>
    <row r="28" spans="11:12">
      <c r="K28" s="728"/>
      <c r="L28" s="882"/>
    </row>
    <row r="29" spans="11:12">
      <c r="K29" s="728"/>
      <c r="L29" s="882"/>
    </row>
    <row r="30" spans="11:12">
      <c r="K30" s="728"/>
      <c r="L30" s="882"/>
    </row>
    <row r="31" spans="11:12">
      <c r="K31" s="728"/>
      <c r="L31" s="882"/>
    </row>
    <row r="32" spans="11:12">
      <c r="K32" s="728"/>
      <c r="L32" s="882"/>
    </row>
    <row r="33" spans="11:12">
      <c r="K33" s="728"/>
      <c r="L33" s="882"/>
    </row>
    <row r="34" spans="11:12">
      <c r="K34" s="728"/>
      <c r="L34" s="882"/>
    </row>
    <row r="35" spans="11:12">
      <c r="K35" s="728"/>
      <c r="L35" s="882"/>
    </row>
    <row r="36" spans="11:12">
      <c r="K36" s="728"/>
      <c r="L36" s="882"/>
    </row>
    <row r="37" spans="11:12">
      <c r="K37" s="728"/>
      <c r="L37" s="882"/>
    </row>
    <row r="38" spans="11:12">
      <c r="K38" s="728"/>
      <c r="L38" s="882"/>
    </row>
    <row r="39" spans="11:12">
      <c r="K39" s="728"/>
      <c r="L39" s="882"/>
    </row>
    <row r="40" spans="11:12">
      <c r="K40" s="728"/>
      <c r="L40" s="882"/>
    </row>
    <row r="41" spans="11:12">
      <c r="K41" s="728"/>
      <c r="L41" s="882"/>
    </row>
    <row r="42" spans="11:12">
      <c r="K42" s="728"/>
      <c r="L42" s="882"/>
    </row>
    <row r="43" spans="11:12">
      <c r="K43" s="728"/>
      <c r="L43" s="882"/>
    </row>
    <row r="44" spans="11:12">
      <c r="K44" s="728"/>
      <c r="L44" s="882"/>
    </row>
    <row r="45" spans="11:12">
      <c r="K45" s="728"/>
      <c r="L45" s="882"/>
    </row>
    <row r="46" spans="11:12">
      <c r="K46" s="728"/>
      <c r="L46" s="882"/>
    </row>
    <row r="47" spans="11:12">
      <c r="K47" s="728"/>
      <c r="L47" s="882"/>
    </row>
    <row r="48" spans="11:12">
      <c r="K48" s="728"/>
      <c r="L48" s="882"/>
    </row>
    <row r="49" spans="11:12">
      <c r="K49" s="728"/>
      <c r="L49" s="882"/>
    </row>
    <row r="50" spans="11:12">
      <c r="K50" s="728"/>
      <c r="L50" s="882"/>
    </row>
    <row r="51" spans="11:12">
      <c r="K51" s="728"/>
      <c r="L51" s="882"/>
    </row>
    <row r="52" spans="11:12">
      <c r="K52" s="728"/>
      <c r="L52" s="882"/>
    </row>
    <row r="53" spans="11:12">
      <c r="K53" s="728"/>
      <c r="L53" s="882"/>
    </row>
    <row r="54" spans="11:12">
      <c r="K54" s="728"/>
      <c r="L54" s="882"/>
    </row>
    <row r="55" spans="11:12">
      <c r="K55" s="728"/>
      <c r="L55" s="882"/>
    </row>
    <row r="56" spans="11:12">
      <c r="K56" s="728"/>
      <c r="L56" s="882"/>
    </row>
    <row r="57" spans="11:12">
      <c r="K57" s="728"/>
      <c r="L57" s="882"/>
    </row>
    <row r="58" spans="11:12">
      <c r="K58" s="728"/>
      <c r="L58" s="882"/>
    </row>
    <row r="59" spans="11:12">
      <c r="K59" s="728"/>
      <c r="L59" s="882"/>
    </row>
    <row r="60" spans="11:12">
      <c r="K60" s="728"/>
      <c r="L60" s="882"/>
    </row>
    <row r="61" spans="11:12">
      <c r="K61" s="728"/>
      <c r="L61" s="882"/>
    </row>
    <row r="62" spans="11:12">
      <c r="K62" s="728"/>
      <c r="L62" s="882"/>
    </row>
    <row r="63" spans="11:12">
      <c r="K63" s="728"/>
      <c r="L63" s="882"/>
    </row>
    <row r="64" spans="11:12">
      <c r="K64" s="728"/>
      <c r="L64" s="882"/>
    </row>
    <row r="65" spans="11:12">
      <c r="K65" s="728"/>
      <c r="L65" s="882"/>
    </row>
    <row r="66" spans="11:12">
      <c r="K66" s="728"/>
      <c r="L66" s="882"/>
    </row>
    <row r="67" spans="11:12">
      <c r="K67" s="728"/>
      <c r="L67" s="882"/>
    </row>
    <row r="68" spans="11:12">
      <c r="K68" s="728"/>
      <c r="L68" s="882"/>
    </row>
    <row r="69" spans="11:12">
      <c r="K69" s="728"/>
      <c r="L69" s="882"/>
    </row>
    <row r="70" spans="11:12">
      <c r="K70" s="728"/>
      <c r="L70" s="882"/>
    </row>
    <row r="71" spans="11:12">
      <c r="K71" s="728"/>
      <c r="L71" s="882"/>
    </row>
    <row r="72" spans="11:12">
      <c r="K72" s="728"/>
      <c r="L72" s="882"/>
    </row>
    <row r="73" spans="11:12">
      <c r="K73" s="728"/>
      <c r="L73" s="882"/>
    </row>
    <row r="74" spans="11:12">
      <c r="K74" s="728"/>
      <c r="L74" s="882"/>
    </row>
    <row r="75" spans="11:12">
      <c r="K75" s="728"/>
      <c r="L75" s="882"/>
    </row>
    <row r="76" spans="11:12">
      <c r="K76" s="728"/>
      <c r="L76" s="882"/>
    </row>
    <row r="77" spans="11:12">
      <c r="K77" s="728"/>
      <c r="L77" s="882"/>
    </row>
    <row r="78" spans="11:12">
      <c r="K78" s="728"/>
      <c r="L78" s="882"/>
    </row>
    <row r="79" spans="11:12">
      <c r="K79" s="728"/>
      <c r="L79" s="882"/>
    </row>
    <row r="80" spans="11:12">
      <c r="K80" s="728"/>
      <c r="L80" s="882"/>
    </row>
    <row r="81" spans="11:12">
      <c r="K81" s="728"/>
      <c r="L81" s="882"/>
    </row>
    <row r="82" spans="11:12">
      <c r="K82" s="728"/>
      <c r="L82" s="882"/>
    </row>
    <row r="83" spans="11:12">
      <c r="K83" s="728"/>
      <c r="L83" s="882"/>
    </row>
    <row r="84" spans="11:12">
      <c r="K84" s="728"/>
      <c r="L84" s="882"/>
    </row>
    <row r="85" spans="11:12">
      <c r="K85" s="728"/>
      <c r="L85" s="882"/>
    </row>
    <row r="86" spans="11:12">
      <c r="K86" s="728"/>
      <c r="L86" s="882"/>
    </row>
    <row r="87" spans="11:12">
      <c r="K87" s="728"/>
      <c r="L87" s="882"/>
    </row>
    <row r="88" spans="11:12">
      <c r="K88" s="728"/>
      <c r="L88" s="882"/>
    </row>
    <row r="89" spans="11:12">
      <c r="K89" s="728"/>
      <c r="L89" s="882"/>
    </row>
    <row r="90" spans="11:12">
      <c r="K90" s="728"/>
      <c r="L90" s="882"/>
    </row>
    <row r="91" spans="11:12">
      <c r="K91" s="728"/>
      <c r="L91" s="882"/>
    </row>
    <row r="92" spans="11:12">
      <c r="K92" s="728"/>
      <c r="L92" s="882"/>
    </row>
    <row r="93" spans="11:12">
      <c r="K93" s="728"/>
      <c r="L93" s="882"/>
    </row>
    <row r="94" spans="11:12">
      <c r="K94" s="728"/>
      <c r="L94" s="882"/>
    </row>
    <row r="95" spans="11:12">
      <c r="K95" s="728"/>
      <c r="L95" s="882"/>
    </row>
    <row r="96" spans="11:12">
      <c r="K96" s="728"/>
      <c r="L96" s="882"/>
    </row>
    <row r="97" spans="11:12">
      <c r="K97" s="728"/>
      <c r="L97" s="882"/>
    </row>
    <row r="98" spans="11:12">
      <c r="K98" s="728"/>
      <c r="L98" s="882"/>
    </row>
    <row r="99" spans="11:12">
      <c r="K99" s="728"/>
      <c r="L99" s="882"/>
    </row>
    <row r="100" spans="11:12">
      <c r="K100" s="728"/>
      <c r="L100" s="882"/>
    </row>
    <row r="101" spans="11:12">
      <c r="K101" s="728"/>
      <c r="L101" s="882"/>
    </row>
    <row r="102" spans="11:12">
      <c r="K102" s="728"/>
      <c r="L102" s="882"/>
    </row>
    <row r="103" spans="11:12">
      <c r="K103" s="728"/>
      <c r="L103" s="882"/>
    </row>
    <row r="104" spans="11:12">
      <c r="K104" s="728"/>
      <c r="L104" s="882"/>
    </row>
    <row r="105" spans="11:12">
      <c r="K105" s="728"/>
      <c r="L105" s="882"/>
    </row>
    <row r="106" spans="11:12">
      <c r="K106" s="728"/>
      <c r="L106" s="882"/>
    </row>
    <row r="107" spans="11:12">
      <c r="K107" s="728"/>
      <c r="L107" s="882"/>
    </row>
    <row r="108" spans="11:12">
      <c r="K108" s="728"/>
      <c r="L108" s="882"/>
    </row>
    <row r="109" spans="11:12">
      <c r="K109" s="728"/>
      <c r="L109" s="882"/>
    </row>
    <row r="110" spans="11:12">
      <c r="K110" s="728"/>
      <c r="L110" s="882"/>
    </row>
    <row r="111" spans="11:12">
      <c r="K111" s="728"/>
      <c r="L111" s="882"/>
    </row>
    <row r="112" spans="11:12">
      <c r="K112" s="728"/>
      <c r="L112" s="882"/>
    </row>
    <row r="113" spans="11:12">
      <c r="K113" s="728"/>
      <c r="L113" s="882"/>
    </row>
    <row r="114" spans="11:12">
      <c r="K114" s="728"/>
      <c r="L114" s="882"/>
    </row>
    <row r="115" spans="11:12">
      <c r="K115" s="728"/>
      <c r="L115" s="882"/>
    </row>
    <row r="116" spans="11:12">
      <c r="K116" s="728"/>
      <c r="L116" s="882"/>
    </row>
    <row r="117" spans="11:12">
      <c r="K117" s="728"/>
      <c r="L117" s="882"/>
    </row>
    <row r="118" spans="11:12">
      <c r="K118" s="728"/>
      <c r="L118" s="882"/>
    </row>
    <row r="119" spans="11:12">
      <c r="K119" s="728"/>
      <c r="L119" s="882"/>
    </row>
    <row r="120" spans="11:12">
      <c r="K120" s="728"/>
      <c r="L120" s="882"/>
    </row>
    <row r="121" spans="11:12">
      <c r="K121" s="728"/>
      <c r="L121" s="882"/>
    </row>
    <row r="122" spans="11:12">
      <c r="K122" s="728"/>
      <c r="L122" s="882"/>
    </row>
    <row r="123" spans="11:12">
      <c r="K123" s="728"/>
      <c r="L123" s="882"/>
    </row>
    <row r="124" spans="11:12">
      <c r="K124" s="728"/>
      <c r="L124" s="882"/>
    </row>
    <row r="125" spans="11:12">
      <c r="K125" s="728"/>
      <c r="L125" s="882"/>
    </row>
    <row r="126" spans="11:12">
      <c r="K126" s="728"/>
      <c r="L126" s="882"/>
    </row>
    <row r="127" spans="11:12">
      <c r="K127" s="728"/>
      <c r="L127" s="882"/>
    </row>
    <row r="128" spans="11:12">
      <c r="K128" s="728"/>
      <c r="L128" s="882"/>
    </row>
    <row r="129" spans="11:12">
      <c r="K129" s="728"/>
      <c r="L129" s="882"/>
    </row>
    <row r="130" spans="11:12">
      <c r="K130" s="728"/>
      <c r="L130" s="882"/>
    </row>
    <row r="131" spans="11:12">
      <c r="K131" s="728"/>
      <c r="L131" s="882"/>
    </row>
    <row r="132" spans="11:12">
      <c r="K132" s="728"/>
      <c r="L132" s="882"/>
    </row>
    <row r="133" spans="11:12">
      <c r="K133" s="728"/>
      <c r="L133" s="882"/>
    </row>
    <row r="134" spans="11:12">
      <c r="K134" s="728"/>
      <c r="L134" s="882"/>
    </row>
    <row r="135" spans="11:12">
      <c r="K135" s="728"/>
      <c r="L135" s="882"/>
    </row>
    <row r="136" spans="11:12">
      <c r="K136" s="728"/>
      <c r="L136" s="882"/>
    </row>
    <row r="137" spans="11:12">
      <c r="K137" s="728"/>
      <c r="L137" s="882"/>
    </row>
    <row r="138" spans="11:12">
      <c r="K138" s="728"/>
      <c r="L138" s="882"/>
    </row>
    <row r="139" spans="11:12">
      <c r="K139" s="728"/>
      <c r="L139" s="882"/>
    </row>
    <row r="140" spans="11:12">
      <c r="K140" s="728"/>
      <c r="L140" s="882"/>
    </row>
    <row r="141" spans="11:12">
      <c r="K141" s="728"/>
      <c r="L141" s="882"/>
    </row>
    <row r="142" spans="11:12">
      <c r="K142" s="728"/>
      <c r="L142" s="882"/>
    </row>
    <row r="143" spans="11:12">
      <c r="K143" s="728"/>
      <c r="L143" s="882"/>
    </row>
    <row r="144" spans="11:12">
      <c r="K144" s="728"/>
      <c r="L144" s="882"/>
    </row>
    <row r="145" spans="11:12">
      <c r="K145" s="728"/>
      <c r="L145" s="882"/>
    </row>
    <row r="146" spans="11:12">
      <c r="K146" s="728"/>
      <c r="L146" s="882"/>
    </row>
    <row r="147" spans="11:12">
      <c r="K147" s="728"/>
      <c r="L147" s="882"/>
    </row>
    <row r="148" spans="11:12">
      <c r="K148" s="728"/>
      <c r="L148" s="882"/>
    </row>
    <row r="149" spans="11:12">
      <c r="K149" s="728"/>
      <c r="L149" s="882"/>
    </row>
    <row r="150" spans="11:12">
      <c r="K150" s="728"/>
      <c r="L150" s="882"/>
    </row>
    <row r="151" spans="11:12">
      <c r="K151" s="728"/>
      <c r="L151" s="882"/>
    </row>
    <row r="152" spans="11:12">
      <c r="K152" s="728"/>
      <c r="L152" s="882"/>
    </row>
    <row r="153" spans="11:12">
      <c r="K153" s="728"/>
      <c r="L153" s="882"/>
    </row>
    <row r="154" spans="11:12">
      <c r="K154" s="728"/>
      <c r="L154" s="882"/>
    </row>
    <row r="155" spans="11:12">
      <c r="K155" s="728"/>
      <c r="L155" s="882"/>
    </row>
    <row r="156" spans="11:12">
      <c r="K156" s="728"/>
      <c r="L156" s="882"/>
    </row>
    <row r="157" spans="11:12">
      <c r="K157" s="728"/>
      <c r="L157" s="882"/>
    </row>
    <row r="158" spans="11:12">
      <c r="K158" s="728"/>
      <c r="L158" s="882"/>
    </row>
    <row r="159" spans="11:12">
      <c r="K159" s="728"/>
      <c r="L159" s="882"/>
    </row>
    <row r="160" spans="11:12">
      <c r="K160" s="728"/>
      <c r="L160" s="882"/>
    </row>
    <row r="161" spans="11:12">
      <c r="K161" s="728"/>
      <c r="L161" s="882"/>
    </row>
    <row r="162" spans="11:12">
      <c r="K162" s="728"/>
      <c r="L162" s="882"/>
    </row>
    <row r="163" spans="11:12">
      <c r="K163" s="728"/>
      <c r="L163" s="882"/>
    </row>
    <row r="164" spans="11:12">
      <c r="K164" s="728"/>
      <c r="L164" s="882"/>
    </row>
    <row r="165" spans="11:12">
      <c r="K165" s="728"/>
      <c r="L165" s="882"/>
    </row>
    <row r="166" spans="11:12">
      <c r="K166" s="883"/>
      <c r="L166" s="882"/>
    </row>
  </sheetData>
  <mergeCells count="22">
    <mergeCell ref="AA1:AC1"/>
    <mergeCell ref="Z3:AA3"/>
    <mergeCell ref="P3:P4"/>
    <mergeCell ref="U3:U4"/>
    <mergeCell ref="V3:V4"/>
    <mergeCell ref="W3:W4"/>
    <mergeCell ref="X3:Y3"/>
    <mergeCell ref="AC2:AC4"/>
    <mergeCell ref="A2:A4"/>
    <mergeCell ref="B2:B4"/>
    <mergeCell ref="C2:S2"/>
    <mergeCell ref="T2:T4"/>
    <mergeCell ref="U2:AA2"/>
    <mergeCell ref="AD2:AD4"/>
    <mergeCell ref="C3:C4"/>
    <mergeCell ref="D3:D4"/>
    <mergeCell ref="AB3:AB4"/>
    <mergeCell ref="E3:J3"/>
    <mergeCell ref="K3:K4"/>
    <mergeCell ref="L3:M3"/>
    <mergeCell ref="N3:N4"/>
    <mergeCell ref="O3:O4"/>
  </mergeCells>
  <printOptions horizontalCentered="1"/>
  <pageMargins left="0.70866141732283472" right="0.70866141732283472" top="0.71" bottom="0.74803149606299213" header="0.31496062992125984" footer="0.31496062992125984"/>
  <pageSetup paperSize="9" scale="64" fitToHeight="2" orientation="landscape" r:id="rId1"/>
  <headerFooter>
    <oddHeader>&amp;C&amp;"Times New Roman,Félkövér"&amp;14Előirányzat módosítás nyilvántartás Brunszvik Beethoven Kulturális Központ 2016. év&amp;R&amp;"Times New Roman,Normál"&amp;10 12.d.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opLeftCell="A13" workbookViewId="0">
      <selection activeCell="I9" sqref="I9"/>
    </sheetView>
  </sheetViews>
  <sheetFormatPr defaultColWidth="8.6640625" defaultRowHeight="12.75" customHeight="1"/>
  <cols>
    <col min="1" max="1" width="35.109375" style="284" customWidth="1"/>
    <col min="2" max="2" width="12.44140625" style="284" customWidth="1"/>
    <col min="3" max="4" width="11.6640625" style="284" customWidth="1"/>
    <col min="5" max="5" width="33.6640625" style="284" customWidth="1"/>
    <col min="6" max="6" width="12.88671875" style="284" customWidth="1"/>
    <col min="7" max="8" width="12.44140625" style="284" customWidth="1"/>
    <col min="9" max="10" width="8.6640625" style="284"/>
    <col min="11" max="16384" width="8.6640625" style="247"/>
  </cols>
  <sheetData>
    <row r="1" spans="1:10" ht="16.5" customHeight="1" thickBot="1">
      <c r="A1" s="285"/>
      <c r="B1" s="285"/>
      <c r="C1" s="285"/>
      <c r="D1" s="285"/>
      <c r="E1" s="285"/>
      <c r="F1" s="285"/>
      <c r="G1" s="285"/>
      <c r="H1" s="286" t="s">
        <v>396</v>
      </c>
      <c r="I1" s="246"/>
      <c r="J1" s="246"/>
    </row>
    <row r="2" spans="1:10" ht="26.25" customHeight="1" thickBot="1">
      <c r="A2" s="287" t="s">
        <v>334</v>
      </c>
      <c r="B2" s="288" t="s">
        <v>870</v>
      </c>
      <c r="C2" s="317" t="s">
        <v>732</v>
      </c>
      <c r="D2" s="868" t="s">
        <v>947</v>
      </c>
      <c r="E2" s="287" t="s">
        <v>335</v>
      </c>
      <c r="F2" s="288" t="s">
        <v>870</v>
      </c>
      <c r="G2" s="317" t="s">
        <v>732</v>
      </c>
      <c r="H2" s="288" t="s">
        <v>947</v>
      </c>
      <c r="I2" s="321"/>
      <c r="J2" s="246"/>
    </row>
    <row r="3" spans="1:10" ht="13.5" customHeight="1" thickBot="1">
      <c r="A3" s="290" t="s">
        <v>336</v>
      </c>
      <c r="B3" s="620">
        <f>SUM(B4:B9)</f>
        <v>1002444</v>
      </c>
      <c r="C3" s="620">
        <f>SUM(C4:C9)</f>
        <v>42010</v>
      </c>
      <c r="D3" s="869">
        <f>SUM(D4:D9)</f>
        <v>1044454</v>
      </c>
      <c r="E3" s="870" t="s">
        <v>451</v>
      </c>
      <c r="F3" s="627">
        <f>+F4+F5+F6+F7+F8+F9</f>
        <v>1201904</v>
      </c>
      <c r="G3" s="627">
        <f>+G4+G5+G6+G7+G8+G9</f>
        <v>612616</v>
      </c>
      <c r="H3" s="627">
        <f>+H4+H5+H6+H7+H8+H9</f>
        <v>1814520</v>
      </c>
      <c r="I3" s="321"/>
      <c r="J3" s="246"/>
    </row>
    <row r="4" spans="1:10" ht="15" customHeight="1">
      <c r="A4" s="291" t="s">
        <v>426</v>
      </c>
      <c r="B4" s="623">
        <f>+'3.mell. Bevétel'!C23+'6. mell. Int.összesen'!D15</f>
        <v>656115</v>
      </c>
      <c r="C4" s="623">
        <f>+'3.mell. Bevétel'!D23+'6. mell. Int.összesen'!E15</f>
        <v>-5904</v>
      </c>
      <c r="D4" s="859">
        <f>+'3.mell. Bevétel'!E23+'6. mell. Int.összesen'!F15</f>
        <v>650211</v>
      </c>
      <c r="E4" s="864" t="s">
        <v>337</v>
      </c>
      <c r="F4" s="628">
        <f>+'5. mell. Önk.össz kiadás'!D5+'6. mell. Int.összesen'!D55</f>
        <v>272751</v>
      </c>
      <c r="G4" s="628">
        <f>+'5. mell. Önk.össz kiadás'!E5+'6. mell. Int.összesen'!E55</f>
        <v>3215</v>
      </c>
      <c r="H4" s="628">
        <f>+'5. mell. Önk.össz kiadás'!F5+'6. mell. Int.összesen'!F55</f>
        <v>275966</v>
      </c>
      <c r="I4" s="321"/>
      <c r="J4" s="246"/>
    </row>
    <row r="5" spans="1:10" ht="15" customHeight="1">
      <c r="A5" s="291" t="s">
        <v>452</v>
      </c>
      <c r="B5" s="624">
        <f>+'3.mell. Bevétel'!C54+'6. mell. Int.összesen'!D28</f>
        <v>284500</v>
      </c>
      <c r="C5" s="624">
        <f>+'3.mell. Bevétel'!D54+'6. mell. Int.összesen'!E28</f>
        <v>38833</v>
      </c>
      <c r="D5" s="860">
        <f>+'3.mell. Bevétel'!E54+'6. mell. Int.összesen'!F28</f>
        <v>323333</v>
      </c>
      <c r="E5" s="315" t="s">
        <v>338</v>
      </c>
      <c r="F5" s="629">
        <f>+'5. mell. Önk.össz kiadás'!D7+'6. mell. Int.összesen'!D56</f>
        <v>76101</v>
      </c>
      <c r="G5" s="629">
        <f>+'5. mell. Önk.össz kiadás'!E7+'6. mell. Int.összesen'!E56</f>
        <v>-1496</v>
      </c>
      <c r="H5" s="629">
        <f>+'5. mell. Önk.össz kiadás'!F7+'6. mell. Int.összesen'!F56</f>
        <v>74605</v>
      </c>
      <c r="I5" s="321"/>
      <c r="J5" s="246"/>
    </row>
    <row r="6" spans="1:10" ht="15" customHeight="1">
      <c r="A6" s="291" t="s">
        <v>336</v>
      </c>
      <c r="B6" s="624">
        <f>+'3.mell. Bevétel'!C65+'6. mell. Int.összesen'!D36</f>
        <v>42804</v>
      </c>
      <c r="C6" s="624">
        <f>+'3.mell. Bevétel'!D65+'6. mell. Int.összesen'!E36</f>
        <v>8331</v>
      </c>
      <c r="D6" s="860">
        <f>+'3.mell. Bevétel'!E65+'6. mell. Int.összesen'!F36</f>
        <v>51135</v>
      </c>
      <c r="E6" s="315" t="s">
        <v>339</v>
      </c>
      <c r="F6" s="623">
        <f>+'5. mell. Önk.össz kiadás'!D14+'6. mell. Int.összesen'!D63</f>
        <v>189547</v>
      </c>
      <c r="G6" s="623">
        <f>+'5. mell. Önk.össz kiadás'!E14+'6. mell. Int.összesen'!E63</f>
        <v>8804</v>
      </c>
      <c r="H6" s="623">
        <f>+'5. mell. Önk.össz kiadás'!F14+'6. mell. Int.összesen'!F63</f>
        <v>198351</v>
      </c>
      <c r="I6" s="321"/>
      <c r="J6" s="246"/>
    </row>
    <row r="7" spans="1:10" ht="15" customHeight="1">
      <c r="A7" s="315" t="s">
        <v>427</v>
      </c>
      <c r="B7" s="624">
        <f>+'3.mell. Bevétel'!C69+'6. mell. Int.összesen'!D39</f>
        <v>19025</v>
      </c>
      <c r="C7" s="624">
        <f>+'3.mell. Bevétel'!D69+'6. mell. Int.összesen'!E39</f>
        <v>750</v>
      </c>
      <c r="D7" s="860">
        <f>+'3.mell. Bevétel'!E69+'6. mell. Int.összesen'!F39</f>
        <v>19775</v>
      </c>
      <c r="E7" s="315" t="s">
        <v>340</v>
      </c>
      <c r="F7" s="623">
        <f>+'5. mell. Önk.össz kiadás'!D16</f>
        <v>21620</v>
      </c>
      <c r="G7" s="623">
        <f>+'5. mell. Önk.össz kiadás'!E16</f>
        <v>330</v>
      </c>
      <c r="H7" s="623">
        <f>+'5. mell. Önk.össz kiadás'!F16</f>
        <v>21950</v>
      </c>
      <c r="I7" s="321"/>
      <c r="J7" s="246"/>
    </row>
    <row r="8" spans="1:10" ht="15" customHeight="1">
      <c r="A8" s="315"/>
      <c r="B8" s="624"/>
      <c r="C8" s="624"/>
      <c r="D8" s="860"/>
      <c r="E8" s="315" t="s">
        <v>384</v>
      </c>
      <c r="F8" s="623">
        <f>+'5. mell. Önk.össz kiadás'!D18+'6. mell. Int.összesen'!D67-F9</f>
        <v>437156</v>
      </c>
      <c r="G8" s="623">
        <f>+'5. mell. Önk.össz kiadás'!E18+'6. mell. Int.összesen'!E67-G9</f>
        <v>2040</v>
      </c>
      <c r="H8" s="623">
        <f>+'5. mell. Önk.össz kiadás'!F18+'6. mell. Int.összesen'!F67-H9</f>
        <v>439196</v>
      </c>
      <c r="I8" s="321"/>
      <c r="J8" s="246"/>
    </row>
    <row r="9" spans="1:10" ht="15" customHeight="1">
      <c r="A9" s="315"/>
      <c r="B9" s="624"/>
      <c r="C9" s="624"/>
      <c r="D9" s="860"/>
      <c r="E9" s="315" t="s">
        <v>590</v>
      </c>
      <c r="F9" s="623">
        <f>+'5. mell. Önk.össz kiadás'!D19</f>
        <v>204729</v>
      </c>
      <c r="G9" s="623">
        <f>+'5. mell. Önk.össz kiadás'!E19</f>
        <v>599723</v>
      </c>
      <c r="H9" s="623">
        <f>+'5. mell. Önk.össz kiadás'!F19</f>
        <v>804452</v>
      </c>
      <c r="I9" s="321"/>
      <c r="J9" s="246"/>
    </row>
    <row r="10" spans="1:10" ht="15" customHeight="1">
      <c r="A10" s="291"/>
      <c r="B10" s="623"/>
      <c r="C10" s="623"/>
      <c r="D10" s="859"/>
      <c r="E10" s="865"/>
      <c r="F10" s="625"/>
      <c r="G10" s="625"/>
      <c r="H10" s="625"/>
      <c r="I10" s="321"/>
      <c r="J10" s="246"/>
    </row>
    <row r="11" spans="1:10" ht="15" customHeight="1">
      <c r="A11" s="292" t="s">
        <v>283</v>
      </c>
      <c r="B11" s="293">
        <f>+B12</f>
        <v>56840</v>
      </c>
      <c r="C11" s="293">
        <f t="shared" ref="C11:D11" si="0">+C12</f>
        <v>0</v>
      </c>
      <c r="D11" s="861">
        <f t="shared" si="0"/>
        <v>56840</v>
      </c>
      <c r="E11" s="294" t="s">
        <v>274</v>
      </c>
      <c r="F11" s="306">
        <f>+SUM(F12:F13)</f>
        <v>26257</v>
      </c>
      <c r="G11" s="306">
        <f>+SUM(G12:G13)</f>
        <v>0</v>
      </c>
      <c r="H11" s="306">
        <f>+SUM(H12:H13)</f>
        <v>26257</v>
      </c>
      <c r="I11" s="321"/>
      <c r="J11" s="246"/>
    </row>
    <row r="12" spans="1:10" ht="15" customHeight="1">
      <c r="A12" s="291" t="s">
        <v>391</v>
      </c>
      <c r="B12" s="623">
        <f>+'3.mell. Bevétel'!C76+'6. mell. Int.összesen'!D44</f>
        <v>56840</v>
      </c>
      <c r="C12" s="623">
        <f>+'3.mell. Bevétel'!D76+'6. mell. Int.összesen'!E44</f>
        <v>0</v>
      </c>
      <c r="D12" s="859">
        <f>+'3.mell. Bevétel'!E76+'6. mell. Int.összesen'!F44</f>
        <v>56840</v>
      </c>
      <c r="E12" s="866" t="s">
        <v>341</v>
      </c>
      <c r="F12" s="872">
        <f>+'5.g. mell. Egyéb tev.'!D96</f>
        <v>6673</v>
      </c>
      <c r="G12" s="872">
        <v>0</v>
      </c>
      <c r="H12" s="872">
        <v>6673</v>
      </c>
      <c r="I12" s="321"/>
      <c r="J12" s="246"/>
    </row>
    <row r="13" spans="1:10" s="295" customFormat="1" ht="15" customHeight="1">
      <c r="A13" s="316"/>
      <c r="B13" s="625">
        <v>0</v>
      </c>
      <c r="C13" s="625">
        <v>0</v>
      </c>
      <c r="D13" s="862">
        <v>0</v>
      </c>
      <c r="E13" s="871" t="s">
        <v>742</v>
      </c>
      <c r="F13" s="873">
        <f>+'5.g. mell. Egyéb tev.'!D101</f>
        <v>19584</v>
      </c>
      <c r="G13" s="873">
        <f>+'5.g. mell. Egyéb tev.'!E101</f>
        <v>0</v>
      </c>
      <c r="H13" s="873">
        <f>+'5.g. mell. Egyéb tev.'!F101</f>
        <v>19584</v>
      </c>
      <c r="I13" s="321"/>
      <c r="J13" s="246"/>
    </row>
    <row r="14" spans="1:10" ht="14.4">
      <c r="A14" s="291"/>
      <c r="B14" s="623"/>
      <c r="C14" s="623"/>
      <c r="D14" s="859"/>
      <c r="E14" s="871"/>
      <c r="F14" s="873"/>
      <c r="G14" s="873"/>
      <c r="H14" s="873"/>
      <c r="I14" s="246"/>
      <c r="J14" s="246"/>
    </row>
    <row r="15" spans="1:10" ht="13.5" customHeight="1" thickBot="1">
      <c r="A15" s="855"/>
      <c r="B15" s="856"/>
      <c r="C15" s="856"/>
      <c r="D15" s="857"/>
      <c r="E15" s="858"/>
      <c r="F15" s="867"/>
      <c r="G15" s="867"/>
      <c r="H15" s="867"/>
      <c r="I15" s="246"/>
      <c r="J15" s="246"/>
    </row>
    <row r="16" spans="1:10" s="284" customFormat="1" ht="25.5" customHeight="1" thickBot="1">
      <c r="A16" s="296" t="s">
        <v>342</v>
      </c>
      <c r="B16" s="626">
        <f>+B11+B3</f>
        <v>1059284</v>
      </c>
      <c r="C16" s="626">
        <f>+C11+C3</f>
        <v>42010</v>
      </c>
      <c r="D16" s="863">
        <f>+D11+D3</f>
        <v>1101294</v>
      </c>
      <c r="E16" s="296" t="s">
        <v>342</v>
      </c>
      <c r="F16" s="626">
        <f>+F11+F3</f>
        <v>1228161</v>
      </c>
      <c r="G16" s="626">
        <f>+G11+G3</f>
        <v>612616</v>
      </c>
      <c r="H16" s="626">
        <f>+H11+H3</f>
        <v>1840777</v>
      </c>
      <c r="I16" s="321"/>
      <c r="J16" s="246"/>
    </row>
    <row r="17" spans="1:10" s="284" customFormat="1" ht="24" customHeight="1">
      <c r="A17" s="298"/>
      <c r="B17" s="298"/>
      <c r="C17" s="298"/>
      <c r="D17" s="299"/>
      <c r="E17" s="300"/>
      <c r="F17" s="573"/>
      <c r="G17" s="300"/>
      <c r="H17" s="299"/>
      <c r="I17" s="289"/>
      <c r="J17" s="246"/>
    </row>
    <row r="18" spans="1:10" s="284" customFormat="1" ht="15" thickBot="1">
      <c r="A18" s="301"/>
      <c r="B18" s="302"/>
      <c r="C18" s="302"/>
      <c r="D18" s="303"/>
      <c r="E18" s="301"/>
      <c r="F18" s="301"/>
      <c r="G18" s="301"/>
      <c r="H18" s="303"/>
      <c r="I18" s="289"/>
      <c r="J18" s="305"/>
    </row>
    <row r="19" spans="1:10" s="284" customFormat="1" ht="15" thickBot="1">
      <c r="A19" s="575" t="s">
        <v>334</v>
      </c>
      <c r="B19" s="288" t="s">
        <v>870</v>
      </c>
      <c r="C19" s="317" t="s">
        <v>732</v>
      </c>
      <c r="D19" s="288" t="s">
        <v>947</v>
      </c>
      <c r="E19" s="304" t="s">
        <v>335</v>
      </c>
      <c r="F19" s="288" t="s">
        <v>870</v>
      </c>
      <c r="G19" s="317" t="s">
        <v>732</v>
      </c>
      <c r="H19" s="288" t="s">
        <v>947</v>
      </c>
      <c r="I19" s="289"/>
      <c r="J19" s="246"/>
    </row>
    <row r="20" spans="1:10" s="284" customFormat="1" ht="14.4">
      <c r="A20" s="318" t="s">
        <v>465</v>
      </c>
      <c r="B20" s="621">
        <f>+B21+B22</f>
        <v>49905</v>
      </c>
      <c r="C20" s="621">
        <f t="shared" ref="C20:D20" si="1">+C21+C22</f>
        <v>806803</v>
      </c>
      <c r="D20" s="621">
        <f t="shared" si="1"/>
        <v>856708</v>
      </c>
      <c r="E20" s="320" t="s">
        <v>421</v>
      </c>
      <c r="F20" s="293">
        <f>(+F21+F22)+F23</f>
        <v>236834</v>
      </c>
      <c r="G20" s="293">
        <f t="shared" ref="G20:H20" si="2">(+G21+G22)+G23</f>
        <v>36197</v>
      </c>
      <c r="H20" s="293">
        <f t="shared" si="2"/>
        <v>273031</v>
      </c>
      <c r="I20" s="289"/>
      <c r="J20" s="246"/>
    </row>
    <row r="21" spans="1:10" s="284" customFormat="1" ht="14.4">
      <c r="A21" s="319" t="s">
        <v>428</v>
      </c>
      <c r="B21" s="771">
        <f>+'1.mell. Mérleg'!C16</f>
        <v>300</v>
      </c>
      <c r="C21" s="771">
        <f>+'1.mell. Mérleg'!D16</f>
        <v>806803</v>
      </c>
      <c r="D21" s="771">
        <f>+'1.mell. Mérleg'!E16</f>
        <v>807103</v>
      </c>
      <c r="E21" s="291" t="s">
        <v>162</v>
      </c>
      <c r="F21" s="623">
        <f>+'5. mell. Önk.össz kiadás'!D21+'6. mell. Int.összesen'!D69</f>
        <v>186728</v>
      </c>
      <c r="G21" s="623">
        <f>+'5. mell. Önk.össz kiadás'!E21+'6. mell. Int.összesen'!E69</f>
        <v>17659</v>
      </c>
      <c r="H21" s="623">
        <f>+'5. mell. Önk.össz kiadás'!F21+'6. mell. Int.összesen'!F69</f>
        <v>204387</v>
      </c>
      <c r="I21" s="289"/>
      <c r="J21" s="246"/>
    </row>
    <row r="22" spans="1:10" s="284" customFormat="1" ht="14.4">
      <c r="A22" s="319" t="s">
        <v>343</v>
      </c>
      <c r="B22" s="771">
        <f>+'3.mell. Bevétel'!C66+'6. mell. Int.összesen'!D37</f>
        <v>49605</v>
      </c>
      <c r="C22" s="771">
        <f>+'3.mell. Bevétel'!D66+'6. mell. Int.összesen'!E37</f>
        <v>0</v>
      </c>
      <c r="D22" s="771">
        <f>+'3.mell. Bevétel'!E66+'6. mell. Int.összesen'!F37</f>
        <v>49605</v>
      </c>
      <c r="E22" s="291" t="s">
        <v>310</v>
      </c>
      <c r="F22" s="623">
        <f>+'5. mell. Önk.össz kiadás'!D23+'6. mell. Int.összesen'!D71</f>
        <v>37489</v>
      </c>
      <c r="G22" s="623">
        <f>+'5. mell. Önk.össz kiadás'!E23+'6. mell. Int.összesen'!E71</f>
        <v>16538</v>
      </c>
      <c r="H22" s="623">
        <f>+'5. mell. Önk.össz kiadás'!F23+'6. mell. Int.összesen'!F71</f>
        <v>54027</v>
      </c>
      <c r="I22" s="289"/>
      <c r="J22" s="246"/>
    </row>
    <row r="23" spans="1:10" s="284" customFormat="1" ht="14.4">
      <c r="A23" s="319"/>
      <c r="B23" s="771"/>
      <c r="C23" s="771"/>
      <c r="D23" s="771"/>
      <c r="E23" s="291" t="s">
        <v>429</v>
      </c>
      <c r="F23" s="623">
        <f>+'5. mell. Önk.össz kiadás'!D25+'6. mell. Int.összesen'!D73</f>
        <v>12617</v>
      </c>
      <c r="G23" s="623">
        <f>+'5. mell. Önk.össz kiadás'!E25+'6. mell. Int.összesen'!E73</f>
        <v>2000</v>
      </c>
      <c r="H23" s="623">
        <f>+'5. mell. Önk.össz kiadás'!F25+'6. mell. Int.összesen'!F73</f>
        <v>14617</v>
      </c>
      <c r="I23" s="289"/>
      <c r="J23" s="246"/>
    </row>
    <row r="24" spans="1:10" s="284" customFormat="1" ht="14.4">
      <c r="A24" s="319"/>
      <c r="B24" s="623"/>
      <c r="C24" s="623"/>
      <c r="D24" s="623"/>
      <c r="E24" s="291"/>
      <c r="F24" s="623"/>
      <c r="G24" s="623"/>
      <c r="H24" s="623"/>
      <c r="I24" s="289"/>
      <c r="J24" s="246"/>
    </row>
    <row r="25" spans="1:10" s="284" customFormat="1" ht="14.4">
      <c r="A25" s="318" t="s">
        <v>283</v>
      </c>
      <c r="B25" s="621">
        <f>+B26+B27</f>
        <v>355806</v>
      </c>
      <c r="C25" s="621">
        <f t="shared" ref="C25:D25" si="3">+C26+C27</f>
        <v>140000</v>
      </c>
      <c r="D25" s="621">
        <f t="shared" si="3"/>
        <v>495806</v>
      </c>
      <c r="E25" s="294" t="s">
        <v>274</v>
      </c>
      <c r="F25" s="306">
        <f>+F26+F27</f>
        <v>0</v>
      </c>
      <c r="G25" s="306">
        <f t="shared" ref="G25:H25" si="4">+G26+G27</f>
        <v>340000</v>
      </c>
      <c r="H25" s="306">
        <f t="shared" si="4"/>
        <v>340000</v>
      </c>
      <c r="I25" s="289"/>
      <c r="J25" s="246"/>
    </row>
    <row r="26" spans="1:10" s="297" customFormat="1" ht="14.4">
      <c r="A26" s="319" t="s">
        <v>392</v>
      </c>
      <c r="B26" s="623">
        <f>+'3.mell. Bevétel'!C77</f>
        <v>355806</v>
      </c>
      <c r="C26" s="623">
        <f>+'3.mell. Bevétel'!D77</f>
        <v>0</v>
      </c>
      <c r="D26" s="623">
        <f>+'3.mell. Bevétel'!E77</f>
        <v>355806</v>
      </c>
      <c r="E26" s="315" t="s">
        <v>1032</v>
      </c>
      <c r="F26" s="623"/>
      <c r="G26" s="623">
        <v>200000</v>
      </c>
      <c r="H26" s="623">
        <f>+F26+G26</f>
        <v>200000</v>
      </c>
      <c r="I26" s="289"/>
      <c r="J26" s="246"/>
    </row>
    <row r="27" spans="1:10" s="297" customFormat="1" ht="14.4">
      <c r="A27" s="319" t="s">
        <v>1012</v>
      </c>
      <c r="B27" s="623">
        <f>+'1.mell. Mérleg'!C22</f>
        <v>0</v>
      </c>
      <c r="C27" s="623">
        <f>+'1.mell. Mérleg'!D22</f>
        <v>140000</v>
      </c>
      <c r="D27" s="623">
        <f>+'1.mell. Mérleg'!E22</f>
        <v>140000</v>
      </c>
      <c r="E27" s="315" t="s">
        <v>1033</v>
      </c>
      <c r="F27" s="623"/>
      <c r="G27" s="623">
        <v>140000</v>
      </c>
      <c r="H27" s="623">
        <v>140000</v>
      </c>
      <c r="I27" s="289"/>
      <c r="J27" s="246"/>
    </row>
    <row r="28" spans="1:10" ht="14.4">
      <c r="A28" s="319"/>
      <c r="B28" s="623"/>
      <c r="C28" s="623"/>
      <c r="D28" s="623"/>
      <c r="E28" s="294"/>
      <c r="F28" s="306"/>
      <c r="G28" s="306"/>
      <c r="H28" s="306"/>
      <c r="I28" s="246"/>
      <c r="J28" s="246"/>
    </row>
    <row r="29" spans="1:10" ht="14.4">
      <c r="A29" s="319"/>
      <c r="B29" s="623"/>
      <c r="C29" s="623"/>
      <c r="D29" s="623"/>
      <c r="E29" s="291"/>
      <c r="F29" s="623"/>
      <c r="G29" s="623"/>
      <c r="H29" s="623"/>
      <c r="I29" s="246"/>
      <c r="J29" s="246"/>
    </row>
    <row r="30" spans="1:10" ht="15" thickBot="1">
      <c r="A30" s="576" t="s">
        <v>344</v>
      </c>
      <c r="B30" s="622">
        <f>+B20+B25</f>
        <v>405711</v>
      </c>
      <c r="C30" s="622">
        <f>+C20+C25</f>
        <v>946803</v>
      </c>
      <c r="D30" s="622">
        <f>+D20+D25</f>
        <v>1352514</v>
      </c>
      <c r="E30" s="772" t="s">
        <v>344</v>
      </c>
      <c r="F30" s="773">
        <f>+F25+F20</f>
        <v>236834</v>
      </c>
      <c r="G30" s="773">
        <f t="shared" ref="G30:H30" si="5">+G25+G20</f>
        <v>376197</v>
      </c>
      <c r="H30" s="773">
        <f t="shared" si="5"/>
        <v>613031</v>
      </c>
      <c r="I30" s="246"/>
      <c r="J30" s="246"/>
    </row>
    <row r="31" spans="1:10" ht="15" thickBot="1">
      <c r="A31" s="577" t="s">
        <v>278</v>
      </c>
      <c r="B31" s="578">
        <f>B16+B30</f>
        <v>1464995</v>
      </c>
      <c r="C31" s="578">
        <f>C16+C30</f>
        <v>988813</v>
      </c>
      <c r="D31" s="578">
        <f>D16+D30</f>
        <v>2453808</v>
      </c>
      <c r="E31" s="578" t="s">
        <v>278</v>
      </c>
      <c r="F31" s="578">
        <f>F16+F30</f>
        <v>1464995</v>
      </c>
      <c r="G31" s="578">
        <f>G16+G30</f>
        <v>988813</v>
      </c>
      <c r="H31" s="578">
        <f>H16+H30</f>
        <v>2453808</v>
      </c>
      <c r="I31" s="246"/>
      <c r="J31" s="246"/>
    </row>
    <row r="32" spans="1:10" ht="14.4">
      <c r="A32" s="307"/>
      <c r="B32" s="574"/>
      <c r="C32" s="308"/>
      <c r="D32" s="308"/>
      <c r="E32" s="307"/>
      <c r="F32" s="307"/>
      <c r="G32" s="307"/>
      <c r="H32" s="307"/>
      <c r="I32" s="246"/>
      <c r="J32" s="246"/>
    </row>
    <row r="33" spans="1:8" ht="12.75" customHeight="1">
      <c r="A33" s="314"/>
      <c r="B33" s="309"/>
      <c r="C33" s="309"/>
      <c r="D33" s="309"/>
      <c r="E33" s="309"/>
      <c r="F33" s="309"/>
      <c r="G33" s="309"/>
      <c r="H33" s="309"/>
    </row>
    <row r="34" spans="1:8" ht="12.75" customHeight="1">
      <c r="A34" s="246"/>
      <c r="B34" s="309"/>
      <c r="C34" s="309"/>
      <c r="D34" s="309"/>
      <c r="E34" s="309"/>
      <c r="F34" s="309"/>
      <c r="G34" s="309"/>
      <c r="H34" s="246"/>
    </row>
    <row r="35" spans="1:8" ht="12.75" customHeight="1">
      <c r="A35" s="246"/>
      <c r="B35" s="246"/>
      <c r="C35" s="246"/>
      <c r="D35" s="246"/>
      <c r="E35" s="246"/>
      <c r="F35" s="246"/>
      <c r="G35" s="246"/>
      <c r="H35" s="246"/>
    </row>
    <row r="36" spans="1:8" ht="12.75" customHeight="1">
      <c r="A36" s="246"/>
      <c r="B36" s="309"/>
      <c r="C36" s="309"/>
      <c r="D36" s="309"/>
      <c r="E36" s="246"/>
      <c r="F36" s="246"/>
      <c r="G36" s="246"/>
      <c r="H36" s="309"/>
    </row>
  </sheetData>
  <printOptions horizontalCentered="1"/>
  <pageMargins left="0.70866141732283472" right="0.70866141732283472" top="0.85" bottom="0.74803149606299213" header="0.31496062992125984" footer="0.31496062992125984"/>
  <pageSetup paperSize="9" scale="91" orientation="landscape" r:id="rId1"/>
  <headerFooter>
    <oddHeader>&amp;C&amp;"Times New Roman,Félkövér"&amp;14Martonvásár Város Önkormányzata 
2016. évi költségvetésének pénzügyi mérlege&amp;R&amp;"Times New Roman,Normál"&amp;12 2. 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2"/>
  <sheetViews>
    <sheetView workbookViewId="0">
      <selection activeCell="P3" sqref="P3:P4"/>
    </sheetView>
  </sheetViews>
  <sheetFormatPr defaultColWidth="9.109375" defaultRowHeight="13.2"/>
  <cols>
    <col min="1" max="1" width="5.6640625" style="709" customWidth="1"/>
    <col min="2" max="2" width="24.33203125" style="709" customWidth="1"/>
    <col min="3" max="3" width="7.44140625" style="709" customWidth="1"/>
    <col min="4" max="4" width="7.5546875" style="709" customWidth="1"/>
    <col min="5" max="5" width="7.33203125" style="709" customWidth="1"/>
    <col min="6" max="6" width="7.44140625" style="709" customWidth="1"/>
    <col min="7" max="7" width="6.6640625" style="709" customWidth="1"/>
    <col min="8" max="8" width="7.88671875" style="709" customWidth="1"/>
    <col min="9" max="9" width="8" style="709" bestFit="1" customWidth="1"/>
    <col min="10" max="10" width="6.44140625" style="709" bestFit="1" customWidth="1"/>
    <col min="11" max="11" width="8" style="709" customWidth="1"/>
    <col min="12" max="12" width="8.88671875" style="709" customWidth="1"/>
    <col min="13" max="13" width="8.109375" style="709" customWidth="1"/>
    <col min="14" max="14" width="7.33203125" style="709" customWidth="1"/>
    <col min="15" max="15" width="7.88671875" style="709" customWidth="1"/>
    <col min="16" max="18" width="8.109375" style="709" customWidth="1"/>
    <col min="19" max="19" width="8.88671875" style="709" customWidth="1"/>
    <col min="20" max="20" width="9" style="709" customWidth="1"/>
    <col min="21" max="21" width="9.44140625" style="709" customWidth="1"/>
    <col min="22" max="22" width="7.109375" style="709" customWidth="1"/>
    <col min="23" max="24" width="8.109375" style="709" customWidth="1"/>
    <col min="25" max="25" width="7.33203125" style="709" customWidth="1"/>
    <col min="26" max="27" width="7.88671875" style="709" customWidth="1"/>
    <col min="28" max="28" width="8.5546875" style="709" customWidth="1"/>
    <col min="29" max="29" width="7.6640625" style="709" customWidth="1"/>
    <col min="30" max="31" width="7.5546875" style="709" customWidth="1"/>
    <col min="32" max="32" width="8.6640625" style="709" customWidth="1"/>
    <col min="33" max="33" width="9.33203125" style="709" customWidth="1"/>
    <col min="34" max="16384" width="9.109375" style="709"/>
  </cols>
  <sheetData>
    <row r="1" spans="1:38" ht="13.8" thickBot="1">
      <c r="AD1" s="1131" t="s">
        <v>399</v>
      </c>
      <c r="AE1" s="1131"/>
      <c r="AF1" s="1131"/>
      <c r="AG1" s="1131"/>
    </row>
    <row r="2" spans="1:38" ht="31.5" customHeight="1">
      <c r="A2" s="1147" t="s">
        <v>345</v>
      </c>
      <c r="B2" s="1149" t="s">
        <v>1030</v>
      </c>
      <c r="C2" s="1151" t="s">
        <v>305</v>
      </c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67" t="s">
        <v>285</v>
      </c>
      <c r="U2" s="1151" t="s">
        <v>298</v>
      </c>
      <c r="V2" s="1169"/>
      <c r="W2" s="1169"/>
      <c r="X2" s="1169"/>
      <c r="Y2" s="1169"/>
      <c r="Z2" s="1169"/>
      <c r="AA2" s="1169"/>
      <c r="AB2" s="1169"/>
      <c r="AC2" s="1169"/>
      <c r="AD2" s="1169"/>
      <c r="AE2" s="1169"/>
      <c r="AF2" s="1169"/>
      <c r="AG2" s="1170" t="s">
        <v>745</v>
      </c>
      <c r="AL2" s="711"/>
    </row>
    <row r="3" spans="1:38" ht="25.5" customHeight="1">
      <c r="A3" s="1148"/>
      <c r="B3" s="1146"/>
      <c r="C3" s="1146" t="s">
        <v>781</v>
      </c>
      <c r="D3" s="1146" t="s">
        <v>782</v>
      </c>
      <c r="E3" s="1146" t="s">
        <v>152</v>
      </c>
      <c r="F3" s="1146" t="s">
        <v>809</v>
      </c>
      <c r="G3" s="1146" t="s">
        <v>164</v>
      </c>
      <c r="H3" s="1172"/>
      <c r="I3" s="1146" t="s">
        <v>749</v>
      </c>
      <c r="J3" s="1146" t="s">
        <v>784</v>
      </c>
      <c r="K3" s="1146" t="s">
        <v>810</v>
      </c>
      <c r="L3" s="1146" t="s">
        <v>811</v>
      </c>
      <c r="M3" s="1146" t="s">
        <v>753</v>
      </c>
      <c r="N3" s="1146" t="s">
        <v>754</v>
      </c>
      <c r="O3" s="1146" t="s">
        <v>698</v>
      </c>
      <c r="P3" s="1146" t="s">
        <v>812</v>
      </c>
      <c r="Q3" s="1146" t="s">
        <v>813</v>
      </c>
      <c r="R3" s="1146" t="s">
        <v>757</v>
      </c>
      <c r="S3" s="1146" t="s">
        <v>696</v>
      </c>
      <c r="T3" s="1168"/>
      <c r="U3" s="1173" t="s">
        <v>759</v>
      </c>
      <c r="V3" s="1146" t="s">
        <v>760</v>
      </c>
      <c r="W3" s="1146" t="s">
        <v>753</v>
      </c>
      <c r="X3" s="1146" t="s">
        <v>814</v>
      </c>
      <c r="Y3" s="1146" t="s">
        <v>786</v>
      </c>
      <c r="Z3" s="1157"/>
      <c r="AA3" s="1158" t="s">
        <v>787</v>
      </c>
      <c r="AB3" s="1146" t="s">
        <v>815</v>
      </c>
      <c r="AC3" s="1146" t="s">
        <v>816</v>
      </c>
      <c r="AD3" s="1157"/>
      <c r="AE3" s="1174" t="s">
        <v>283</v>
      </c>
      <c r="AF3" s="1146" t="s">
        <v>768</v>
      </c>
      <c r="AG3" s="1171"/>
    </row>
    <row r="4" spans="1:38" ht="27" customHeight="1">
      <c r="A4" s="1148"/>
      <c r="B4" s="1146"/>
      <c r="C4" s="1146"/>
      <c r="D4" s="1146"/>
      <c r="E4" s="1146"/>
      <c r="F4" s="1146"/>
      <c r="G4" s="751" t="s">
        <v>769</v>
      </c>
      <c r="H4" s="751" t="s">
        <v>770</v>
      </c>
      <c r="I4" s="1146"/>
      <c r="J4" s="1146"/>
      <c r="K4" s="1146"/>
      <c r="L4" s="1146"/>
      <c r="M4" s="1146"/>
      <c r="N4" s="1146"/>
      <c r="O4" s="1146"/>
      <c r="P4" s="1146"/>
      <c r="Q4" s="1146"/>
      <c r="R4" s="1146"/>
      <c r="S4" s="1146"/>
      <c r="T4" s="1168"/>
      <c r="U4" s="1173"/>
      <c r="V4" s="1146"/>
      <c r="W4" s="1146"/>
      <c r="X4" s="1157"/>
      <c r="Y4" s="751" t="s">
        <v>796</v>
      </c>
      <c r="Z4" s="751" t="s">
        <v>797</v>
      </c>
      <c r="AA4" s="1158"/>
      <c r="AB4" s="1157"/>
      <c r="AC4" s="751" t="s">
        <v>796</v>
      </c>
      <c r="AD4" s="751" t="s">
        <v>797</v>
      </c>
      <c r="AE4" s="1175"/>
      <c r="AF4" s="1146"/>
      <c r="AG4" s="1171"/>
    </row>
    <row r="5" spans="1:38">
      <c r="A5" s="723">
        <v>1</v>
      </c>
      <c r="B5" s="729" t="s">
        <v>817</v>
      </c>
      <c r="C5" s="730">
        <f>+'12.a Tételes mód ÖNK'!D49</f>
        <v>640</v>
      </c>
      <c r="D5" s="730">
        <f>+'12.a Tételes mód ÖNK'!E49</f>
        <v>1</v>
      </c>
      <c r="E5" s="730">
        <f>+'12.a Tételes mód ÖNK'!F49</f>
        <v>5608</v>
      </c>
      <c r="F5" s="730">
        <f>+'12.a Tételes mód ÖNK'!G49</f>
        <v>330</v>
      </c>
      <c r="G5" s="730">
        <f>+'12.a Tételes mód ÖNK'!H49</f>
        <v>-1158</v>
      </c>
      <c r="H5" s="730">
        <f>+'12.a Tételes mód ÖNK'!I49</f>
        <v>3150</v>
      </c>
      <c r="I5" s="730">
        <f>+'12.a Tételes mód ÖNK'!J49</f>
        <v>14462</v>
      </c>
      <c r="J5" s="730">
        <f>+'12.a Tételes mód ÖNK'!K49</f>
        <v>16538</v>
      </c>
      <c r="K5" s="730">
        <f>+'12.a Tételes mód ÖNK'!L49</f>
        <v>2000</v>
      </c>
      <c r="L5" s="730">
        <f>+'12.a Tételes mód ÖNK'!M49</f>
        <v>0</v>
      </c>
      <c r="M5" s="730">
        <f>+'12.a Tételes mód ÖNK'!N49</f>
        <v>-1710</v>
      </c>
      <c r="N5" s="730">
        <f>+'12.a Tételes mód ÖNK'!O49</f>
        <v>340000</v>
      </c>
      <c r="O5" s="730">
        <f>+'12.a Tételes mód ÖNK'!P49</f>
        <v>33566</v>
      </c>
      <c r="P5" s="730">
        <f>+'12.a Tételes mód ÖNK'!Q49</f>
        <v>-217</v>
      </c>
      <c r="Q5" s="730">
        <f>+'12.a Tételes mód ÖNK'!R49</f>
        <v>575205</v>
      </c>
      <c r="R5" s="730">
        <f>+'12.a Tételes mód ÖNK'!S49</f>
        <v>-8660</v>
      </c>
      <c r="S5" s="730">
        <f>+'12.a Tételes mód ÖNK'!T49</f>
        <v>-171</v>
      </c>
      <c r="T5" s="731">
        <f>SUM(C5:S5)</f>
        <v>979584</v>
      </c>
      <c r="U5" s="731">
        <f>+'12.a Tételes mód ÖNK'!V49</f>
        <v>38833</v>
      </c>
      <c r="V5" s="731">
        <f>+'12.a Tételes mód ÖNK'!W49</f>
        <v>0</v>
      </c>
      <c r="W5" s="731"/>
      <c r="X5" s="731">
        <f>+'12.a Tételes mód ÖNK'!X49</f>
        <v>-6802</v>
      </c>
      <c r="Y5" s="731">
        <f>+'12.a Tételes mód ÖNK'!Y49</f>
        <v>750</v>
      </c>
      <c r="Z5" s="731">
        <f>+'12.a Tételes mód ÖNK'!Z49</f>
        <v>0</v>
      </c>
      <c r="AA5" s="731">
        <f>+'12.a Tételes mód ÖNK'!AA49</f>
        <v>0</v>
      </c>
      <c r="AB5" s="731">
        <f>+'12.a Tételes mód ÖNK'!AB49</f>
        <v>800763</v>
      </c>
      <c r="AC5" s="731">
        <f>+'12.a Tételes mód ÖNK'!AC49</f>
        <v>6040</v>
      </c>
      <c r="AD5" s="731">
        <f>+'12.a Tételes mód ÖNK'!AD49</f>
        <v>0</v>
      </c>
      <c r="AE5" s="731">
        <f>+'12.a Tételes mód ÖNK'!AE49</f>
        <v>140000</v>
      </c>
      <c r="AF5" s="731">
        <f>+'12.a Tételes mód ÖNK'!AF49</f>
        <v>0</v>
      </c>
      <c r="AG5" s="732">
        <f>SUM(U5:AF5)</f>
        <v>979584</v>
      </c>
    </row>
    <row r="6" spans="1:38">
      <c r="A6" s="723">
        <v>2</v>
      </c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33"/>
    </row>
    <row r="7" spans="1:38">
      <c r="A7" s="723">
        <v>3</v>
      </c>
      <c r="B7" s="724" t="s">
        <v>288</v>
      </c>
      <c r="C7" s="725">
        <f>+'12.b Tételes mód PH '!D13</f>
        <v>1558</v>
      </c>
      <c r="D7" s="725">
        <f>+'12.b Tételes mód PH '!E13</f>
        <v>-717</v>
      </c>
      <c r="E7" s="725">
        <f>+'12.b Tételes mód PH '!L13</f>
        <v>1784</v>
      </c>
      <c r="F7" s="725"/>
      <c r="G7" s="725">
        <f>+'12.b Tételes mód PH '!M13</f>
        <v>0</v>
      </c>
      <c r="H7" s="725">
        <f>+'12.b Tételes mód PH '!N13</f>
        <v>0</v>
      </c>
      <c r="I7" s="725">
        <f>+'12.b Tételes mód PH '!O13</f>
        <v>2038</v>
      </c>
      <c r="J7" s="725">
        <f>+'12.b Tételes mód PH '!P13</f>
        <v>0</v>
      </c>
      <c r="K7" s="725">
        <f>+'12.b Tételes mód PH '!Q13</f>
        <v>0</v>
      </c>
      <c r="L7" s="725"/>
      <c r="M7" s="725"/>
      <c r="N7" s="724"/>
      <c r="O7" s="724"/>
      <c r="P7" s="724"/>
      <c r="Q7" s="724"/>
      <c r="R7" s="724"/>
      <c r="S7" s="724"/>
      <c r="T7" s="730">
        <f>SUM(C7:S7)</f>
        <v>4663</v>
      </c>
      <c r="U7" s="725">
        <f>+'12.b Tételes mód PH '!S13</f>
        <v>0</v>
      </c>
      <c r="V7" s="725">
        <f>+'12.b Tételes mód PH '!T13</f>
        <v>112</v>
      </c>
      <c r="W7" s="725">
        <f>+'12.b Tételes mód PH '!U13</f>
        <v>3653</v>
      </c>
      <c r="X7" s="725"/>
      <c r="Y7" s="725">
        <f>+'12.b Tételes mód PH '!V13</f>
        <v>898</v>
      </c>
      <c r="Z7" s="725">
        <f>+'12.b Tételes mód PH '!W13</f>
        <v>0</v>
      </c>
      <c r="AA7" s="725">
        <f>+'12.b Tételes mód PH '!X13</f>
        <v>0</v>
      </c>
      <c r="AB7" s="724"/>
      <c r="AC7" s="725">
        <f>+'12.b Tételes mód PH '!Y13</f>
        <v>0</v>
      </c>
      <c r="AD7" s="725">
        <f>+'12.b Tételes mód PH '!Z13</f>
        <v>0</v>
      </c>
      <c r="AE7" s="725"/>
      <c r="AF7" s="725">
        <f>+'12.b Tételes mód PH '!AA13</f>
        <v>0</v>
      </c>
      <c r="AG7" s="734">
        <f>SUM(U7:AF7)</f>
        <v>4663</v>
      </c>
    </row>
    <row r="8" spans="1:38">
      <c r="A8" s="723">
        <v>4</v>
      </c>
      <c r="B8" s="724" t="s">
        <v>289</v>
      </c>
      <c r="C8" s="725">
        <f>+'12.c Tételes mód. Óvoda '!D13</f>
        <v>-1572</v>
      </c>
      <c r="D8" s="725">
        <f>+'12.c Tételes mód. Óvoda '!E13</f>
        <v>-952</v>
      </c>
      <c r="E8" s="725">
        <f>+'12.c Tételes mód. Óvoda '!L13</f>
        <v>-89</v>
      </c>
      <c r="F8" s="725"/>
      <c r="G8" s="725">
        <f>+'12.c Tételes mód. Óvoda '!M13</f>
        <v>0</v>
      </c>
      <c r="H8" s="725">
        <f>+'12.c Tételes mód. Óvoda '!N13</f>
        <v>36</v>
      </c>
      <c r="I8" s="725">
        <f>+'12.c Tételes mód. Óvoda '!O13</f>
        <v>205</v>
      </c>
      <c r="J8" s="725">
        <f>+'12.c Tételes mód. Óvoda '!P13</f>
        <v>0</v>
      </c>
      <c r="K8" s="725"/>
      <c r="L8" s="724"/>
      <c r="M8" s="724"/>
      <c r="N8" s="724"/>
      <c r="O8" s="724"/>
      <c r="P8" s="724"/>
      <c r="Q8" s="724"/>
      <c r="R8" s="724"/>
      <c r="S8" s="724"/>
      <c r="T8" s="730">
        <f>SUM(C8:S8)</f>
        <v>-2372</v>
      </c>
      <c r="U8" s="725">
        <f>+'12.c Tételes mód. Óvoda '!V13</f>
        <v>0</v>
      </c>
      <c r="V8" s="725">
        <f>+'12.c Tételes mód. Óvoda '!W13</f>
        <v>0</v>
      </c>
      <c r="W8" s="725">
        <f>+'12.c Tételes mód. Óvoda '!X13</f>
        <v>-2372</v>
      </c>
      <c r="X8" s="725"/>
      <c r="Y8" s="725">
        <f>+'12.c Tételes mód. Óvoda '!Y13</f>
        <v>0</v>
      </c>
      <c r="Z8" s="725">
        <f>+'12.c Tételes mód. Óvoda '!Z13</f>
        <v>0</v>
      </c>
      <c r="AA8" s="725"/>
      <c r="AB8" s="725"/>
      <c r="AC8" s="725">
        <f>+'12.c Tételes mód. Óvoda '!AA13</f>
        <v>0</v>
      </c>
      <c r="AD8" s="725">
        <f>+'12.c Tételes mód. Óvoda '!AB13</f>
        <v>0</v>
      </c>
      <c r="AE8" s="725"/>
      <c r="AF8" s="725">
        <f>+'12.c Tételes mód. Óvoda '!AC13</f>
        <v>0</v>
      </c>
      <c r="AG8" s="734">
        <f>SUM(U8:AF8)</f>
        <v>-2372</v>
      </c>
    </row>
    <row r="9" spans="1:38">
      <c r="A9" s="723">
        <v>5</v>
      </c>
      <c r="B9" s="724" t="s">
        <v>369</v>
      </c>
      <c r="C9" s="725">
        <f>+'12.d Tételes mód. BBK'!C13</f>
        <v>2589</v>
      </c>
      <c r="D9" s="725">
        <f>+'12.d Tételes mód. BBK'!D13</f>
        <v>172</v>
      </c>
      <c r="E9" s="725">
        <f>+'12.d Tételes mód. BBK'!K13</f>
        <v>1501</v>
      </c>
      <c r="F9" s="725"/>
      <c r="G9" s="725">
        <f>+'12.d Tételes mód. BBK'!L13</f>
        <v>0</v>
      </c>
      <c r="H9" s="725">
        <f>+'12.d Tételes mód. BBK'!M13</f>
        <v>12</v>
      </c>
      <c r="I9" s="725">
        <f>+'12.d Tételes mód. BBK'!N13</f>
        <v>954</v>
      </c>
      <c r="J9" s="725">
        <f>+'12.d Tételes mód. BBK'!O13</f>
        <v>0</v>
      </c>
      <c r="K9" s="725"/>
      <c r="L9" s="725"/>
      <c r="M9" s="725"/>
      <c r="N9" s="725"/>
      <c r="O9" s="725"/>
      <c r="P9" s="725">
        <v>0</v>
      </c>
      <c r="Q9" s="725">
        <v>0</v>
      </c>
      <c r="R9" s="725"/>
      <c r="S9" s="724"/>
      <c r="T9" s="730">
        <f>SUM(C9:S9)</f>
        <v>5228</v>
      </c>
      <c r="U9" s="725">
        <v>0</v>
      </c>
      <c r="V9" s="725">
        <f>+'12.d Tételes mód. BBK'!V13</f>
        <v>8219</v>
      </c>
      <c r="W9" s="725">
        <f>+'12.d Tételes mód. BBK'!W13</f>
        <v>-2991</v>
      </c>
      <c r="X9" s="725"/>
      <c r="Y9" s="725">
        <f>+'12.d Tételes mód. BBK'!X13</f>
        <v>0</v>
      </c>
      <c r="Z9" s="725">
        <v>0</v>
      </c>
      <c r="AA9" s="725"/>
      <c r="AB9" s="725"/>
      <c r="AC9" s="725">
        <v>0</v>
      </c>
      <c r="AD9" s="725">
        <v>0</v>
      </c>
      <c r="AE9" s="725"/>
      <c r="AF9" s="725">
        <f>+'12.d Tételes mód. BBK'!AB13</f>
        <v>0</v>
      </c>
      <c r="AG9" s="735">
        <f>SUM(V9:AF9)</f>
        <v>5228</v>
      </c>
    </row>
    <row r="10" spans="1:38">
      <c r="A10" s="723">
        <v>6</v>
      </c>
      <c r="B10" s="729" t="s">
        <v>296</v>
      </c>
      <c r="C10" s="729">
        <f t="shared" ref="C10:K10" si="0">SUM(C7:C9)</f>
        <v>2575</v>
      </c>
      <c r="D10" s="729">
        <f t="shared" si="0"/>
        <v>-1497</v>
      </c>
      <c r="E10" s="729">
        <f t="shared" si="0"/>
        <v>3196</v>
      </c>
      <c r="F10" s="729">
        <f t="shared" si="0"/>
        <v>0</v>
      </c>
      <c r="G10" s="729">
        <f t="shared" si="0"/>
        <v>0</v>
      </c>
      <c r="H10" s="730">
        <f t="shared" si="0"/>
        <v>48</v>
      </c>
      <c r="I10" s="730">
        <f t="shared" si="0"/>
        <v>3197</v>
      </c>
      <c r="J10" s="729">
        <f t="shared" si="0"/>
        <v>0</v>
      </c>
      <c r="K10" s="729">
        <f t="shared" si="0"/>
        <v>0</v>
      </c>
      <c r="L10" s="729"/>
      <c r="M10" s="729">
        <f>SUM(M7:M9)</f>
        <v>0</v>
      </c>
      <c r="N10" s="729">
        <f>SUM(N7:N9)</f>
        <v>0</v>
      </c>
      <c r="O10" s="729">
        <f>SUM(O7:O9)</f>
        <v>0</v>
      </c>
      <c r="P10" s="729"/>
      <c r="Q10" s="729">
        <f t="shared" ref="Q10:AA10" si="1">SUM(Q7:Q9)</f>
        <v>0</v>
      </c>
      <c r="R10" s="729"/>
      <c r="S10" s="729">
        <f t="shared" si="1"/>
        <v>0</v>
      </c>
      <c r="T10" s="729">
        <f t="shared" si="1"/>
        <v>7519</v>
      </c>
      <c r="U10" s="730">
        <f t="shared" si="1"/>
        <v>0</v>
      </c>
      <c r="V10" s="730">
        <f>SUM(V7:V9)</f>
        <v>8331</v>
      </c>
      <c r="W10" s="729">
        <f t="shared" si="1"/>
        <v>-1710</v>
      </c>
      <c r="X10" s="729">
        <f t="shared" si="1"/>
        <v>0</v>
      </c>
      <c r="Y10" s="729">
        <f t="shared" si="1"/>
        <v>898</v>
      </c>
      <c r="Z10" s="729">
        <f t="shared" si="1"/>
        <v>0</v>
      </c>
      <c r="AA10" s="729">
        <f t="shared" si="1"/>
        <v>0</v>
      </c>
      <c r="AB10" s="729"/>
      <c r="AC10" s="729">
        <f>SUM(AC7:AC9)</f>
        <v>0</v>
      </c>
      <c r="AD10" s="729">
        <f>SUM(AD7:AD9)</f>
        <v>0</v>
      </c>
      <c r="AE10" s="729"/>
      <c r="AF10" s="729">
        <f>SUM(AF7:AF9)</f>
        <v>0</v>
      </c>
      <c r="AG10" s="735">
        <f>SUM(AG7:AG9)</f>
        <v>7519</v>
      </c>
    </row>
    <row r="11" spans="1:38">
      <c r="A11" s="723">
        <v>7</v>
      </c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>
        <f>SUM(C11:S11)</f>
        <v>0</v>
      </c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35">
        <f>SUM(V11:AF11)</f>
        <v>0</v>
      </c>
    </row>
    <row r="12" spans="1:38" ht="13.8" thickBot="1">
      <c r="A12" s="736">
        <v>8</v>
      </c>
      <c r="B12" s="759" t="s">
        <v>278</v>
      </c>
      <c r="C12" s="737">
        <f t="shared" ref="C12:L12" si="2">C5+C10</f>
        <v>3215</v>
      </c>
      <c r="D12" s="737">
        <f t="shared" si="2"/>
        <v>-1496</v>
      </c>
      <c r="E12" s="737">
        <f t="shared" si="2"/>
        <v>8804</v>
      </c>
      <c r="F12" s="737">
        <f t="shared" si="2"/>
        <v>330</v>
      </c>
      <c r="G12" s="737">
        <f t="shared" si="2"/>
        <v>-1158</v>
      </c>
      <c r="H12" s="737">
        <f t="shared" si="2"/>
        <v>3198</v>
      </c>
      <c r="I12" s="737">
        <f t="shared" si="2"/>
        <v>17659</v>
      </c>
      <c r="J12" s="737">
        <f t="shared" si="2"/>
        <v>16538</v>
      </c>
      <c r="K12" s="737">
        <f t="shared" si="2"/>
        <v>2000</v>
      </c>
      <c r="L12" s="737">
        <f t="shared" si="2"/>
        <v>0</v>
      </c>
      <c r="M12" s="737"/>
      <c r="N12" s="737">
        <f t="shared" ref="N12:S12" si="3">N5+N10</f>
        <v>340000</v>
      </c>
      <c r="O12" s="737">
        <f t="shared" si="3"/>
        <v>33566</v>
      </c>
      <c r="P12" s="737">
        <f t="shared" si="3"/>
        <v>-217</v>
      </c>
      <c r="Q12" s="737">
        <f t="shared" si="3"/>
        <v>575205</v>
      </c>
      <c r="R12" s="737">
        <f t="shared" si="3"/>
        <v>-8660</v>
      </c>
      <c r="S12" s="737">
        <f t="shared" si="3"/>
        <v>-171</v>
      </c>
      <c r="T12" s="737">
        <f>SUM(C12:S12)</f>
        <v>988813</v>
      </c>
      <c r="U12" s="737">
        <f>U5+U10</f>
        <v>38833</v>
      </c>
      <c r="V12" s="737">
        <f>V5+V10</f>
        <v>8331</v>
      </c>
      <c r="W12" s="737"/>
      <c r="X12" s="737">
        <f t="shared" ref="X12:AF12" si="4">X5+X10</f>
        <v>-6802</v>
      </c>
      <c r="Y12" s="737">
        <f t="shared" si="4"/>
        <v>1648</v>
      </c>
      <c r="Z12" s="737">
        <f t="shared" si="4"/>
        <v>0</v>
      </c>
      <c r="AA12" s="737">
        <f t="shared" si="4"/>
        <v>0</v>
      </c>
      <c r="AB12" s="737">
        <f t="shared" si="4"/>
        <v>800763</v>
      </c>
      <c r="AC12" s="737">
        <f t="shared" si="4"/>
        <v>6040</v>
      </c>
      <c r="AD12" s="737">
        <f t="shared" si="4"/>
        <v>0</v>
      </c>
      <c r="AE12" s="737">
        <f t="shared" si="4"/>
        <v>140000</v>
      </c>
      <c r="AF12" s="737">
        <f t="shared" si="4"/>
        <v>0</v>
      </c>
      <c r="AG12" s="750">
        <f>SUM(U12:AF12)</f>
        <v>988813</v>
      </c>
    </row>
  </sheetData>
  <mergeCells count="33">
    <mergeCell ref="Q3:Q4"/>
    <mergeCell ref="AA3:AA4"/>
    <mergeCell ref="AB3:AB4"/>
    <mergeCell ref="AC3:AD3"/>
    <mergeCell ref="AF3:AF4"/>
    <mergeCell ref="S3:S4"/>
    <mergeCell ref="U3:U4"/>
    <mergeCell ref="V3:V4"/>
    <mergeCell ref="W3:W4"/>
    <mergeCell ref="X3:X4"/>
    <mergeCell ref="Y3:Z3"/>
    <mergeCell ref="AE3:AE4"/>
    <mergeCell ref="L3:L4"/>
    <mergeCell ref="M3:M4"/>
    <mergeCell ref="N3:N4"/>
    <mergeCell ref="O3:O4"/>
    <mergeCell ref="P3:P4"/>
    <mergeCell ref="AD1:AG1"/>
    <mergeCell ref="A2:A4"/>
    <mergeCell ref="B2:B4"/>
    <mergeCell ref="C2:S2"/>
    <mergeCell ref="T2:T4"/>
    <mergeCell ref="U2:AF2"/>
    <mergeCell ref="AG2:AG4"/>
    <mergeCell ref="C3:C4"/>
    <mergeCell ref="D3:D4"/>
    <mergeCell ref="E3:E4"/>
    <mergeCell ref="R3:R4"/>
    <mergeCell ref="F3:F4"/>
    <mergeCell ref="G3:H3"/>
    <mergeCell ref="I3:I4"/>
    <mergeCell ref="J3:J4"/>
    <mergeCell ref="K3:K4"/>
  </mergeCells>
  <printOptions horizontalCentered="1"/>
  <pageMargins left="0.39370078740157483" right="0.35433070866141736" top="0.9055118110236221" bottom="0.74803149606299213" header="0.31496062992125984" footer="0.31496062992125984"/>
  <pageSetup paperSize="9" scale="51" orientation="landscape" r:id="rId1"/>
  <headerFooter>
    <oddHeader>&amp;C&amp;"Times New Roman CE,Félkövér"&amp;14Konszolidált előirányzat módosítás 
Martonvásár Város Önkormányzata és intézményei 2016. év&amp;R&amp;"Times New Roman CE,Normál"&amp;10
12.e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0"/>
  <sheetViews>
    <sheetView workbookViewId="0">
      <selection activeCell="D7" sqref="D7"/>
    </sheetView>
  </sheetViews>
  <sheetFormatPr defaultColWidth="9.109375" defaultRowHeight="13.2"/>
  <cols>
    <col min="1" max="1" width="6.33203125" style="96" customWidth="1"/>
    <col min="2" max="2" width="57" style="93" customWidth="1"/>
    <col min="3" max="5" width="10.88671875" style="93" customWidth="1"/>
    <col min="6" max="16384" width="9.109375" style="93"/>
  </cols>
  <sheetData>
    <row r="1" spans="1:7" ht="15.6">
      <c r="A1" s="923"/>
      <c r="B1" s="923"/>
      <c r="C1" s="923"/>
      <c r="D1" s="923"/>
      <c r="E1" s="923"/>
      <c r="G1" s="531"/>
    </row>
    <row r="2" spans="1:7" ht="11.25" customHeight="1">
      <c r="B2" s="433"/>
      <c r="C2" s="926" t="s">
        <v>396</v>
      </c>
      <c r="D2" s="926"/>
      <c r="E2" s="926"/>
    </row>
    <row r="3" spans="1:7" s="89" customFormat="1" ht="15" customHeight="1">
      <c r="A3" s="924" t="s">
        <v>0</v>
      </c>
      <c r="B3" s="924" t="s">
        <v>180</v>
      </c>
      <c r="C3" s="925" t="s">
        <v>612</v>
      </c>
      <c r="D3" s="925"/>
      <c r="E3" s="925"/>
    </row>
    <row r="4" spans="1:7" s="90" customFormat="1">
      <c r="A4" s="924"/>
      <c r="B4" s="924"/>
      <c r="C4" s="847" t="s">
        <v>870</v>
      </c>
      <c r="D4" s="619" t="s">
        <v>732</v>
      </c>
      <c r="E4" s="847" t="s">
        <v>947</v>
      </c>
    </row>
    <row r="5" spans="1:7" s="92" customFormat="1" ht="12.75" customHeight="1">
      <c r="A5" s="74" t="s">
        <v>192</v>
      </c>
      <c r="B5" s="14" t="s">
        <v>191</v>
      </c>
      <c r="C5" s="630">
        <v>121631</v>
      </c>
      <c r="D5" s="630"/>
      <c r="E5" s="630">
        <f>+C5+D5</f>
        <v>121631</v>
      </c>
    </row>
    <row r="6" spans="1:7" s="92" customFormat="1" ht="12.75" customHeight="1">
      <c r="A6" s="74" t="s">
        <v>194</v>
      </c>
      <c r="B6" s="66" t="s">
        <v>193</v>
      </c>
      <c r="C6" s="630">
        <v>301826</v>
      </c>
      <c r="D6" s="630">
        <v>-5351</v>
      </c>
      <c r="E6" s="630">
        <f t="shared" ref="E6:E10" si="0">+C6+D6</f>
        <v>296475</v>
      </c>
    </row>
    <row r="7" spans="1:7" s="92" customFormat="1" ht="12.75" customHeight="1">
      <c r="A7" s="74" t="s">
        <v>196</v>
      </c>
      <c r="B7" s="66" t="s">
        <v>195</v>
      </c>
      <c r="C7" s="630">
        <v>166483</v>
      </c>
      <c r="D7" s="630">
        <v>-3939</v>
      </c>
      <c r="E7" s="630">
        <f t="shared" si="0"/>
        <v>162544</v>
      </c>
    </row>
    <row r="8" spans="1:7" ht="12.75" customHeight="1">
      <c r="A8" s="74" t="s">
        <v>198</v>
      </c>
      <c r="B8" s="66" t="s">
        <v>197</v>
      </c>
      <c r="C8" s="630">
        <v>6424</v>
      </c>
      <c r="D8" s="630">
        <v>334</v>
      </c>
      <c r="E8" s="630">
        <f t="shared" si="0"/>
        <v>6758</v>
      </c>
    </row>
    <row r="9" spans="1:7" s="94" customFormat="1" ht="12.75" customHeight="1">
      <c r="A9" s="74" t="s">
        <v>199</v>
      </c>
      <c r="B9" s="66" t="s">
        <v>703</v>
      </c>
      <c r="C9" s="630">
        <v>2176</v>
      </c>
      <c r="D9" s="631">
        <v>1809</v>
      </c>
      <c r="E9" s="630">
        <f t="shared" si="0"/>
        <v>3985</v>
      </c>
    </row>
    <row r="10" spans="1:7" s="94" customFormat="1" ht="12.75" customHeight="1">
      <c r="A10" s="74" t="s">
        <v>200</v>
      </c>
      <c r="B10" s="66" t="s">
        <v>704</v>
      </c>
      <c r="C10" s="630">
        <v>0</v>
      </c>
      <c r="D10" s="631"/>
      <c r="E10" s="630">
        <f t="shared" si="0"/>
        <v>0</v>
      </c>
    </row>
    <row r="11" spans="1:7" ht="12.75" customHeight="1">
      <c r="A11" s="85" t="s">
        <v>201</v>
      </c>
      <c r="B11" s="67" t="s">
        <v>327</v>
      </c>
      <c r="C11" s="632">
        <v>598540</v>
      </c>
      <c r="D11" s="632">
        <f t="shared" ref="D11:E11" si="1">SUM(D5:D10)</f>
        <v>-7147</v>
      </c>
      <c r="E11" s="632">
        <f t="shared" si="1"/>
        <v>591393</v>
      </c>
    </row>
    <row r="12" spans="1:7" ht="12.75" customHeight="1">
      <c r="A12" s="571" t="s">
        <v>203</v>
      </c>
      <c r="B12" s="67" t="s">
        <v>202</v>
      </c>
      <c r="C12" s="632">
        <v>54575</v>
      </c>
      <c r="D12" s="632">
        <f>SUM(D13:D22)</f>
        <v>345</v>
      </c>
      <c r="E12" s="632">
        <f t="shared" ref="E12" si="2">SUM(E13:E22)</f>
        <v>54920</v>
      </c>
    </row>
    <row r="13" spans="1:7" s="109" customFormat="1" ht="12.75" customHeight="1">
      <c r="A13" s="106"/>
      <c r="B13" s="107" t="s">
        <v>328</v>
      </c>
      <c r="C13" s="633">
        <v>10600</v>
      </c>
      <c r="D13" s="633"/>
      <c r="E13" s="633">
        <f>+C13+D13</f>
        <v>10600</v>
      </c>
    </row>
    <row r="14" spans="1:7" s="109" customFormat="1" ht="12.75" customHeight="1">
      <c r="A14" s="106"/>
      <c r="B14" s="107" t="s">
        <v>318</v>
      </c>
      <c r="C14" s="633">
        <v>0</v>
      </c>
      <c r="D14" s="633"/>
      <c r="E14" s="633">
        <f t="shared" ref="E14:E22" si="3">+C14+D14</f>
        <v>0</v>
      </c>
    </row>
    <row r="15" spans="1:7" s="109" customFormat="1" ht="12.75" customHeight="1">
      <c r="A15" s="106"/>
      <c r="B15" s="107" t="s">
        <v>319</v>
      </c>
      <c r="C15" s="633">
        <v>0</v>
      </c>
      <c r="D15" s="633"/>
      <c r="E15" s="633">
        <f t="shared" si="3"/>
        <v>0</v>
      </c>
    </row>
    <row r="16" spans="1:7" s="109" customFormat="1" ht="12.75" customHeight="1">
      <c r="A16" s="106"/>
      <c r="B16" s="107" t="s">
        <v>320</v>
      </c>
      <c r="C16" s="633">
        <v>14130</v>
      </c>
      <c r="D16" s="633"/>
      <c r="E16" s="633">
        <f t="shared" si="3"/>
        <v>14130</v>
      </c>
    </row>
    <row r="17" spans="1:5" s="109" customFormat="1" ht="12.75" customHeight="1">
      <c r="A17" s="106"/>
      <c r="B17" s="107" t="s">
        <v>321</v>
      </c>
      <c r="C17" s="633">
        <v>13964</v>
      </c>
      <c r="D17" s="633">
        <v>341</v>
      </c>
      <c r="E17" s="633">
        <f t="shared" si="3"/>
        <v>14305</v>
      </c>
    </row>
    <row r="18" spans="1:5" s="109" customFormat="1" ht="12.75" customHeight="1">
      <c r="A18" s="106"/>
      <c r="B18" s="107" t="s">
        <v>322</v>
      </c>
      <c r="C18" s="633">
        <v>0</v>
      </c>
      <c r="D18" s="633"/>
      <c r="E18" s="633">
        <f t="shared" si="3"/>
        <v>0</v>
      </c>
    </row>
    <row r="19" spans="1:5" s="109" customFormat="1" ht="12.75" customHeight="1">
      <c r="A19" s="106"/>
      <c r="B19" s="107" t="s">
        <v>100</v>
      </c>
      <c r="C19" s="633">
        <v>1177</v>
      </c>
      <c r="D19" s="633"/>
      <c r="E19" s="633">
        <f t="shared" si="3"/>
        <v>1177</v>
      </c>
    </row>
    <row r="20" spans="1:5" s="109" customFormat="1" ht="12.75" customHeight="1">
      <c r="A20" s="106"/>
      <c r="B20" s="107" t="s">
        <v>101</v>
      </c>
      <c r="C20" s="633">
        <v>14704</v>
      </c>
      <c r="D20" s="633">
        <v>4</v>
      </c>
      <c r="E20" s="633">
        <f t="shared" si="3"/>
        <v>14708</v>
      </c>
    </row>
    <row r="21" spans="1:5" s="109" customFormat="1" ht="12.75" customHeight="1">
      <c r="A21" s="106"/>
      <c r="B21" s="107" t="s">
        <v>323</v>
      </c>
      <c r="C21" s="633">
        <v>0</v>
      </c>
      <c r="D21" s="633"/>
      <c r="E21" s="633">
        <f t="shared" si="3"/>
        <v>0</v>
      </c>
    </row>
    <row r="22" spans="1:5" s="109" customFormat="1" ht="12.75" customHeight="1">
      <c r="A22" s="106"/>
      <c r="B22" s="107" t="s">
        <v>324</v>
      </c>
      <c r="C22" s="633">
        <v>0</v>
      </c>
      <c r="D22" s="633"/>
      <c r="E22" s="633">
        <f t="shared" si="3"/>
        <v>0</v>
      </c>
    </row>
    <row r="23" spans="1:5" ht="12.75" customHeight="1">
      <c r="A23" s="85" t="s">
        <v>204</v>
      </c>
      <c r="B23" s="67" t="s">
        <v>325</v>
      </c>
      <c r="C23" s="632">
        <v>653115</v>
      </c>
      <c r="D23" s="632">
        <f t="shared" ref="D23:E23" si="4">+D11+D12</f>
        <v>-6802</v>
      </c>
      <c r="E23" s="632">
        <f t="shared" si="4"/>
        <v>646313</v>
      </c>
    </row>
    <row r="24" spans="1:5" ht="12.75" customHeight="1">
      <c r="A24" s="74" t="s">
        <v>397</v>
      </c>
      <c r="B24" s="66" t="s">
        <v>398</v>
      </c>
      <c r="C24" s="630">
        <v>0</v>
      </c>
      <c r="D24" s="630">
        <v>763</v>
      </c>
      <c r="E24" s="630">
        <f>+C24+D24</f>
        <v>763</v>
      </c>
    </row>
    <row r="25" spans="1:5" ht="12.75" customHeight="1">
      <c r="A25" s="74" t="s">
        <v>387</v>
      </c>
      <c r="B25" s="66" t="s">
        <v>388</v>
      </c>
      <c r="C25" s="630">
        <v>0</v>
      </c>
      <c r="D25" s="630"/>
      <c r="E25" s="630">
        <f t="shared" ref="E25:E36" si="5">+C25+D25</f>
        <v>0</v>
      </c>
    </row>
    <row r="26" spans="1:5" ht="12.75" customHeight="1">
      <c r="A26" s="74" t="s">
        <v>206</v>
      </c>
      <c r="B26" s="66" t="s">
        <v>205</v>
      </c>
      <c r="C26" s="630">
        <f>SUM(C27:C36)</f>
        <v>300</v>
      </c>
      <c r="D26" s="630">
        <f>SUM(D27:D36)</f>
        <v>806040</v>
      </c>
      <c r="E26" s="630">
        <f t="shared" si="5"/>
        <v>806340</v>
      </c>
    </row>
    <row r="27" spans="1:5" s="109" customFormat="1" ht="12.75" customHeight="1">
      <c r="A27" s="106"/>
      <c r="B27" s="107" t="s">
        <v>317</v>
      </c>
      <c r="C27" s="630">
        <v>0</v>
      </c>
      <c r="D27" s="633">
        <v>800000</v>
      </c>
      <c r="E27" s="630">
        <f t="shared" si="5"/>
        <v>800000</v>
      </c>
    </row>
    <row r="28" spans="1:5" s="109" customFormat="1" ht="12.75" customHeight="1">
      <c r="A28" s="106"/>
      <c r="B28" s="107" t="s">
        <v>318</v>
      </c>
      <c r="C28" s="630">
        <v>0</v>
      </c>
      <c r="D28" s="633"/>
      <c r="E28" s="630">
        <f t="shared" si="5"/>
        <v>0</v>
      </c>
    </row>
    <row r="29" spans="1:5" s="109" customFormat="1" ht="30.75" customHeight="1">
      <c r="A29" s="106"/>
      <c r="B29" s="107" t="s">
        <v>319</v>
      </c>
      <c r="C29" s="630">
        <v>0</v>
      </c>
      <c r="D29" s="633"/>
      <c r="E29" s="630">
        <f t="shared" si="5"/>
        <v>0</v>
      </c>
    </row>
    <row r="30" spans="1:5" s="109" customFormat="1" ht="12.75" customHeight="1">
      <c r="A30" s="106"/>
      <c r="B30" s="107" t="s">
        <v>320</v>
      </c>
      <c r="C30" s="630">
        <v>0</v>
      </c>
      <c r="D30" s="633"/>
      <c r="E30" s="630">
        <f t="shared" si="5"/>
        <v>0</v>
      </c>
    </row>
    <row r="31" spans="1:5" s="109" customFormat="1" ht="12.75" customHeight="1">
      <c r="A31" s="106"/>
      <c r="B31" s="107" t="s">
        <v>321</v>
      </c>
      <c r="C31" s="630">
        <v>0</v>
      </c>
      <c r="D31" s="633"/>
      <c r="E31" s="630">
        <f t="shared" si="5"/>
        <v>0</v>
      </c>
    </row>
    <row r="32" spans="1:5" s="109" customFormat="1" ht="12.75" customHeight="1">
      <c r="A32" s="106"/>
      <c r="B32" s="107" t="s">
        <v>322</v>
      </c>
      <c r="C32" s="630">
        <v>300</v>
      </c>
      <c r="D32" s="633"/>
      <c r="E32" s="630">
        <f t="shared" si="5"/>
        <v>300</v>
      </c>
    </row>
    <row r="33" spans="1:5" s="109" customFormat="1" ht="12.75" customHeight="1">
      <c r="A33" s="106"/>
      <c r="B33" s="107" t="s">
        <v>100</v>
      </c>
      <c r="C33" s="630">
        <v>0</v>
      </c>
      <c r="D33" s="633"/>
      <c r="E33" s="630">
        <f t="shared" si="5"/>
        <v>0</v>
      </c>
    </row>
    <row r="34" spans="1:5" s="109" customFormat="1" ht="12.75" customHeight="1">
      <c r="A34" s="106"/>
      <c r="B34" s="107" t="s">
        <v>101</v>
      </c>
      <c r="C34" s="630">
        <v>0</v>
      </c>
      <c r="D34" s="633">
        <v>6040</v>
      </c>
      <c r="E34" s="630">
        <f t="shared" si="5"/>
        <v>6040</v>
      </c>
    </row>
    <row r="35" spans="1:5" s="109" customFormat="1" ht="12.75" customHeight="1">
      <c r="A35" s="106"/>
      <c r="B35" s="107" t="s">
        <v>323</v>
      </c>
      <c r="C35" s="630">
        <v>0</v>
      </c>
      <c r="D35" s="633"/>
      <c r="E35" s="630">
        <f t="shared" si="5"/>
        <v>0</v>
      </c>
    </row>
    <row r="36" spans="1:5" s="109" customFormat="1" ht="12.75" customHeight="1">
      <c r="A36" s="106"/>
      <c r="B36" s="107" t="s">
        <v>324</v>
      </c>
      <c r="C36" s="630">
        <v>0</v>
      </c>
      <c r="D36" s="633"/>
      <c r="E36" s="630">
        <f t="shared" si="5"/>
        <v>0</v>
      </c>
    </row>
    <row r="37" spans="1:5" ht="12.75" customHeight="1">
      <c r="A37" s="85" t="s">
        <v>207</v>
      </c>
      <c r="B37" s="67" t="s">
        <v>326</v>
      </c>
      <c r="C37" s="632">
        <v>300</v>
      </c>
      <c r="D37" s="632">
        <f t="shared" ref="D37:E37" si="6">+D26+D25+D24</f>
        <v>806803</v>
      </c>
      <c r="E37" s="632">
        <f t="shared" si="6"/>
        <v>807103</v>
      </c>
    </row>
    <row r="38" spans="1:5" ht="12.75" customHeight="1">
      <c r="A38" s="74" t="s">
        <v>209</v>
      </c>
      <c r="B38" s="66" t="s">
        <v>208</v>
      </c>
      <c r="C38" s="630"/>
      <c r="D38" s="630"/>
      <c r="E38" s="630"/>
    </row>
    <row r="39" spans="1:5" ht="12.75" customHeight="1">
      <c r="A39" s="74" t="s">
        <v>211</v>
      </c>
      <c r="B39" s="66" t="s">
        <v>210</v>
      </c>
      <c r="C39" s="630"/>
      <c r="D39" s="630"/>
      <c r="E39" s="630"/>
    </row>
    <row r="40" spans="1:5" s="96" customFormat="1" ht="12.75" customHeight="1">
      <c r="A40" s="85" t="s">
        <v>212</v>
      </c>
      <c r="B40" s="67" t="s">
        <v>329</v>
      </c>
      <c r="C40" s="632">
        <v>0</v>
      </c>
      <c r="D40" s="632">
        <f t="shared" ref="D40:E40" si="7">SUM(D38:D39)</f>
        <v>0</v>
      </c>
      <c r="E40" s="632">
        <f t="shared" si="7"/>
        <v>0</v>
      </c>
    </row>
    <row r="41" spans="1:5" ht="12.75" customHeight="1">
      <c r="A41" s="74" t="s">
        <v>214</v>
      </c>
      <c r="B41" s="66" t="s">
        <v>213</v>
      </c>
      <c r="C41" s="630"/>
      <c r="D41" s="630"/>
      <c r="E41" s="630"/>
    </row>
    <row r="42" spans="1:5" ht="12.75" customHeight="1">
      <c r="A42" s="74" t="s">
        <v>216</v>
      </c>
      <c r="B42" s="66" t="s">
        <v>215</v>
      </c>
      <c r="C42" s="630"/>
      <c r="D42" s="630"/>
      <c r="E42" s="630"/>
    </row>
    <row r="43" spans="1:5" ht="12.75" customHeight="1">
      <c r="A43" s="85" t="s">
        <v>218</v>
      </c>
      <c r="B43" s="67" t="s">
        <v>217</v>
      </c>
      <c r="C43" s="632">
        <v>147800</v>
      </c>
      <c r="D43" s="632">
        <f t="shared" ref="D43:E43" si="8">+D44+D45+D46</f>
        <v>28470</v>
      </c>
      <c r="E43" s="632">
        <f t="shared" si="8"/>
        <v>176270</v>
      </c>
    </row>
    <row r="44" spans="1:5" ht="12.75" customHeight="1">
      <c r="A44" s="74"/>
      <c r="B44" s="107" t="s">
        <v>375</v>
      </c>
      <c r="C44" s="630">
        <v>19000</v>
      </c>
      <c r="D44" s="630">
        <v>13968</v>
      </c>
      <c r="E44" s="630">
        <f>+C44+D44</f>
        <v>32968</v>
      </c>
    </row>
    <row r="45" spans="1:5" ht="12.75" customHeight="1">
      <c r="A45" s="74"/>
      <c r="B45" s="107" t="s">
        <v>376</v>
      </c>
      <c r="C45" s="630">
        <v>76900</v>
      </c>
      <c r="D45" s="630">
        <v>3653</v>
      </c>
      <c r="E45" s="630">
        <f t="shared" ref="E45:E51" si="9">+C45+D45</f>
        <v>80553</v>
      </c>
    </row>
    <row r="46" spans="1:5" ht="12.75" customHeight="1">
      <c r="A46" s="74"/>
      <c r="B46" s="107" t="s">
        <v>377</v>
      </c>
      <c r="C46" s="630">
        <v>51900</v>
      </c>
      <c r="D46" s="630">
        <v>10849</v>
      </c>
      <c r="E46" s="630">
        <f t="shared" si="9"/>
        <v>62749</v>
      </c>
    </row>
    <row r="47" spans="1:5" s="92" customFormat="1" ht="12.75" customHeight="1">
      <c r="A47" s="610" t="s">
        <v>220</v>
      </c>
      <c r="B47" s="67" t="s">
        <v>219</v>
      </c>
      <c r="C47" s="632">
        <v>115000</v>
      </c>
      <c r="D47" s="632">
        <v>6914</v>
      </c>
      <c r="E47" s="632">
        <f t="shared" si="9"/>
        <v>121914</v>
      </c>
    </row>
    <row r="48" spans="1:5" ht="12.75" customHeight="1">
      <c r="A48" s="74" t="s">
        <v>222</v>
      </c>
      <c r="B48" s="66" t="s">
        <v>221</v>
      </c>
      <c r="C48" s="630">
        <v>0</v>
      </c>
      <c r="D48" s="630"/>
      <c r="E48" s="630">
        <f t="shared" si="9"/>
        <v>0</v>
      </c>
    </row>
    <row r="49" spans="1:5" ht="12.75" customHeight="1">
      <c r="A49" s="74" t="s">
        <v>224</v>
      </c>
      <c r="B49" s="66" t="s">
        <v>223</v>
      </c>
      <c r="C49" s="630">
        <v>0</v>
      </c>
      <c r="D49" s="630"/>
      <c r="E49" s="630">
        <f t="shared" si="9"/>
        <v>0</v>
      </c>
    </row>
    <row r="50" spans="1:5" ht="12.75" customHeight="1">
      <c r="A50" s="74" t="s">
        <v>226</v>
      </c>
      <c r="B50" s="66" t="s">
        <v>225</v>
      </c>
      <c r="C50" s="630">
        <v>18000</v>
      </c>
      <c r="D50" s="630"/>
      <c r="E50" s="630">
        <f t="shared" si="9"/>
        <v>18000</v>
      </c>
    </row>
    <row r="51" spans="1:5" ht="12.75" customHeight="1">
      <c r="A51" s="74" t="s">
        <v>228</v>
      </c>
      <c r="B51" s="66" t="s">
        <v>227</v>
      </c>
      <c r="C51" s="630">
        <v>2000</v>
      </c>
      <c r="D51" s="630">
        <f>9+308</f>
        <v>317</v>
      </c>
      <c r="E51" s="630">
        <f t="shared" si="9"/>
        <v>2317</v>
      </c>
    </row>
    <row r="52" spans="1:5" ht="12.75" customHeight="1">
      <c r="A52" s="85" t="s">
        <v>229</v>
      </c>
      <c r="B52" s="67" t="s">
        <v>330</v>
      </c>
      <c r="C52" s="632">
        <v>135000</v>
      </c>
      <c r="D52" s="632">
        <f t="shared" ref="D52:E52" si="10">+D51+D50+D49+D48+D47</f>
        <v>7231</v>
      </c>
      <c r="E52" s="632">
        <f t="shared" si="10"/>
        <v>142231</v>
      </c>
    </row>
    <row r="53" spans="1:5" ht="12.75" customHeight="1">
      <c r="A53" s="85" t="s">
        <v>231</v>
      </c>
      <c r="B53" s="67" t="s">
        <v>230</v>
      </c>
      <c r="C53" s="632">
        <v>1700</v>
      </c>
      <c r="D53" s="630">
        <f>3128+4</f>
        <v>3132</v>
      </c>
      <c r="E53" s="630">
        <f>+C53+D53</f>
        <v>4832</v>
      </c>
    </row>
    <row r="54" spans="1:5" ht="12.75" customHeight="1">
      <c r="A54" s="85" t="s">
        <v>232</v>
      </c>
      <c r="B54" s="67" t="s">
        <v>331</v>
      </c>
      <c r="C54" s="632">
        <v>284500</v>
      </c>
      <c r="D54" s="632">
        <f t="shared" ref="D54:E54" si="11">+D53+D52+D40+D41+D42+D43</f>
        <v>38833</v>
      </c>
      <c r="E54" s="632">
        <f t="shared" si="11"/>
        <v>323333</v>
      </c>
    </row>
    <row r="55" spans="1:5" ht="12.75" customHeight="1">
      <c r="A55" s="74" t="s">
        <v>234</v>
      </c>
      <c r="B55" s="66" t="s">
        <v>233</v>
      </c>
      <c r="C55" s="630">
        <v>0</v>
      </c>
      <c r="D55" s="630"/>
      <c r="E55" s="630">
        <f>+C55+D55</f>
        <v>0</v>
      </c>
    </row>
    <row r="56" spans="1:5" ht="12.75" customHeight="1">
      <c r="A56" s="74" t="s">
        <v>236</v>
      </c>
      <c r="B56" s="66" t="s">
        <v>235</v>
      </c>
      <c r="C56" s="630">
        <v>4550</v>
      </c>
      <c r="D56" s="630"/>
      <c r="E56" s="630">
        <f t="shared" ref="E56:E64" si="12">+C56+D56</f>
        <v>4550</v>
      </c>
    </row>
    <row r="57" spans="1:5" ht="12.75" customHeight="1">
      <c r="A57" s="74" t="s">
        <v>238</v>
      </c>
      <c r="B57" s="66" t="s">
        <v>237</v>
      </c>
      <c r="C57" s="630">
        <v>2800</v>
      </c>
      <c r="D57" s="630"/>
      <c r="E57" s="630">
        <f t="shared" si="12"/>
        <v>2800</v>
      </c>
    </row>
    <row r="58" spans="1:5" ht="12.75" customHeight="1">
      <c r="A58" s="74" t="s">
        <v>240</v>
      </c>
      <c r="B58" s="66" t="s">
        <v>239</v>
      </c>
      <c r="C58" s="630">
        <v>18940</v>
      </c>
      <c r="D58" s="630"/>
      <c r="E58" s="630">
        <f t="shared" si="12"/>
        <v>18940</v>
      </c>
    </row>
    <row r="59" spans="1:5" ht="12.75" customHeight="1">
      <c r="A59" s="74" t="s">
        <v>242</v>
      </c>
      <c r="B59" s="66" t="s">
        <v>241</v>
      </c>
      <c r="C59" s="630">
        <v>0</v>
      </c>
      <c r="D59" s="630"/>
      <c r="E59" s="630">
        <f t="shared" si="12"/>
        <v>0</v>
      </c>
    </row>
    <row r="60" spans="1:5" ht="12.75" customHeight="1">
      <c r="A60" s="74" t="s">
        <v>244</v>
      </c>
      <c r="B60" s="66" t="s">
        <v>243</v>
      </c>
      <c r="C60" s="630">
        <v>5631</v>
      </c>
      <c r="D60" s="630"/>
      <c r="E60" s="630">
        <f t="shared" si="12"/>
        <v>5631</v>
      </c>
    </row>
    <row r="61" spans="1:5" ht="12.75" customHeight="1">
      <c r="A61" s="74" t="s">
        <v>246</v>
      </c>
      <c r="B61" s="66" t="s">
        <v>245</v>
      </c>
      <c r="C61" s="630">
        <v>4846</v>
      </c>
      <c r="D61" s="630"/>
      <c r="E61" s="630">
        <f t="shared" si="12"/>
        <v>4846</v>
      </c>
    </row>
    <row r="62" spans="1:5" ht="12.75" customHeight="1">
      <c r="A62" s="74" t="s">
        <v>248</v>
      </c>
      <c r="B62" s="66" t="s">
        <v>247</v>
      </c>
      <c r="C62" s="630">
        <v>0</v>
      </c>
      <c r="D62" s="630"/>
      <c r="E62" s="630">
        <f t="shared" si="12"/>
        <v>0</v>
      </c>
    </row>
    <row r="63" spans="1:5" ht="12.75" customHeight="1">
      <c r="A63" s="74" t="s">
        <v>250</v>
      </c>
      <c r="B63" s="66" t="s">
        <v>249</v>
      </c>
      <c r="C63" s="630">
        <v>0</v>
      </c>
      <c r="D63" s="630"/>
      <c r="E63" s="630">
        <f t="shared" si="12"/>
        <v>0</v>
      </c>
    </row>
    <row r="64" spans="1:5" ht="12.75" customHeight="1">
      <c r="A64" s="74" t="s">
        <v>702</v>
      </c>
      <c r="B64" s="66" t="s">
        <v>251</v>
      </c>
      <c r="C64" s="630">
        <v>410</v>
      </c>
      <c r="D64" s="630"/>
      <c r="E64" s="630">
        <f t="shared" si="12"/>
        <v>410</v>
      </c>
    </row>
    <row r="65" spans="1:5" ht="12.75" customHeight="1">
      <c r="A65" s="85" t="s">
        <v>252</v>
      </c>
      <c r="B65" s="67" t="s">
        <v>277</v>
      </c>
      <c r="C65" s="632">
        <v>37177</v>
      </c>
      <c r="D65" s="632">
        <f t="shared" ref="D65:E65" si="13">SUM(D55:D64)</f>
        <v>0</v>
      </c>
      <c r="E65" s="632">
        <f t="shared" si="13"/>
        <v>37177</v>
      </c>
    </row>
    <row r="66" spans="1:5" ht="12.75" customHeight="1">
      <c r="A66" s="85" t="s">
        <v>253</v>
      </c>
      <c r="B66" s="67" t="s">
        <v>276</v>
      </c>
      <c r="C66" s="632">
        <v>49605</v>
      </c>
      <c r="D66" s="632"/>
      <c r="E66" s="632">
        <f>+C66+D66</f>
        <v>49605</v>
      </c>
    </row>
    <row r="67" spans="1:5" ht="12.75" customHeight="1">
      <c r="A67" s="74" t="s">
        <v>706</v>
      </c>
      <c r="B67" s="66" t="s">
        <v>525</v>
      </c>
      <c r="C67" s="630">
        <v>17500</v>
      </c>
      <c r="D67" s="630"/>
      <c r="E67" s="630">
        <f>+C67+D67</f>
        <v>17500</v>
      </c>
    </row>
    <row r="68" spans="1:5" ht="12.75" customHeight="1">
      <c r="A68" s="74" t="s">
        <v>705</v>
      </c>
      <c r="B68" s="66" t="s">
        <v>254</v>
      </c>
      <c r="C68" s="630">
        <v>1525</v>
      </c>
      <c r="D68" s="630">
        <v>750</v>
      </c>
      <c r="E68" s="630">
        <f>+C68+D68</f>
        <v>2275</v>
      </c>
    </row>
    <row r="69" spans="1:5" ht="12.75" customHeight="1">
      <c r="A69" s="85" t="s">
        <v>256</v>
      </c>
      <c r="B69" s="67" t="s">
        <v>275</v>
      </c>
      <c r="C69" s="632">
        <v>19025</v>
      </c>
      <c r="D69" s="632">
        <f t="shared" ref="D69:E69" si="14">+D68+D67</f>
        <v>750</v>
      </c>
      <c r="E69" s="632">
        <f t="shared" si="14"/>
        <v>19775</v>
      </c>
    </row>
    <row r="70" spans="1:5" ht="12.75" customHeight="1">
      <c r="A70" s="74" t="s">
        <v>707</v>
      </c>
      <c r="B70" s="66" t="s">
        <v>257</v>
      </c>
      <c r="C70" s="630"/>
      <c r="D70" s="630"/>
      <c r="E70" s="630"/>
    </row>
    <row r="71" spans="1:5" ht="12.75" customHeight="1">
      <c r="A71" s="85" t="s">
        <v>259</v>
      </c>
      <c r="B71" s="67" t="s">
        <v>280</v>
      </c>
      <c r="C71" s="632">
        <v>0</v>
      </c>
      <c r="D71" s="632">
        <f t="shared" ref="D71:E71" si="15">+D70</f>
        <v>0</v>
      </c>
      <c r="E71" s="632">
        <f t="shared" si="15"/>
        <v>0</v>
      </c>
    </row>
    <row r="72" spans="1:5" ht="12.75" customHeight="1">
      <c r="A72" s="85" t="s">
        <v>260</v>
      </c>
      <c r="B72" s="67" t="s">
        <v>273</v>
      </c>
      <c r="C72" s="632">
        <v>1043722</v>
      </c>
      <c r="D72" s="632">
        <f t="shared" ref="D72:E72" si="16">+D71+D69+D66+D65+D54+D37+D23</f>
        <v>839584</v>
      </c>
      <c r="E72" s="632">
        <f t="shared" si="16"/>
        <v>1883306</v>
      </c>
    </row>
    <row r="73" spans="1:5" ht="12.75" customHeight="1">
      <c r="A73" s="498" t="s">
        <v>591</v>
      </c>
      <c r="B73" s="66" t="s">
        <v>592</v>
      </c>
      <c r="C73" s="630"/>
      <c r="D73" s="630"/>
      <c r="E73" s="630"/>
    </row>
    <row r="74" spans="1:5" s="92" customFormat="1" ht="12.75" customHeight="1">
      <c r="A74" s="70" t="s">
        <v>594</v>
      </c>
      <c r="B74" s="67" t="s">
        <v>593</v>
      </c>
      <c r="C74" s="632">
        <v>0</v>
      </c>
      <c r="D74" s="632">
        <f t="shared" ref="D74:E74" si="17">+D73</f>
        <v>0</v>
      </c>
      <c r="E74" s="632">
        <f t="shared" si="17"/>
        <v>0</v>
      </c>
    </row>
    <row r="75" spans="1:5">
      <c r="A75" s="83" t="s">
        <v>270</v>
      </c>
      <c r="B75" s="66" t="s">
        <v>269</v>
      </c>
      <c r="C75" s="634">
        <v>411758</v>
      </c>
      <c r="D75" s="634">
        <f t="shared" ref="D75:E75" si="18">+D76+D77</f>
        <v>0</v>
      </c>
      <c r="E75" s="634">
        <f t="shared" si="18"/>
        <v>411758</v>
      </c>
    </row>
    <row r="76" spans="1:5" s="109" customFormat="1">
      <c r="A76" s="220"/>
      <c r="B76" s="198" t="s">
        <v>403</v>
      </c>
      <c r="C76" s="633">
        <v>55952</v>
      </c>
      <c r="D76" s="633"/>
      <c r="E76" s="633">
        <f>+C76+D76</f>
        <v>55952</v>
      </c>
    </row>
    <row r="77" spans="1:5" s="109" customFormat="1">
      <c r="A77" s="220"/>
      <c r="B77" s="198" t="s">
        <v>404</v>
      </c>
      <c r="C77" s="633">
        <v>355806</v>
      </c>
      <c r="D77" s="633"/>
      <c r="E77" s="633">
        <f>+C77+D77</f>
        <v>355806</v>
      </c>
    </row>
    <row r="78" spans="1:5">
      <c r="A78" s="84" t="s">
        <v>271</v>
      </c>
      <c r="B78" s="84" t="s">
        <v>332</v>
      </c>
      <c r="C78" s="632">
        <v>411758</v>
      </c>
      <c r="D78" s="632">
        <f t="shared" ref="D78:E78" si="19">+D75</f>
        <v>0</v>
      </c>
      <c r="E78" s="632">
        <f t="shared" si="19"/>
        <v>411758</v>
      </c>
    </row>
    <row r="79" spans="1:5">
      <c r="A79" s="849" t="s">
        <v>1001</v>
      </c>
      <c r="B79" s="849" t="s">
        <v>1002</v>
      </c>
      <c r="C79" s="632"/>
      <c r="D79" s="632">
        <v>140000</v>
      </c>
      <c r="E79" s="632">
        <f>+C79+D79</f>
        <v>140000</v>
      </c>
    </row>
    <row r="80" spans="1:5">
      <c r="A80" s="84" t="s">
        <v>272</v>
      </c>
      <c r="B80" s="70" t="s">
        <v>333</v>
      </c>
      <c r="C80" s="632">
        <v>411758</v>
      </c>
      <c r="D80" s="632">
        <f>+D78+D74+D79</f>
        <v>140000</v>
      </c>
      <c r="E80" s="632">
        <f>+E78+E74+E79</f>
        <v>551758</v>
      </c>
    </row>
  </sheetData>
  <mergeCells count="5">
    <mergeCell ref="A1:E1"/>
    <mergeCell ref="A3:A4"/>
    <mergeCell ref="B3:B4"/>
    <mergeCell ref="C3:E3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cellComments="asDisplayed" errors="blank" r:id="rId1"/>
  <headerFooter>
    <oddHeader>&amp;C&amp;"Times New Roman,Félkövér"&amp;14Martonvásár Város Önkormányzatának bevételei 2016.&amp;12
&amp;"Times New Roman,Dőlt"(intézmények nélkül)&amp;R&amp;"Times New Roman,Normál"3.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opLeftCell="A31" workbookViewId="0">
      <selection activeCell="C9" sqref="C9"/>
    </sheetView>
  </sheetViews>
  <sheetFormatPr defaultColWidth="9.109375" defaultRowHeight="13.8"/>
  <cols>
    <col min="1" max="1" width="43.44140625" style="635" customWidth="1"/>
    <col min="2" max="2" width="15.44140625" style="635" customWidth="1"/>
    <col min="3" max="3" width="13" style="635" customWidth="1"/>
    <col min="4" max="4" width="14.44140625" style="635" customWidth="1"/>
    <col min="5" max="16384" width="9.109375" style="635"/>
  </cols>
  <sheetData>
    <row r="1" spans="1:4" ht="14.4" thickBot="1">
      <c r="D1" s="669" t="s">
        <v>710</v>
      </c>
    </row>
    <row r="2" spans="1:4">
      <c r="A2" s="927" t="s">
        <v>543</v>
      </c>
      <c r="B2" s="928"/>
      <c r="C2" s="929"/>
      <c r="D2" s="930"/>
    </row>
    <row r="3" spans="1:4">
      <c r="A3" s="636"/>
      <c r="B3" s="637"/>
      <c r="C3" s="638"/>
      <c r="D3" s="639"/>
    </row>
    <row r="4" spans="1:4" s="644" customFormat="1" ht="27.75" customHeight="1">
      <c r="A4" s="640" t="s">
        <v>279</v>
      </c>
      <c r="B4" s="641" t="s">
        <v>871</v>
      </c>
      <c r="C4" s="642" t="s">
        <v>734</v>
      </c>
      <c r="D4" s="643" t="s">
        <v>949</v>
      </c>
    </row>
    <row r="6" spans="1:4">
      <c r="A6" s="817" t="s">
        <v>915</v>
      </c>
      <c r="B6" s="818">
        <v>1080000</v>
      </c>
      <c r="C6" s="647"/>
      <c r="D6" s="651">
        <f t="shared" ref="D6:D13" si="0">+B6+C6</f>
        <v>1080000</v>
      </c>
    </row>
    <row r="7" spans="1:4">
      <c r="A7" s="817" t="s">
        <v>916</v>
      </c>
      <c r="B7" s="818">
        <v>12000000</v>
      </c>
      <c r="C7" s="647"/>
      <c r="D7" s="651">
        <f t="shared" si="0"/>
        <v>12000000</v>
      </c>
    </row>
    <row r="8" spans="1:4">
      <c r="A8" s="817" t="s">
        <v>917</v>
      </c>
      <c r="B8" s="818">
        <v>14703950</v>
      </c>
      <c r="C8" s="647">
        <v>4520</v>
      </c>
      <c r="D8" s="651">
        <f t="shared" si="0"/>
        <v>14708470</v>
      </c>
    </row>
    <row r="9" spans="1:4">
      <c r="A9" s="817" t="s">
        <v>918</v>
      </c>
      <c r="B9" s="818">
        <v>13963000</v>
      </c>
      <c r="C9" s="647">
        <v>341000</v>
      </c>
      <c r="D9" s="651">
        <f t="shared" si="0"/>
        <v>14304000</v>
      </c>
    </row>
    <row r="10" spans="1:4">
      <c r="A10" s="819" t="s">
        <v>919</v>
      </c>
      <c r="B10" s="820">
        <v>800000</v>
      </c>
      <c r="C10" s="647"/>
      <c r="D10" s="651">
        <f t="shared" si="0"/>
        <v>800000</v>
      </c>
    </row>
    <row r="11" spans="1:4">
      <c r="A11" s="819" t="s">
        <v>920</v>
      </c>
      <c r="B11" s="820">
        <v>250000</v>
      </c>
      <c r="C11" s="647"/>
      <c r="D11" s="651">
        <f t="shared" si="0"/>
        <v>250000</v>
      </c>
    </row>
    <row r="12" spans="1:4">
      <c r="A12" s="821" t="s">
        <v>924</v>
      </c>
      <c r="B12" s="822">
        <v>4177000</v>
      </c>
      <c r="C12" s="647"/>
      <c r="D12" s="651">
        <f t="shared" si="0"/>
        <v>4177000</v>
      </c>
    </row>
    <row r="13" spans="1:4">
      <c r="A13" s="715" t="s">
        <v>921</v>
      </c>
      <c r="B13" s="650">
        <v>600000</v>
      </c>
      <c r="C13" s="647"/>
      <c r="D13" s="651">
        <f t="shared" si="0"/>
        <v>600000</v>
      </c>
    </row>
    <row r="14" spans="1:4">
      <c r="A14" s="715" t="s">
        <v>922</v>
      </c>
      <c r="B14" s="714">
        <v>888000</v>
      </c>
      <c r="C14" s="647"/>
      <c r="D14" s="651">
        <f t="shared" ref="D14:D19" si="1">+B14+C14</f>
        <v>888000</v>
      </c>
    </row>
    <row r="15" spans="1:4">
      <c r="A15" s="715" t="s">
        <v>923</v>
      </c>
      <c r="B15" s="716">
        <v>289000</v>
      </c>
      <c r="C15" s="647"/>
      <c r="D15" s="651">
        <f t="shared" si="1"/>
        <v>289000</v>
      </c>
    </row>
    <row r="16" spans="1:4">
      <c r="A16" s="715" t="s">
        <v>925</v>
      </c>
      <c r="B16" s="714">
        <v>5822583</v>
      </c>
      <c r="C16" s="647"/>
      <c r="D16" s="651">
        <f t="shared" ref="D16:D17" si="2">+B16+C16</f>
        <v>5822583</v>
      </c>
    </row>
    <row r="17" spans="1:4">
      <c r="A17" s="715"/>
      <c r="B17" s="646"/>
      <c r="C17" s="647"/>
      <c r="D17" s="651">
        <f t="shared" si="2"/>
        <v>0</v>
      </c>
    </row>
    <row r="18" spans="1:4">
      <c r="A18" s="715"/>
      <c r="B18" s="714"/>
      <c r="C18" s="647"/>
      <c r="D18" s="651">
        <f t="shared" si="1"/>
        <v>0</v>
      </c>
    </row>
    <row r="19" spans="1:4">
      <c r="A19" s="715"/>
      <c r="B19" s="646"/>
      <c r="C19" s="647"/>
      <c r="D19" s="651">
        <f t="shared" si="1"/>
        <v>0</v>
      </c>
    </row>
    <row r="20" spans="1:4">
      <c r="A20" s="715"/>
      <c r="B20" s="646"/>
      <c r="C20" s="647"/>
      <c r="D20" s="651"/>
    </row>
    <row r="21" spans="1:4" ht="14.4" thickBot="1">
      <c r="A21" s="652" t="s">
        <v>178</v>
      </c>
      <c r="B21" s="653">
        <f>SUM(B5:B20)</f>
        <v>54573533</v>
      </c>
      <c r="C21" s="653">
        <f>SUM(C5:C20)</f>
        <v>345520</v>
      </c>
      <c r="D21" s="670">
        <f>SUM(D5:D20)</f>
        <v>54919053</v>
      </c>
    </row>
    <row r="22" spans="1:4">
      <c r="A22" s="654"/>
      <c r="B22" s="654"/>
      <c r="C22" s="655"/>
      <c r="D22" s="655"/>
    </row>
    <row r="23" spans="1:4" ht="14.4" thickBot="1">
      <c r="A23" s="656"/>
      <c r="B23" s="656"/>
      <c r="C23" s="656"/>
      <c r="D23" s="657"/>
    </row>
    <row r="24" spans="1:4">
      <c r="A24" s="927" t="s">
        <v>544</v>
      </c>
      <c r="B24" s="928"/>
      <c r="C24" s="929"/>
      <c r="D24" s="930"/>
    </row>
    <row r="25" spans="1:4">
      <c r="A25" s="636"/>
      <c r="B25" s="637"/>
      <c r="C25" s="638"/>
      <c r="D25" s="639"/>
    </row>
    <row r="26" spans="1:4" ht="26.4">
      <c r="A26" s="640" t="s">
        <v>279</v>
      </c>
      <c r="B26" s="641" t="s">
        <v>871</v>
      </c>
      <c r="C26" s="642" t="s">
        <v>734</v>
      </c>
      <c r="D26" s="643" t="s">
        <v>949</v>
      </c>
    </row>
    <row r="27" spans="1:4" s="644" customFormat="1" ht="27.75" customHeight="1">
      <c r="A27" s="636" t="s">
        <v>927</v>
      </c>
      <c r="B27" s="658">
        <v>300000</v>
      </c>
      <c r="C27" s="659"/>
      <c r="D27" s="648">
        <f>+B27+C27</f>
        <v>300000</v>
      </c>
    </row>
    <row r="28" spans="1:4">
      <c r="A28" s="636" t="s">
        <v>1008</v>
      </c>
      <c r="B28" s="658"/>
      <c r="C28" s="659">
        <v>763000</v>
      </c>
      <c r="D28" s="648">
        <f t="shared" ref="D28:D30" si="3">+B28+C28</f>
        <v>763000</v>
      </c>
    </row>
    <row r="29" spans="1:4">
      <c r="A29" s="636" t="s">
        <v>1009</v>
      </c>
      <c r="B29" s="658"/>
      <c r="C29" s="659">
        <v>800000000</v>
      </c>
      <c r="D29" s="648">
        <f t="shared" si="3"/>
        <v>800000000</v>
      </c>
    </row>
    <row r="30" spans="1:4">
      <c r="A30" s="636" t="s">
        <v>1010</v>
      </c>
      <c r="B30" s="658"/>
      <c r="C30" s="659">
        <v>6040000</v>
      </c>
      <c r="D30" s="648">
        <f t="shared" si="3"/>
        <v>6040000</v>
      </c>
    </row>
    <row r="31" spans="1:4" ht="14.4" thickBot="1">
      <c r="A31" s="652" t="s">
        <v>178</v>
      </c>
      <c r="B31" s="653">
        <f>SUM(B27:B30)</f>
        <v>300000</v>
      </c>
      <c r="C31" s="653">
        <f>SUM(C27:C30)</f>
        <v>806803000</v>
      </c>
      <c r="D31" s="670">
        <f>SUM(D27:D30)</f>
        <v>807103000</v>
      </c>
    </row>
    <row r="32" spans="1:4">
      <c r="A32" s="660"/>
      <c r="B32" s="660"/>
      <c r="C32" s="661"/>
      <c r="D32" s="661"/>
    </row>
    <row r="33" spans="1:4" ht="14.4" thickBot="1">
      <c r="A33" s="656"/>
      <c r="B33" s="656"/>
      <c r="C33" s="656"/>
      <c r="D33" s="657"/>
    </row>
    <row r="34" spans="1:4">
      <c r="A34" s="931" t="s">
        <v>545</v>
      </c>
      <c r="B34" s="932"/>
      <c r="C34" s="932"/>
      <c r="D34" s="933"/>
    </row>
    <row r="35" spans="1:4">
      <c r="A35" s="662"/>
      <c r="B35" s="663"/>
      <c r="C35" s="663"/>
      <c r="D35" s="664"/>
    </row>
    <row r="36" spans="1:4" ht="26.4">
      <c r="A36" s="640" t="s">
        <v>279</v>
      </c>
      <c r="B36" s="641" t="s">
        <v>871</v>
      </c>
      <c r="C36" s="642" t="s">
        <v>734</v>
      </c>
      <c r="D36" s="643" t="s">
        <v>949</v>
      </c>
    </row>
    <row r="37" spans="1:4" s="644" customFormat="1">
      <c r="A37" s="636" t="s">
        <v>526</v>
      </c>
      <c r="B37" s="658">
        <v>42500</v>
      </c>
      <c r="C37" s="659"/>
      <c r="D37" s="648">
        <f>+B37+C37</f>
        <v>42500</v>
      </c>
    </row>
    <row r="38" spans="1:4">
      <c r="A38" s="636" t="s">
        <v>926</v>
      </c>
      <c r="B38" s="658">
        <v>1483421</v>
      </c>
      <c r="C38" s="659"/>
      <c r="D38" s="648">
        <f>+B38+C38</f>
        <v>1483421</v>
      </c>
    </row>
    <row r="39" spans="1:4" s="644" customFormat="1">
      <c r="A39" s="636" t="s">
        <v>933</v>
      </c>
      <c r="B39" s="658">
        <v>2500000</v>
      </c>
      <c r="C39" s="659"/>
      <c r="D39" s="648">
        <f>+B39+C39</f>
        <v>2500000</v>
      </c>
    </row>
    <row r="40" spans="1:4">
      <c r="A40" s="645" t="s">
        <v>721</v>
      </c>
      <c r="B40" s="646">
        <v>15000000</v>
      </c>
      <c r="C40" s="647"/>
      <c r="D40" s="651">
        <f>+B40+C40</f>
        <v>15000000</v>
      </c>
    </row>
    <row r="41" spans="1:4">
      <c r="A41" s="668" t="s">
        <v>1011</v>
      </c>
      <c r="B41" s="665"/>
      <c r="C41" s="666">
        <v>750000</v>
      </c>
      <c r="D41" s="671">
        <f>+B41+C41</f>
        <v>750000</v>
      </c>
    </row>
    <row r="42" spans="1:4" ht="14.4" thickBot="1">
      <c r="A42" s="652" t="s">
        <v>178</v>
      </c>
      <c r="B42" s="667">
        <f>SUM(B37:B41)</f>
        <v>19025921</v>
      </c>
      <c r="C42" s="667">
        <f t="shared" ref="C42:D42" si="4">SUM(C37:C41)</f>
        <v>750000</v>
      </c>
      <c r="D42" s="667">
        <f t="shared" si="4"/>
        <v>19775921</v>
      </c>
    </row>
    <row r="43" spans="1:4" ht="14.4" thickBot="1">
      <c r="A43" s="656"/>
      <c r="B43" s="656"/>
      <c r="C43" s="656"/>
      <c r="D43" s="656"/>
    </row>
    <row r="44" spans="1:4">
      <c r="A44" s="931" t="s">
        <v>546</v>
      </c>
      <c r="B44" s="932"/>
      <c r="C44" s="932"/>
      <c r="D44" s="933"/>
    </row>
    <row r="45" spans="1:4">
      <c r="A45" s="662"/>
      <c r="B45" s="663"/>
      <c r="C45" s="663"/>
      <c r="D45" s="664"/>
    </row>
    <row r="46" spans="1:4" ht="26.4">
      <c r="A46" s="640" t="s">
        <v>279</v>
      </c>
      <c r="B46" s="641" t="s">
        <v>871</v>
      </c>
      <c r="C46" s="642" t="s">
        <v>734</v>
      </c>
      <c r="D46" s="643" t="s">
        <v>949</v>
      </c>
    </row>
    <row r="47" spans="1:4">
      <c r="A47" s="636"/>
      <c r="B47" s="665"/>
      <c r="C47" s="666"/>
      <c r="D47" s="671"/>
    </row>
    <row r="48" spans="1:4">
      <c r="A48" s="636"/>
      <c r="B48" s="665"/>
      <c r="C48" s="666"/>
      <c r="D48" s="671"/>
    </row>
    <row r="49" spans="1:4">
      <c r="A49" s="636"/>
      <c r="B49" s="665"/>
      <c r="C49" s="666"/>
      <c r="D49" s="671"/>
    </row>
    <row r="50" spans="1:4" ht="14.4" thickBot="1">
      <c r="A50" s="652" t="s">
        <v>178</v>
      </c>
      <c r="B50" s="667"/>
      <c r="C50" s="667"/>
      <c r="D50" s="672"/>
    </row>
    <row r="51" spans="1:4">
      <c r="A51" s="656"/>
      <c r="B51" s="656"/>
      <c r="C51" s="656"/>
      <c r="D51" s="656"/>
    </row>
    <row r="52" spans="1:4">
      <c r="A52" s="656"/>
      <c r="B52" s="656"/>
      <c r="C52" s="656"/>
      <c r="D52" s="656"/>
    </row>
  </sheetData>
  <mergeCells count="4">
    <mergeCell ref="A2:D2"/>
    <mergeCell ref="A24:D24"/>
    <mergeCell ref="A34:D34"/>
    <mergeCell ref="A44:D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>
    <oddHeader>&amp;C&amp;"Times New Roman,Félkövér"&amp;12Martonvásár Város Önkormányzat véglegesen átvett pénzeszközeinek részletezése    &amp;R&amp;"Times New Roman,Félkövér"&amp;12
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>
      <selection activeCell="D19" sqref="D19:D26"/>
    </sheetView>
  </sheetViews>
  <sheetFormatPr defaultColWidth="9.109375" defaultRowHeight="13.2"/>
  <cols>
    <col min="1" max="1" width="39.88671875" style="674" customWidth="1"/>
    <col min="2" max="2" width="13.109375" style="674" customWidth="1"/>
    <col min="3" max="3" width="14.6640625" style="674" customWidth="1"/>
    <col min="4" max="4" width="13.109375" style="674" customWidth="1"/>
    <col min="5" max="16384" width="9.109375" style="674"/>
  </cols>
  <sheetData>
    <row r="1" spans="1:4" ht="13.5" customHeight="1" thickBot="1">
      <c r="A1" s="673"/>
      <c r="B1" s="673"/>
      <c r="C1" s="934" t="s">
        <v>710</v>
      </c>
      <c r="D1" s="934"/>
    </row>
    <row r="2" spans="1:4" s="677" customFormat="1" ht="26.4">
      <c r="A2" s="533" t="s">
        <v>279</v>
      </c>
      <c r="B2" s="675" t="s">
        <v>872</v>
      </c>
      <c r="C2" s="676" t="s">
        <v>735</v>
      </c>
      <c r="D2" s="686" t="s">
        <v>948</v>
      </c>
    </row>
    <row r="3" spans="1:4">
      <c r="A3" s="649" t="s">
        <v>547</v>
      </c>
      <c r="B3" s="650">
        <v>1495300</v>
      </c>
      <c r="C3" s="678"/>
      <c r="D3" s="687">
        <f>+B3+C3</f>
        <v>1495300</v>
      </c>
    </row>
    <row r="4" spans="1:4">
      <c r="A4" s="649" t="s">
        <v>613</v>
      </c>
      <c r="B4" s="650">
        <v>1000000</v>
      </c>
      <c r="C4" s="678"/>
      <c r="D4" s="687">
        <f t="shared" ref="D4:D26" si="0">+B4+C4</f>
        <v>1000000</v>
      </c>
    </row>
    <row r="5" spans="1:4">
      <c r="A5" s="649" t="s">
        <v>548</v>
      </c>
      <c r="B5" s="650">
        <v>16398122</v>
      </c>
      <c r="C5" s="678"/>
      <c r="D5" s="687">
        <f t="shared" si="0"/>
        <v>16398122</v>
      </c>
    </row>
    <row r="6" spans="1:4">
      <c r="A6" s="649" t="s">
        <v>606</v>
      </c>
      <c r="B6" s="650">
        <v>4847000</v>
      </c>
      <c r="C6" s="678"/>
      <c r="D6" s="687">
        <f t="shared" si="0"/>
        <v>4847000</v>
      </c>
    </row>
    <row r="7" spans="1:4" ht="15" customHeight="1">
      <c r="A7" s="649" t="s">
        <v>527</v>
      </c>
      <c r="B7" s="650">
        <v>2800000</v>
      </c>
      <c r="C7" s="678"/>
      <c r="D7" s="687">
        <f t="shared" si="0"/>
        <v>2800000</v>
      </c>
    </row>
    <row r="8" spans="1:4">
      <c r="A8" s="649" t="s">
        <v>928</v>
      </c>
      <c r="B8" s="650">
        <v>806752</v>
      </c>
      <c r="C8" s="678"/>
      <c r="D8" s="687">
        <f t="shared" ref="D8:D10" si="1">+B8+C8</f>
        <v>806752</v>
      </c>
    </row>
    <row r="9" spans="1:4">
      <c r="A9" s="649" t="s">
        <v>905</v>
      </c>
      <c r="B9" s="650">
        <v>309837</v>
      </c>
      <c r="C9" s="678"/>
      <c r="D9" s="687">
        <f t="shared" ref="D9" si="2">+B9+C9</f>
        <v>309837</v>
      </c>
    </row>
    <row r="10" spans="1:4">
      <c r="A10" s="649" t="s">
        <v>929</v>
      </c>
      <c r="B10" s="650">
        <v>100000</v>
      </c>
      <c r="C10" s="678"/>
      <c r="D10" s="687">
        <f t="shared" si="1"/>
        <v>100000</v>
      </c>
    </row>
    <row r="11" spans="1:4">
      <c r="A11" s="649" t="s">
        <v>528</v>
      </c>
      <c r="B11" s="650">
        <v>0</v>
      </c>
      <c r="C11" s="678"/>
      <c r="D11" s="687">
        <f t="shared" si="0"/>
        <v>0</v>
      </c>
    </row>
    <row r="12" spans="1:4">
      <c r="A12" s="649" t="s">
        <v>596</v>
      </c>
      <c r="B12" s="650">
        <v>3789200</v>
      </c>
      <c r="C12" s="678"/>
      <c r="D12" s="687">
        <f t="shared" si="0"/>
        <v>3789200</v>
      </c>
    </row>
    <row r="13" spans="1:4">
      <c r="A13" s="649" t="s">
        <v>549</v>
      </c>
      <c r="B13" s="650">
        <v>5631000</v>
      </c>
      <c r="C13" s="678"/>
      <c r="D13" s="687">
        <f t="shared" si="0"/>
        <v>5631000</v>
      </c>
    </row>
    <row r="14" spans="1:4">
      <c r="A14" s="649" t="s">
        <v>935</v>
      </c>
      <c r="B14" s="650">
        <v>458000</v>
      </c>
      <c r="C14" s="678">
        <v>11000</v>
      </c>
      <c r="D14" s="687">
        <f t="shared" si="0"/>
        <v>469000</v>
      </c>
    </row>
    <row r="15" spans="1:4">
      <c r="A15" s="649" t="s">
        <v>618</v>
      </c>
      <c r="B15" s="650">
        <v>604750</v>
      </c>
      <c r="C15" s="678">
        <v>87000</v>
      </c>
      <c r="D15" s="687">
        <f t="shared" si="0"/>
        <v>691750</v>
      </c>
    </row>
    <row r="16" spans="1:4">
      <c r="A16" s="649" t="s">
        <v>831</v>
      </c>
      <c r="B16" s="650">
        <v>52800</v>
      </c>
      <c r="C16" s="678"/>
      <c r="D16" s="687">
        <f t="shared" si="0"/>
        <v>52800</v>
      </c>
    </row>
    <row r="17" spans="1:4">
      <c r="A17" s="649" t="s">
        <v>832</v>
      </c>
      <c r="B17" s="650">
        <v>47000</v>
      </c>
      <c r="C17" s="678">
        <v>14000</v>
      </c>
      <c r="D17" s="687">
        <f t="shared" si="0"/>
        <v>61000</v>
      </c>
    </row>
    <row r="18" spans="1:4">
      <c r="A18" s="649" t="s">
        <v>833</v>
      </c>
      <c r="B18" s="650">
        <v>172200</v>
      </c>
      <c r="C18" s="678"/>
      <c r="D18" s="687">
        <f t="shared" ref="D18" si="3">+B18+C18</f>
        <v>172200</v>
      </c>
    </row>
    <row r="19" spans="1:4">
      <c r="A19" s="649" t="s">
        <v>834</v>
      </c>
      <c r="B19" s="650">
        <v>161000</v>
      </c>
      <c r="C19" s="678">
        <v>39000</v>
      </c>
      <c r="D19" s="687">
        <f t="shared" si="0"/>
        <v>200000</v>
      </c>
    </row>
    <row r="20" spans="1:4">
      <c r="A20" s="649" t="s">
        <v>835</v>
      </c>
      <c r="B20" s="650">
        <v>1000000</v>
      </c>
      <c r="C20" s="679"/>
      <c r="D20" s="687">
        <f t="shared" si="0"/>
        <v>1000000</v>
      </c>
    </row>
    <row r="21" spans="1:4">
      <c r="A21" s="649" t="s">
        <v>836</v>
      </c>
      <c r="B21" s="650">
        <v>416780</v>
      </c>
      <c r="C21" s="679">
        <v>5203000</v>
      </c>
      <c r="D21" s="687">
        <f t="shared" si="0"/>
        <v>5619780</v>
      </c>
    </row>
    <row r="22" spans="1:4">
      <c r="A22" s="649" t="s">
        <v>837</v>
      </c>
      <c r="B22" s="650">
        <v>811178</v>
      </c>
      <c r="C22" s="679">
        <v>1656000</v>
      </c>
      <c r="D22" s="687">
        <f t="shared" si="0"/>
        <v>2467178</v>
      </c>
    </row>
    <row r="23" spans="1:4">
      <c r="A23" s="649" t="s">
        <v>841</v>
      </c>
      <c r="B23" s="650">
        <v>1176456</v>
      </c>
      <c r="C23" s="679"/>
      <c r="D23" s="687">
        <f t="shared" si="0"/>
        <v>1176456</v>
      </c>
    </row>
    <row r="24" spans="1:4">
      <c r="A24" s="649" t="s">
        <v>838</v>
      </c>
      <c r="B24" s="650">
        <v>40000</v>
      </c>
      <c r="C24" s="679"/>
      <c r="D24" s="687">
        <f t="shared" ref="D24" si="4">+B24+C24</f>
        <v>40000</v>
      </c>
    </row>
    <row r="25" spans="1:4">
      <c r="A25" s="649" t="s">
        <v>839</v>
      </c>
      <c r="B25" s="650">
        <v>348800</v>
      </c>
      <c r="C25" s="679">
        <v>1321000</v>
      </c>
      <c r="D25" s="687">
        <f t="shared" si="0"/>
        <v>1669800</v>
      </c>
    </row>
    <row r="26" spans="1:4">
      <c r="A26" s="649" t="s">
        <v>840</v>
      </c>
      <c r="B26" s="650">
        <v>338000</v>
      </c>
      <c r="C26" s="679"/>
      <c r="D26" s="687">
        <f t="shared" si="0"/>
        <v>338000</v>
      </c>
    </row>
    <row r="27" spans="1:4">
      <c r="A27" s="649"/>
      <c r="B27" s="688"/>
      <c r="C27" s="679"/>
      <c r="D27" s="687"/>
    </row>
    <row r="28" spans="1:4">
      <c r="A28" s="649"/>
      <c r="B28" s="650"/>
      <c r="C28" s="679"/>
      <c r="D28" s="689"/>
    </row>
    <row r="29" spans="1:4">
      <c r="A29" s="649"/>
      <c r="B29" s="650"/>
      <c r="C29" s="679"/>
      <c r="D29" s="689"/>
    </row>
    <row r="30" spans="1:4">
      <c r="A30" s="649"/>
      <c r="B30" s="680"/>
      <c r="C30" s="679"/>
      <c r="D30" s="689"/>
    </row>
    <row r="31" spans="1:4" ht="13.8" thickBot="1">
      <c r="A31" s="681" t="s">
        <v>529</v>
      </c>
      <c r="B31" s="682">
        <f>SUM(B3:B30)</f>
        <v>42804175</v>
      </c>
      <c r="C31" s="683">
        <f>SUM(C3:C30)</f>
        <v>8331000</v>
      </c>
      <c r="D31" s="690">
        <f>SUM(D3:D30)</f>
        <v>51135175</v>
      </c>
    </row>
    <row r="33" spans="1:4" ht="13.8" thickBot="1"/>
    <row r="34" spans="1:4">
      <c r="A34" s="691" t="s">
        <v>736</v>
      </c>
      <c r="B34" s="694">
        <v>30000000</v>
      </c>
      <c r="C34" s="826"/>
      <c r="D34" s="692">
        <f>+B34+C34</f>
        <v>30000000</v>
      </c>
    </row>
    <row r="35" spans="1:4">
      <c r="A35" s="649" t="s">
        <v>930</v>
      </c>
      <c r="B35" s="650">
        <v>11900000</v>
      </c>
      <c r="C35" s="679"/>
      <c r="D35" s="689">
        <f>+B35+C35</f>
        <v>11900000</v>
      </c>
    </row>
    <row r="36" spans="1:4">
      <c r="A36" s="823" t="s">
        <v>931</v>
      </c>
      <c r="B36" s="824">
        <v>7500000</v>
      </c>
      <c r="C36" s="827"/>
      <c r="D36" s="689">
        <f>+B36+C36</f>
        <v>7500000</v>
      </c>
    </row>
    <row r="37" spans="1:4">
      <c r="A37" s="649" t="s">
        <v>932</v>
      </c>
      <c r="B37" s="650">
        <v>205000</v>
      </c>
      <c r="C37" s="679"/>
      <c r="D37" s="825">
        <f>+B37+C37</f>
        <v>205000</v>
      </c>
    </row>
    <row r="38" spans="1:4">
      <c r="A38" s="684"/>
      <c r="B38" s="695"/>
      <c r="C38" s="685"/>
      <c r="D38" s="693"/>
    </row>
    <row r="39" spans="1:4" ht="13.8" thickBot="1">
      <c r="A39" s="681" t="s">
        <v>530</v>
      </c>
      <c r="B39" s="682">
        <f>SUM(B34:B38)</f>
        <v>49605000</v>
      </c>
      <c r="C39" s="682">
        <f>SUM(C34:C38)</f>
        <v>0</v>
      </c>
      <c r="D39" s="690">
        <f>SUM(D34:D38)</f>
        <v>49605000</v>
      </c>
    </row>
    <row r="45" spans="1:4">
      <c r="A45" s="674" t="s">
        <v>531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bevételeinek részletezése    &amp;R&amp;"Times New Roman,Félkövér"&amp;10
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D3" sqref="D3:D7"/>
    </sheetView>
  </sheetViews>
  <sheetFormatPr defaultColWidth="9.109375" defaultRowHeight="13.2"/>
  <cols>
    <col min="1" max="1" width="39.33203125" style="520" customWidth="1"/>
    <col min="2" max="2" width="15.109375" style="520" customWidth="1"/>
    <col min="3" max="3" width="16.6640625" style="520" customWidth="1"/>
    <col min="4" max="4" width="15.6640625" style="520" customWidth="1"/>
    <col min="5" max="16384" width="9.109375" style="520"/>
  </cols>
  <sheetData>
    <row r="1" spans="1:4" ht="15.75" customHeight="1" thickBot="1">
      <c r="D1" s="618" t="s">
        <v>710</v>
      </c>
    </row>
    <row r="2" spans="1:4" s="532" customFormat="1" ht="26.4">
      <c r="A2" s="533" t="s">
        <v>279</v>
      </c>
      <c r="B2" s="641" t="s">
        <v>871</v>
      </c>
      <c r="C2" s="642" t="s">
        <v>734</v>
      </c>
      <c r="D2" s="643" t="s">
        <v>949</v>
      </c>
    </row>
    <row r="3" spans="1:4">
      <c r="A3" s="521" t="s">
        <v>532</v>
      </c>
      <c r="B3" s="522">
        <v>19000000</v>
      </c>
      <c r="C3" s="523">
        <v>13968000</v>
      </c>
      <c r="D3" s="696">
        <f>+B3+C3</f>
        <v>32968000</v>
      </c>
    </row>
    <row r="4" spans="1:4">
      <c r="A4" s="521" t="s">
        <v>533</v>
      </c>
      <c r="B4" s="522">
        <v>76900000</v>
      </c>
      <c r="C4" s="523">
        <v>3653000</v>
      </c>
      <c r="D4" s="696">
        <f t="shared" ref="D4:D7" si="0">+B4+C4</f>
        <v>80553000</v>
      </c>
    </row>
    <row r="5" spans="1:4">
      <c r="A5" s="521" t="s">
        <v>534</v>
      </c>
      <c r="B5" s="522">
        <v>51900000</v>
      </c>
      <c r="C5" s="523">
        <v>10849000</v>
      </c>
      <c r="D5" s="696">
        <f t="shared" si="0"/>
        <v>62749000</v>
      </c>
    </row>
    <row r="6" spans="1:4">
      <c r="A6" s="521" t="s">
        <v>535</v>
      </c>
      <c r="B6" s="522"/>
      <c r="C6" s="523"/>
      <c r="D6" s="696">
        <f t="shared" si="0"/>
        <v>0</v>
      </c>
    </row>
    <row r="7" spans="1:4">
      <c r="A7" s="521" t="s">
        <v>536</v>
      </c>
      <c r="B7" s="522">
        <v>115000000</v>
      </c>
      <c r="C7" s="523">
        <v>6914000</v>
      </c>
      <c r="D7" s="696">
        <f t="shared" si="0"/>
        <v>121914000</v>
      </c>
    </row>
    <row r="8" spans="1:4">
      <c r="A8" s="527" t="s">
        <v>537</v>
      </c>
      <c r="B8" s="528">
        <f>SUM(B3:B7)</f>
        <v>262800000</v>
      </c>
      <c r="C8" s="529">
        <f t="shared" ref="C8:D8" si="1">SUM(C3:C7)</f>
        <v>35384000</v>
      </c>
      <c r="D8" s="697">
        <f t="shared" si="1"/>
        <v>298184000</v>
      </c>
    </row>
    <row r="9" spans="1:4">
      <c r="A9" s="521"/>
      <c r="B9" s="522"/>
      <c r="C9" s="523"/>
      <c r="D9" s="696"/>
    </row>
    <row r="10" spans="1:4">
      <c r="A10" s="521" t="s">
        <v>538</v>
      </c>
      <c r="B10" s="522">
        <v>18000000</v>
      </c>
      <c r="C10" s="523"/>
      <c r="D10" s="696">
        <f>+B10+C10</f>
        <v>18000000</v>
      </c>
    </row>
    <row r="11" spans="1:4">
      <c r="A11" s="527" t="s">
        <v>539</v>
      </c>
      <c r="B11" s="528">
        <f>+B10</f>
        <v>18000000</v>
      </c>
      <c r="C11" s="529">
        <f t="shared" ref="C11:D11" si="2">+C10</f>
        <v>0</v>
      </c>
      <c r="D11" s="697">
        <f t="shared" si="2"/>
        <v>18000000</v>
      </c>
    </row>
    <row r="12" spans="1:4">
      <c r="A12" s="521"/>
      <c r="B12" s="522"/>
      <c r="C12" s="523"/>
      <c r="D12" s="696"/>
    </row>
    <row r="13" spans="1:4">
      <c r="A13" s="521" t="s">
        <v>550</v>
      </c>
      <c r="B13" s="522">
        <v>1700000</v>
      </c>
      <c r="C13" s="523">
        <v>3132000</v>
      </c>
      <c r="D13" s="696">
        <f>+B13+C13</f>
        <v>4832000</v>
      </c>
    </row>
    <row r="14" spans="1:4" ht="13.5" customHeight="1">
      <c r="A14" s="521" t="s">
        <v>540</v>
      </c>
      <c r="B14" s="522">
        <v>2000000</v>
      </c>
      <c r="C14" s="523">
        <v>308000</v>
      </c>
      <c r="D14" s="696">
        <f>+B14+C14</f>
        <v>2308000</v>
      </c>
    </row>
    <row r="15" spans="1:4" ht="13.5" customHeight="1">
      <c r="A15" s="521" t="s">
        <v>1000</v>
      </c>
      <c r="B15" s="522"/>
      <c r="C15" s="523">
        <v>9000</v>
      </c>
      <c r="D15" s="696">
        <f>+B15+C15</f>
        <v>9000</v>
      </c>
    </row>
    <row r="16" spans="1:4">
      <c r="A16" s="527" t="s">
        <v>541</v>
      </c>
      <c r="B16" s="528">
        <f>SUM(B13:B15)</f>
        <v>3700000</v>
      </c>
      <c r="C16" s="529">
        <f t="shared" ref="C16:D16" si="3">SUM(C13:C15)</f>
        <v>3449000</v>
      </c>
      <c r="D16" s="697">
        <f t="shared" si="3"/>
        <v>7149000</v>
      </c>
    </row>
    <row r="17" spans="1:4">
      <c r="A17" s="521"/>
      <c r="B17" s="522"/>
      <c r="C17" s="523"/>
      <c r="D17" s="696"/>
    </row>
    <row r="18" spans="1:4" ht="13.8" thickBot="1">
      <c r="A18" s="524" t="s">
        <v>542</v>
      </c>
      <c r="B18" s="525">
        <f>+B16+B11+B8</f>
        <v>284500000</v>
      </c>
      <c r="C18" s="526">
        <f t="shared" ref="C18:D18" si="4">+C16+C11+C8</f>
        <v>38833000</v>
      </c>
      <c r="D18" s="698">
        <f t="shared" si="4"/>
        <v>323333000</v>
      </c>
    </row>
    <row r="19" spans="1:4">
      <c r="D19" s="530"/>
    </row>
    <row r="20" spans="1:4">
      <c r="D20" s="530"/>
    </row>
    <row r="21" spans="1:4">
      <c r="D21" s="530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közhatalmi bevételeinek részletezése    &amp;R&amp;"Times New Roman,Félkövér"&amp;10
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zoomScale="80" zoomScaleNormal="80" zoomScalePageLayoutView="7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H35" sqref="H35"/>
    </sheetView>
  </sheetViews>
  <sheetFormatPr defaultColWidth="9.109375" defaultRowHeight="13.2"/>
  <cols>
    <col min="1" max="1" width="36.6640625" style="456" customWidth="1"/>
    <col min="2" max="4" width="12.6640625" style="458" customWidth="1"/>
    <col min="5" max="7" width="14.33203125" style="456" customWidth="1"/>
    <col min="8" max="10" width="14.33203125" style="900" customWidth="1"/>
    <col min="11" max="16384" width="9.109375" style="456"/>
  </cols>
  <sheetData>
    <row r="1" spans="1:10" ht="53.25" customHeight="1" thickBot="1">
      <c r="A1" s="935" t="s">
        <v>551</v>
      </c>
      <c r="B1" s="937" t="s">
        <v>667</v>
      </c>
      <c r="C1" s="937"/>
      <c r="D1" s="938"/>
      <c r="E1" s="937" t="s">
        <v>668</v>
      </c>
      <c r="F1" s="937"/>
      <c r="G1" s="937"/>
      <c r="H1" s="939" t="s">
        <v>278</v>
      </c>
      <c r="I1" s="940"/>
      <c r="J1" s="941"/>
    </row>
    <row r="2" spans="1:10" s="457" customFormat="1" ht="39.75" customHeight="1">
      <c r="A2" s="936"/>
      <c r="B2" s="463" t="s">
        <v>828</v>
      </c>
      <c r="C2" s="463" t="s">
        <v>732</v>
      </c>
      <c r="D2" s="463" t="s">
        <v>1034</v>
      </c>
      <c r="E2" s="463" t="s">
        <v>828</v>
      </c>
      <c r="F2" s="888" t="s">
        <v>732</v>
      </c>
      <c r="G2" s="888" t="s">
        <v>1034</v>
      </c>
      <c r="H2" s="901" t="s">
        <v>828</v>
      </c>
      <c r="I2" s="903" t="s">
        <v>732</v>
      </c>
      <c r="J2" s="901" t="s">
        <v>1034</v>
      </c>
    </row>
    <row r="3" spans="1:10" ht="16.5" customHeight="1">
      <c r="A3" s="464" t="s">
        <v>552</v>
      </c>
      <c r="B3" s="465">
        <v>100256200</v>
      </c>
      <c r="C3" s="465"/>
      <c r="D3" s="465">
        <f>+B3+C3</f>
        <v>100256200</v>
      </c>
      <c r="E3" s="466">
        <v>0</v>
      </c>
      <c r="F3" s="466"/>
      <c r="G3" s="466">
        <f>+E3+F3</f>
        <v>0</v>
      </c>
      <c r="H3" s="890">
        <f>+B3+E3</f>
        <v>100256200</v>
      </c>
      <c r="I3" s="895">
        <f>+C3+F3</f>
        <v>0</v>
      </c>
      <c r="J3" s="890">
        <f>+D3+G3</f>
        <v>100256200</v>
      </c>
    </row>
    <row r="4" spans="1:10" ht="16.5" customHeight="1">
      <c r="A4" s="467" t="s">
        <v>553</v>
      </c>
      <c r="B4" s="468">
        <v>26278582</v>
      </c>
      <c r="C4" s="468"/>
      <c r="D4" s="465">
        <f t="shared" ref="D4:D12" si="0">+B4+C4</f>
        <v>26278582</v>
      </c>
      <c r="E4" s="469">
        <v>0</v>
      </c>
      <c r="F4" s="469"/>
      <c r="G4" s="469">
        <f t="shared" ref="G4:G12" si="1">+E4+F4</f>
        <v>0</v>
      </c>
      <c r="H4" s="890">
        <f t="shared" ref="H4:J45" si="2">+B4+E4</f>
        <v>26278582</v>
      </c>
      <c r="I4" s="895">
        <f t="shared" si="2"/>
        <v>0</v>
      </c>
      <c r="J4" s="890">
        <f t="shared" si="2"/>
        <v>26278582</v>
      </c>
    </row>
    <row r="5" spans="1:10" s="497" customFormat="1" ht="16.5" customHeight="1">
      <c r="A5" s="494" t="s">
        <v>586</v>
      </c>
      <c r="B5" s="495">
        <v>7858520</v>
      </c>
      <c r="C5" s="495"/>
      <c r="D5" s="465">
        <f t="shared" si="0"/>
        <v>7858520</v>
      </c>
      <c r="E5" s="496">
        <v>0</v>
      </c>
      <c r="F5" s="496"/>
      <c r="G5" s="469">
        <f t="shared" si="1"/>
        <v>0</v>
      </c>
      <c r="H5" s="890">
        <f t="shared" si="2"/>
        <v>7858520</v>
      </c>
      <c r="I5" s="895">
        <f t="shared" si="2"/>
        <v>0</v>
      </c>
      <c r="J5" s="890">
        <f t="shared" si="2"/>
        <v>7858520</v>
      </c>
    </row>
    <row r="6" spans="1:10" s="497" customFormat="1" ht="16.5" customHeight="1">
      <c r="A6" s="494" t="s">
        <v>588</v>
      </c>
      <c r="B6" s="495">
        <v>10624000</v>
      </c>
      <c r="C6" s="495"/>
      <c r="D6" s="465">
        <f t="shared" si="0"/>
        <v>10624000</v>
      </c>
      <c r="E6" s="496">
        <v>0</v>
      </c>
      <c r="F6" s="496"/>
      <c r="G6" s="469">
        <f t="shared" si="1"/>
        <v>0</v>
      </c>
      <c r="H6" s="890">
        <f t="shared" si="2"/>
        <v>10624000</v>
      </c>
      <c r="I6" s="895">
        <f t="shared" si="2"/>
        <v>0</v>
      </c>
      <c r="J6" s="890">
        <f t="shared" si="2"/>
        <v>10624000</v>
      </c>
    </row>
    <row r="7" spans="1:10" s="497" customFormat="1" ht="16.5" customHeight="1">
      <c r="A7" s="494" t="s">
        <v>589</v>
      </c>
      <c r="B7" s="495">
        <v>1539942</v>
      </c>
      <c r="C7" s="495"/>
      <c r="D7" s="468">
        <f t="shared" si="0"/>
        <v>1539942</v>
      </c>
      <c r="E7" s="496">
        <v>0</v>
      </c>
      <c r="F7" s="496"/>
      <c r="G7" s="469">
        <f t="shared" si="1"/>
        <v>0</v>
      </c>
      <c r="H7" s="890">
        <f t="shared" si="2"/>
        <v>1539942</v>
      </c>
      <c r="I7" s="895">
        <f t="shared" si="2"/>
        <v>0</v>
      </c>
      <c r="J7" s="890">
        <f t="shared" si="2"/>
        <v>1539942</v>
      </c>
    </row>
    <row r="8" spans="1:10" s="497" customFormat="1" ht="16.5" customHeight="1">
      <c r="A8" s="494" t="s">
        <v>587</v>
      </c>
      <c r="B8" s="495">
        <v>6256120</v>
      </c>
      <c r="C8" s="495"/>
      <c r="D8" s="468">
        <f t="shared" si="0"/>
        <v>6256120</v>
      </c>
      <c r="E8" s="496">
        <v>0</v>
      </c>
      <c r="F8" s="496"/>
      <c r="G8" s="469">
        <f t="shared" si="1"/>
        <v>0</v>
      </c>
      <c r="H8" s="890">
        <f t="shared" si="2"/>
        <v>6256120</v>
      </c>
      <c r="I8" s="895">
        <f t="shared" si="2"/>
        <v>0</v>
      </c>
      <c r="J8" s="890">
        <f t="shared" si="2"/>
        <v>6256120</v>
      </c>
    </row>
    <row r="9" spans="1:10" ht="26.25" customHeight="1">
      <c r="A9" s="615" t="s">
        <v>554</v>
      </c>
      <c r="B9" s="616">
        <v>-21439942</v>
      </c>
      <c r="C9" s="616"/>
      <c r="D9" s="468">
        <f t="shared" si="0"/>
        <v>-21439942</v>
      </c>
      <c r="E9" s="617">
        <v>0</v>
      </c>
      <c r="F9" s="617"/>
      <c r="G9" s="469">
        <f t="shared" si="1"/>
        <v>0</v>
      </c>
      <c r="H9" s="891">
        <f t="shared" si="2"/>
        <v>-21439942</v>
      </c>
      <c r="I9" s="904">
        <f t="shared" si="2"/>
        <v>0</v>
      </c>
      <c r="J9" s="891">
        <f t="shared" si="2"/>
        <v>-21439942</v>
      </c>
    </row>
    <row r="10" spans="1:10" ht="16.5" customHeight="1">
      <c r="A10" s="470" t="s">
        <v>555</v>
      </c>
      <c r="B10" s="471">
        <v>15627377</v>
      </c>
      <c r="C10" s="471"/>
      <c r="D10" s="471">
        <f t="shared" si="0"/>
        <v>15627377</v>
      </c>
      <c r="E10" s="472">
        <v>0</v>
      </c>
      <c r="F10" s="472"/>
      <c r="G10" s="472">
        <f t="shared" si="1"/>
        <v>0</v>
      </c>
      <c r="H10" s="890">
        <f t="shared" si="2"/>
        <v>15627377</v>
      </c>
      <c r="I10" s="895">
        <f t="shared" si="2"/>
        <v>0</v>
      </c>
      <c r="J10" s="890">
        <f t="shared" si="2"/>
        <v>15627377</v>
      </c>
    </row>
    <row r="11" spans="1:10" s="457" customFormat="1" ht="16.5" customHeight="1">
      <c r="A11" s="473" t="s">
        <v>572</v>
      </c>
      <c r="B11" s="474">
        <v>10850</v>
      </c>
      <c r="C11" s="474"/>
      <c r="D11" s="474">
        <f t="shared" si="0"/>
        <v>10850</v>
      </c>
      <c r="E11" s="475">
        <v>0</v>
      </c>
      <c r="F11" s="475"/>
      <c r="G11" s="475">
        <f t="shared" si="1"/>
        <v>0</v>
      </c>
      <c r="H11" s="890">
        <f t="shared" si="2"/>
        <v>10850</v>
      </c>
      <c r="I11" s="895">
        <f t="shared" si="2"/>
        <v>0</v>
      </c>
      <c r="J11" s="890">
        <f t="shared" si="2"/>
        <v>10850</v>
      </c>
    </row>
    <row r="12" spans="1:10" s="457" customFormat="1" ht="16.5" customHeight="1" thickBot="1">
      <c r="A12" s="587" t="s">
        <v>574</v>
      </c>
      <c r="B12" s="588">
        <v>897600</v>
      </c>
      <c r="C12" s="588"/>
      <c r="D12" s="588">
        <f t="shared" si="0"/>
        <v>897600</v>
      </c>
      <c r="E12" s="589">
        <v>0</v>
      </c>
      <c r="F12" s="589"/>
      <c r="G12" s="589">
        <f t="shared" si="1"/>
        <v>0</v>
      </c>
      <c r="H12" s="892">
        <f t="shared" si="2"/>
        <v>897600</v>
      </c>
      <c r="I12" s="898">
        <f t="shared" si="2"/>
        <v>0</v>
      </c>
      <c r="J12" s="892">
        <f t="shared" si="2"/>
        <v>897600</v>
      </c>
    </row>
    <row r="13" spans="1:10" s="457" customFormat="1" ht="13.8" thickBot="1">
      <c r="A13" s="582" t="s">
        <v>557</v>
      </c>
      <c r="B13" s="489">
        <f>+B3+B4+B9+B10+B11+B12</f>
        <v>121630667</v>
      </c>
      <c r="C13" s="489"/>
      <c r="D13" s="489">
        <f t="shared" ref="D13:J13" si="3">+D3+D4+D9+D10+D11+D12</f>
        <v>121630667</v>
      </c>
      <c r="E13" s="489">
        <f t="shared" si="3"/>
        <v>0</v>
      </c>
      <c r="F13" s="490"/>
      <c r="G13" s="490">
        <f t="shared" si="3"/>
        <v>0</v>
      </c>
      <c r="H13" s="893">
        <f t="shared" si="3"/>
        <v>121630667</v>
      </c>
      <c r="I13" s="905">
        <f t="shared" si="3"/>
        <v>0</v>
      </c>
      <c r="J13" s="893">
        <f t="shared" si="3"/>
        <v>121630667</v>
      </c>
    </row>
    <row r="14" spans="1:10" ht="16.5" customHeight="1">
      <c r="A14" s="479" t="s">
        <v>669</v>
      </c>
      <c r="B14" s="465">
        <v>64332800</v>
      </c>
      <c r="C14" s="465">
        <v>-287200</v>
      </c>
      <c r="D14" s="465">
        <f t="shared" ref="D14:D15" si="4">+B14+C14</f>
        <v>64045600</v>
      </c>
      <c r="E14" s="466">
        <v>69215200</v>
      </c>
      <c r="F14" s="466">
        <v>-574400</v>
      </c>
      <c r="G14" s="466">
        <f t="shared" ref="G14:G15" si="5">+E14+F14</f>
        <v>68640800</v>
      </c>
      <c r="H14" s="890">
        <f t="shared" si="2"/>
        <v>133548000</v>
      </c>
      <c r="I14" s="895">
        <f t="shared" si="2"/>
        <v>-861600</v>
      </c>
      <c r="J14" s="890">
        <f t="shared" si="2"/>
        <v>132686400</v>
      </c>
    </row>
    <row r="15" spans="1:10" ht="16.5" customHeight="1">
      <c r="A15" s="480" t="s">
        <v>617</v>
      </c>
      <c r="B15" s="471">
        <v>29438000</v>
      </c>
      <c r="C15" s="471">
        <v>-1436000</v>
      </c>
      <c r="D15" s="471">
        <f t="shared" si="4"/>
        <v>28002000</v>
      </c>
      <c r="E15" s="472">
        <v>35038400</v>
      </c>
      <c r="F15" s="472">
        <v>-2010400</v>
      </c>
      <c r="G15" s="472">
        <f t="shared" si="5"/>
        <v>33028000</v>
      </c>
      <c r="H15" s="892">
        <f t="shared" si="2"/>
        <v>64476400</v>
      </c>
      <c r="I15" s="898">
        <f t="shared" si="2"/>
        <v>-3446400</v>
      </c>
      <c r="J15" s="892">
        <f t="shared" si="2"/>
        <v>61030000</v>
      </c>
    </row>
    <row r="16" spans="1:10" s="457" customFormat="1" ht="16.5" customHeight="1">
      <c r="A16" s="611" t="s">
        <v>558</v>
      </c>
      <c r="B16" s="477">
        <f>SUM(B14:B15)</f>
        <v>93770800</v>
      </c>
      <c r="C16" s="477">
        <f t="shared" ref="C16:J16" si="6">SUM(C14:C15)</f>
        <v>-1723200</v>
      </c>
      <c r="D16" s="477">
        <f t="shared" si="6"/>
        <v>92047600</v>
      </c>
      <c r="E16" s="477">
        <f t="shared" si="6"/>
        <v>104253600</v>
      </c>
      <c r="F16" s="477">
        <f t="shared" si="6"/>
        <v>-2584800</v>
      </c>
      <c r="G16" s="478">
        <f t="shared" si="6"/>
        <v>101668800</v>
      </c>
      <c r="H16" s="902">
        <f t="shared" si="6"/>
        <v>198024400</v>
      </c>
      <c r="I16" s="906">
        <f t="shared" si="6"/>
        <v>-4308000</v>
      </c>
      <c r="J16" s="902">
        <f t="shared" si="6"/>
        <v>193716400</v>
      </c>
    </row>
    <row r="17" spans="1:10" s="457" customFormat="1" ht="16.5" customHeight="1">
      <c r="A17" s="611" t="s">
        <v>559</v>
      </c>
      <c r="B17" s="477">
        <v>717500</v>
      </c>
      <c r="C17" s="477">
        <v>-35000</v>
      </c>
      <c r="D17" s="477">
        <f>+B17+C17</f>
        <v>682500</v>
      </c>
      <c r="E17" s="478">
        <v>854000</v>
      </c>
      <c r="F17" s="478">
        <v>-49000</v>
      </c>
      <c r="G17" s="478">
        <f>+E17+F17</f>
        <v>805000</v>
      </c>
      <c r="H17" s="889">
        <f t="shared" si="2"/>
        <v>1571500</v>
      </c>
      <c r="I17" s="899">
        <f t="shared" si="2"/>
        <v>-84000</v>
      </c>
      <c r="J17" s="889">
        <f t="shared" si="2"/>
        <v>1487500</v>
      </c>
    </row>
    <row r="18" spans="1:10" s="457" customFormat="1" ht="33.75" customHeight="1">
      <c r="A18" s="614" t="s">
        <v>580</v>
      </c>
      <c r="B18" s="477">
        <v>1856000</v>
      </c>
      <c r="C18" s="477"/>
      <c r="D18" s="477">
        <f>+B18+C18</f>
        <v>1856000</v>
      </c>
      <c r="E18" s="478">
        <v>1920000</v>
      </c>
      <c r="F18" s="478"/>
      <c r="G18" s="478">
        <f>+E18+F18</f>
        <v>1920000</v>
      </c>
      <c r="H18" s="889">
        <f t="shared" si="2"/>
        <v>3776000</v>
      </c>
      <c r="I18" s="899">
        <f t="shared" si="2"/>
        <v>0</v>
      </c>
      <c r="J18" s="889">
        <f t="shared" si="2"/>
        <v>3776000</v>
      </c>
    </row>
    <row r="19" spans="1:10" ht="16.5" customHeight="1">
      <c r="A19" s="479" t="s">
        <v>616</v>
      </c>
      <c r="B19" s="465">
        <v>16800000</v>
      </c>
      <c r="C19" s="465"/>
      <c r="D19" s="465">
        <f t="shared" ref="D19:D20" si="7">+B19+C19</f>
        <v>16800000</v>
      </c>
      <c r="E19" s="466">
        <v>18000000</v>
      </c>
      <c r="F19" s="466"/>
      <c r="G19" s="466">
        <f>+E19+F19</f>
        <v>18000000</v>
      </c>
      <c r="H19" s="890">
        <f t="shared" si="2"/>
        <v>34800000</v>
      </c>
      <c r="I19" s="895">
        <f t="shared" si="2"/>
        <v>0</v>
      </c>
      <c r="J19" s="890">
        <f t="shared" si="2"/>
        <v>34800000</v>
      </c>
    </row>
    <row r="20" spans="1:10" ht="16.5" customHeight="1">
      <c r="A20" s="480" t="s">
        <v>617</v>
      </c>
      <c r="B20" s="471">
        <v>8400000</v>
      </c>
      <c r="C20" s="471"/>
      <c r="D20" s="471">
        <f t="shared" si="7"/>
        <v>8400000</v>
      </c>
      <c r="E20" s="472">
        <v>9000000</v>
      </c>
      <c r="F20" s="472"/>
      <c r="G20" s="472">
        <f>+E20+F20</f>
        <v>9000000</v>
      </c>
      <c r="H20" s="892">
        <f t="shared" si="2"/>
        <v>17400000</v>
      </c>
      <c r="I20" s="898">
        <f t="shared" si="2"/>
        <v>0</v>
      </c>
      <c r="J20" s="892">
        <f t="shared" si="2"/>
        <v>17400000</v>
      </c>
    </row>
    <row r="21" spans="1:10" s="457" customFormat="1" ht="29.25" customHeight="1">
      <c r="A21" s="612" t="s">
        <v>560</v>
      </c>
      <c r="B21" s="477">
        <f t="shared" ref="B21:J21" si="8">SUM(B19:B20)</f>
        <v>25200000</v>
      </c>
      <c r="C21" s="477">
        <f t="shared" si="8"/>
        <v>0</v>
      </c>
      <c r="D21" s="477">
        <f t="shared" si="8"/>
        <v>25200000</v>
      </c>
      <c r="E21" s="477">
        <f t="shared" si="8"/>
        <v>27000000</v>
      </c>
      <c r="F21" s="477">
        <f t="shared" si="8"/>
        <v>0</v>
      </c>
      <c r="G21" s="478">
        <f t="shared" si="8"/>
        <v>27000000</v>
      </c>
      <c r="H21" s="902">
        <f t="shared" si="8"/>
        <v>52200000</v>
      </c>
      <c r="I21" s="906">
        <f t="shared" si="8"/>
        <v>0</v>
      </c>
      <c r="J21" s="902">
        <f t="shared" si="8"/>
        <v>52200000</v>
      </c>
    </row>
    <row r="22" spans="1:10" ht="16.5" customHeight="1">
      <c r="A22" s="479" t="s">
        <v>616</v>
      </c>
      <c r="B22" s="465">
        <v>12960000</v>
      </c>
      <c r="C22" s="465">
        <v>-53333</v>
      </c>
      <c r="D22" s="465">
        <f t="shared" ref="D22:D23" si="9">+B22+C22</f>
        <v>12906667</v>
      </c>
      <c r="E22" s="466">
        <v>14293333</v>
      </c>
      <c r="F22" s="466">
        <v>-53333</v>
      </c>
      <c r="G22" s="466">
        <f>+E22+F22</f>
        <v>14240000</v>
      </c>
      <c r="H22" s="890">
        <f t="shared" si="2"/>
        <v>27253333</v>
      </c>
      <c r="I22" s="895">
        <f t="shared" si="2"/>
        <v>-106666</v>
      </c>
      <c r="J22" s="890">
        <f t="shared" si="2"/>
        <v>27146667</v>
      </c>
    </row>
    <row r="23" spans="1:10" ht="16.5" customHeight="1">
      <c r="A23" s="480" t="s">
        <v>617</v>
      </c>
      <c r="B23" s="471">
        <v>6053333</v>
      </c>
      <c r="C23" s="471">
        <v>-293333</v>
      </c>
      <c r="D23" s="471">
        <f t="shared" si="9"/>
        <v>5760000</v>
      </c>
      <c r="E23" s="472">
        <v>7280000</v>
      </c>
      <c r="F23" s="472">
        <v>-560000</v>
      </c>
      <c r="G23" s="472">
        <f>+E23+F23</f>
        <v>6720000</v>
      </c>
      <c r="H23" s="892">
        <f t="shared" si="2"/>
        <v>13333333</v>
      </c>
      <c r="I23" s="898">
        <f t="shared" si="2"/>
        <v>-853333</v>
      </c>
      <c r="J23" s="892">
        <f t="shared" si="2"/>
        <v>12480000</v>
      </c>
    </row>
    <row r="24" spans="1:10" s="457" customFormat="1" ht="16.5" customHeight="1">
      <c r="A24" s="611" t="s">
        <v>561</v>
      </c>
      <c r="B24" s="477">
        <f t="shared" ref="B24:J24" si="10">+B22+B23</f>
        <v>19013333</v>
      </c>
      <c r="C24" s="477">
        <f t="shared" si="10"/>
        <v>-346666</v>
      </c>
      <c r="D24" s="477">
        <f t="shared" si="10"/>
        <v>18666667</v>
      </c>
      <c r="E24" s="477">
        <f t="shared" si="10"/>
        <v>21573333</v>
      </c>
      <c r="F24" s="477">
        <f t="shared" si="10"/>
        <v>-613333</v>
      </c>
      <c r="G24" s="478">
        <f t="shared" si="10"/>
        <v>20960000</v>
      </c>
      <c r="H24" s="902">
        <f t="shared" si="10"/>
        <v>40586666</v>
      </c>
      <c r="I24" s="906">
        <f t="shared" si="10"/>
        <v>-959999</v>
      </c>
      <c r="J24" s="902">
        <f t="shared" si="10"/>
        <v>39626667</v>
      </c>
    </row>
    <row r="25" spans="1:10" ht="16.5" customHeight="1">
      <c r="A25" s="481" t="s">
        <v>562</v>
      </c>
      <c r="B25" s="482">
        <v>28252439</v>
      </c>
      <c r="C25" s="482">
        <v>-29020</v>
      </c>
      <c r="D25" s="482">
        <f t="shared" ref="D25:D26" si="11">+B25+C25</f>
        <v>28223419</v>
      </c>
      <c r="E25" s="483">
        <v>1841641</v>
      </c>
      <c r="F25" s="483"/>
      <c r="G25" s="483">
        <f>+E25+F25</f>
        <v>1841641</v>
      </c>
      <c r="H25" s="890">
        <f t="shared" si="2"/>
        <v>30094080</v>
      </c>
      <c r="I25" s="895">
        <f t="shared" si="2"/>
        <v>-29020</v>
      </c>
      <c r="J25" s="890">
        <f t="shared" si="2"/>
        <v>30065060</v>
      </c>
    </row>
    <row r="26" spans="1:10" ht="16.5" customHeight="1" thickBot="1">
      <c r="A26" s="907" t="s">
        <v>563</v>
      </c>
      <c r="B26" s="471">
        <v>37009287</v>
      </c>
      <c r="C26" s="471">
        <v>-4024010</v>
      </c>
      <c r="D26" s="471">
        <f t="shared" si="11"/>
        <v>32985277</v>
      </c>
      <c r="E26" s="472">
        <v>2044587</v>
      </c>
      <c r="F26" s="472">
        <v>-470795</v>
      </c>
      <c r="G26" s="472">
        <v>2044587</v>
      </c>
      <c r="H26" s="892">
        <f t="shared" si="2"/>
        <v>39053874</v>
      </c>
      <c r="I26" s="898">
        <f t="shared" si="2"/>
        <v>-4494805</v>
      </c>
      <c r="J26" s="892">
        <f t="shared" si="2"/>
        <v>35029864</v>
      </c>
    </row>
    <row r="27" spans="1:10" s="457" customFormat="1" ht="16.5" customHeight="1" thickBot="1">
      <c r="A27" s="908" t="s">
        <v>564</v>
      </c>
      <c r="B27" s="489">
        <f t="shared" ref="B27:J27" si="12">SUM(B25:B26)</f>
        <v>65261726</v>
      </c>
      <c r="C27" s="489">
        <f t="shared" si="12"/>
        <v>-4053030</v>
      </c>
      <c r="D27" s="489">
        <f t="shared" si="12"/>
        <v>61208696</v>
      </c>
      <c r="E27" s="489">
        <f t="shared" si="12"/>
        <v>3886228</v>
      </c>
      <c r="F27" s="489">
        <f t="shared" si="12"/>
        <v>-470795</v>
      </c>
      <c r="G27" s="490">
        <f t="shared" si="12"/>
        <v>3886228</v>
      </c>
      <c r="H27" s="893">
        <f t="shared" si="12"/>
        <v>69147954</v>
      </c>
      <c r="I27" s="905">
        <f t="shared" si="12"/>
        <v>-4523825</v>
      </c>
      <c r="J27" s="893">
        <f t="shared" si="12"/>
        <v>65094924</v>
      </c>
    </row>
    <row r="28" spans="1:10" ht="16.5" customHeight="1" thickBot="1">
      <c r="A28" s="582" t="s">
        <v>565</v>
      </c>
      <c r="B28" s="489">
        <f>+B27+B24+B21+B18+B17+B16</f>
        <v>205819359</v>
      </c>
      <c r="C28" s="489">
        <f t="shared" ref="C28:J28" si="13">+C27+C24+C21+C18+C17+C16</f>
        <v>-6157896</v>
      </c>
      <c r="D28" s="489">
        <f t="shared" si="13"/>
        <v>199661463</v>
      </c>
      <c r="E28" s="489">
        <f t="shared" si="13"/>
        <v>159487161</v>
      </c>
      <c r="F28" s="489">
        <f t="shared" si="13"/>
        <v>-3717928</v>
      </c>
      <c r="G28" s="490">
        <f t="shared" si="13"/>
        <v>156240028</v>
      </c>
      <c r="H28" s="893">
        <f t="shared" si="13"/>
        <v>365306520</v>
      </c>
      <c r="I28" s="905">
        <f t="shared" si="13"/>
        <v>-9875824</v>
      </c>
      <c r="J28" s="893">
        <f t="shared" si="13"/>
        <v>355901491</v>
      </c>
    </row>
    <row r="29" spans="1:10" ht="16.5" customHeight="1">
      <c r="A29" s="486" t="s">
        <v>675</v>
      </c>
      <c r="B29" s="465"/>
      <c r="C29" s="465"/>
      <c r="D29" s="465"/>
      <c r="E29" s="754">
        <v>15000000</v>
      </c>
      <c r="F29" s="755"/>
      <c r="G29" s="466">
        <f t="shared" ref="G29:G36" si="14">+E29+F29</f>
        <v>15000000</v>
      </c>
      <c r="H29" s="894">
        <f t="shared" si="2"/>
        <v>15000000</v>
      </c>
      <c r="I29" s="895">
        <f t="shared" si="2"/>
        <v>0</v>
      </c>
      <c r="J29" s="894">
        <f t="shared" si="2"/>
        <v>15000000</v>
      </c>
    </row>
    <row r="30" spans="1:10" ht="16.5" customHeight="1">
      <c r="A30" s="486" t="s">
        <v>676</v>
      </c>
      <c r="B30" s="465"/>
      <c r="C30" s="465"/>
      <c r="D30" s="465"/>
      <c r="E30" s="465">
        <v>9900000</v>
      </c>
      <c r="F30" s="753"/>
      <c r="G30" s="466">
        <f t="shared" si="14"/>
        <v>9900000</v>
      </c>
      <c r="H30" s="890">
        <f t="shared" si="2"/>
        <v>9900000</v>
      </c>
      <c r="I30" s="895">
        <f t="shared" si="2"/>
        <v>0</v>
      </c>
      <c r="J30" s="890">
        <f t="shared" si="2"/>
        <v>9900000</v>
      </c>
    </row>
    <row r="31" spans="1:10" ht="16.5" customHeight="1">
      <c r="A31" s="486" t="s">
        <v>677</v>
      </c>
      <c r="B31" s="613"/>
      <c r="C31" s="465"/>
      <c r="D31" s="613"/>
      <c r="E31" s="466">
        <v>996480</v>
      </c>
      <c r="F31" s="466">
        <v>-553600</v>
      </c>
      <c r="G31" s="466">
        <f t="shared" si="14"/>
        <v>442880</v>
      </c>
      <c r="H31" s="890">
        <f t="shared" si="2"/>
        <v>996480</v>
      </c>
      <c r="I31" s="895">
        <f t="shared" si="2"/>
        <v>-553600</v>
      </c>
      <c r="J31" s="890">
        <f t="shared" si="2"/>
        <v>442880</v>
      </c>
    </row>
    <row r="32" spans="1:10" ht="16.5" customHeight="1">
      <c r="A32" s="467" t="s">
        <v>566</v>
      </c>
      <c r="B32" s="468"/>
      <c r="C32" s="468"/>
      <c r="D32" s="468"/>
      <c r="E32" s="469">
        <v>20358000</v>
      </c>
      <c r="F32" s="469">
        <v>-4335500</v>
      </c>
      <c r="G32" s="469">
        <f t="shared" si="14"/>
        <v>16022500</v>
      </c>
      <c r="H32" s="890">
        <f t="shared" si="2"/>
        <v>20358000</v>
      </c>
      <c r="I32" s="895">
        <f t="shared" si="2"/>
        <v>-4335500</v>
      </c>
      <c r="J32" s="890">
        <f t="shared" si="2"/>
        <v>16022500</v>
      </c>
    </row>
    <row r="33" spans="1:10" ht="16.5" customHeight="1">
      <c r="A33" s="467" t="s">
        <v>567</v>
      </c>
      <c r="B33" s="468"/>
      <c r="C33" s="468"/>
      <c r="D33" s="468"/>
      <c r="E33" s="469">
        <v>1144500</v>
      </c>
      <c r="F33" s="469">
        <v>-654000</v>
      </c>
      <c r="G33" s="469">
        <f t="shared" si="14"/>
        <v>490500</v>
      </c>
      <c r="H33" s="890">
        <f t="shared" si="2"/>
        <v>1144500</v>
      </c>
      <c r="I33" s="895">
        <f t="shared" si="2"/>
        <v>-654000</v>
      </c>
      <c r="J33" s="890">
        <f t="shared" si="2"/>
        <v>490500</v>
      </c>
    </row>
    <row r="34" spans="1:10" ht="16.5" customHeight="1">
      <c r="A34" s="467" t="s">
        <v>568</v>
      </c>
      <c r="B34" s="468"/>
      <c r="C34" s="468"/>
      <c r="D34" s="468"/>
      <c r="E34" s="469">
        <v>2500000</v>
      </c>
      <c r="F34" s="469"/>
      <c r="G34" s="469">
        <f t="shared" si="14"/>
        <v>2500000</v>
      </c>
      <c r="H34" s="890">
        <f t="shared" si="2"/>
        <v>2500000</v>
      </c>
      <c r="I34" s="895">
        <f t="shared" si="2"/>
        <v>0</v>
      </c>
      <c r="J34" s="890">
        <f t="shared" si="2"/>
        <v>2500000</v>
      </c>
    </row>
    <row r="35" spans="1:10" ht="16.5" customHeight="1">
      <c r="A35" s="467" t="s">
        <v>569</v>
      </c>
      <c r="B35" s="468"/>
      <c r="C35" s="468"/>
      <c r="D35" s="468"/>
      <c r="E35" s="469">
        <v>1743300</v>
      </c>
      <c r="F35" s="469"/>
      <c r="G35" s="469">
        <f t="shared" si="14"/>
        <v>1743300</v>
      </c>
      <c r="H35" s="896">
        <f t="shared" si="2"/>
        <v>1743300</v>
      </c>
      <c r="I35" s="897">
        <f t="shared" si="2"/>
        <v>0</v>
      </c>
      <c r="J35" s="896">
        <f t="shared" si="2"/>
        <v>1743300</v>
      </c>
    </row>
    <row r="36" spans="1:10" ht="16.5" customHeight="1">
      <c r="A36" s="592" t="s">
        <v>678</v>
      </c>
      <c r="B36" s="484"/>
      <c r="C36" s="484"/>
      <c r="D36" s="484"/>
      <c r="E36" s="485">
        <v>8940000</v>
      </c>
      <c r="F36" s="485"/>
      <c r="G36" s="485">
        <f t="shared" si="14"/>
        <v>8940000</v>
      </c>
      <c r="H36" s="892">
        <f t="shared" si="2"/>
        <v>8940000</v>
      </c>
      <c r="I36" s="898">
        <f t="shared" si="2"/>
        <v>0</v>
      </c>
      <c r="J36" s="892">
        <f t="shared" si="2"/>
        <v>8940000</v>
      </c>
    </row>
    <row r="37" spans="1:10" s="457" customFormat="1" ht="16.5" customHeight="1">
      <c r="A37" s="487" t="s">
        <v>570</v>
      </c>
      <c r="B37" s="477">
        <v>0</v>
      </c>
      <c r="C37" s="477"/>
      <c r="D37" s="477">
        <f t="shared" ref="D37:D45" si="15">+B37+C37</f>
        <v>0</v>
      </c>
      <c r="E37" s="478">
        <f>SUM(E29:E36)</f>
        <v>60582280</v>
      </c>
      <c r="F37" s="478">
        <f t="shared" ref="F37:G37" si="16">SUM(F29:F36)</f>
        <v>-5543100</v>
      </c>
      <c r="G37" s="478">
        <f t="shared" si="16"/>
        <v>55039180</v>
      </c>
      <c r="H37" s="889">
        <f t="shared" si="2"/>
        <v>60582280</v>
      </c>
      <c r="I37" s="899">
        <f t="shared" si="2"/>
        <v>-5543100</v>
      </c>
      <c r="J37" s="889">
        <f t="shared" si="2"/>
        <v>55039180</v>
      </c>
    </row>
    <row r="38" spans="1:10" s="457" customFormat="1" ht="16.5" customHeight="1">
      <c r="A38" s="487" t="s">
        <v>674</v>
      </c>
      <c r="B38" s="477">
        <v>66120</v>
      </c>
      <c r="C38" s="477">
        <v>242820</v>
      </c>
      <c r="D38" s="477">
        <f t="shared" si="15"/>
        <v>308940</v>
      </c>
      <c r="E38" s="478"/>
      <c r="F38" s="478"/>
      <c r="G38" s="478"/>
      <c r="H38" s="889">
        <f t="shared" si="2"/>
        <v>66120</v>
      </c>
      <c r="I38" s="899">
        <f t="shared" si="2"/>
        <v>242820</v>
      </c>
      <c r="J38" s="889">
        <f t="shared" si="2"/>
        <v>308940</v>
      </c>
    </row>
    <row r="39" spans="1:10" s="457" customFormat="1" ht="29.25" customHeight="1">
      <c r="A39" s="476" t="s">
        <v>556</v>
      </c>
      <c r="B39" s="477">
        <v>30965683</v>
      </c>
      <c r="C39" s="477"/>
      <c r="D39" s="477">
        <f t="shared" si="15"/>
        <v>30965683</v>
      </c>
      <c r="E39" s="478"/>
      <c r="F39" s="478"/>
      <c r="G39" s="478"/>
      <c r="H39" s="889">
        <f t="shared" si="2"/>
        <v>30965683</v>
      </c>
      <c r="I39" s="899">
        <f t="shared" si="2"/>
        <v>0</v>
      </c>
      <c r="J39" s="889">
        <f t="shared" si="2"/>
        <v>30965683</v>
      </c>
    </row>
    <row r="40" spans="1:10" s="457" customFormat="1" ht="16.5" customHeight="1">
      <c r="A40" s="476" t="s">
        <v>571</v>
      </c>
      <c r="B40" s="477">
        <v>6423900</v>
      </c>
      <c r="C40" s="477">
        <v>334000</v>
      </c>
      <c r="D40" s="477">
        <f t="shared" si="15"/>
        <v>6757900</v>
      </c>
      <c r="E40" s="478"/>
      <c r="F40" s="478"/>
      <c r="G40" s="478"/>
      <c r="H40" s="889">
        <f t="shared" si="2"/>
        <v>6423900</v>
      </c>
      <c r="I40" s="899">
        <f t="shared" si="2"/>
        <v>334000</v>
      </c>
      <c r="J40" s="889">
        <f t="shared" si="2"/>
        <v>6757900</v>
      </c>
    </row>
    <row r="41" spans="1:10" s="457" customFormat="1" ht="16.5" customHeight="1">
      <c r="A41" s="476" t="s">
        <v>573</v>
      </c>
      <c r="B41" s="477">
        <v>5668000</v>
      </c>
      <c r="C41" s="477"/>
      <c r="D41" s="477">
        <f t="shared" si="15"/>
        <v>5668000</v>
      </c>
      <c r="E41" s="478"/>
      <c r="F41" s="478"/>
      <c r="G41" s="478"/>
      <c r="H41" s="889">
        <f t="shared" si="2"/>
        <v>5668000</v>
      </c>
      <c r="I41" s="899">
        <f t="shared" si="2"/>
        <v>0</v>
      </c>
      <c r="J41" s="889">
        <f t="shared" si="2"/>
        <v>5668000</v>
      </c>
    </row>
    <row r="42" spans="1:10" s="457" customFormat="1" ht="16.5" customHeight="1">
      <c r="A42" s="487" t="s">
        <v>575</v>
      </c>
      <c r="B42" s="477"/>
      <c r="C42" s="477"/>
      <c r="D42" s="477">
        <f t="shared" si="15"/>
        <v>0</v>
      </c>
      <c r="E42" s="478"/>
      <c r="F42" s="478"/>
      <c r="G42" s="478"/>
      <c r="H42" s="889">
        <f t="shared" si="2"/>
        <v>0</v>
      </c>
      <c r="I42" s="899">
        <f t="shared" si="2"/>
        <v>0</v>
      </c>
      <c r="J42" s="889">
        <f t="shared" si="2"/>
        <v>0</v>
      </c>
    </row>
    <row r="43" spans="1:10" s="457" customFormat="1" ht="16.5" customHeight="1">
      <c r="A43" s="583" t="s">
        <v>1035</v>
      </c>
      <c r="B43" s="584"/>
      <c r="C43" s="584"/>
      <c r="D43" s="477">
        <f t="shared" si="15"/>
        <v>0</v>
      </c>
      <c r="E43" s="585">
        <v>5721000</v>
      </c>
      <c r="F43" s="585">
        <f>5831035-4000</f>
        <v>5827035</v>
      </c>
      <c r="G43" s="585">
        <f>+E43+F43</f>
        <v>11548035</v>
      </c>
      <c r="H43" s="889">
        <f t="shared" si="2"/>
        <v>5721000</v>
      </c>
      <c r="I43" s="899">
        <f t="shared" si="2"/>
        <v>5827035</v>
      </c>
      <c r="J43" s="889">
        <f t="shared" si="2"/>
        <v>11548035</v>
      </c>
    </row>
    <row r="44" spans="1:10" s="457" customFormat="1" ht="16.5" customHeight="1">
      <c r="A44" s="583" t="s">
        <v>1036</v>
      </c>
      <c r="B44" s="584"/>
      <c r="C44" s="584">
        <v>-412877</v>
      </c>
      <c r="D44" s="477">
        <f t="shared" si="15"/>
        <v>-412877</v>
      </c>
      <c r="E44" s="585"/>
      <c r="F44" s="585"/>
      <c r="G44" s="585"/>
      <c r="H44" s="889">
        <f t="shared" si="2"/>
        <v>0</v>
      </c>
      <c r="I44" s="899">
        <f t="shared" si="2"/>
        <v>-412877</v>
      </c>
      <c r="J44" s="889">
        <f t="shared" si="2"/>
        <v>-412877</v>
      </c>
    </row>
    <row r="45" spans="1:10" s="457" customFormat="1" ht="16.5" customHeight="1" thickBot="1">
      <c r="A45" s="583" t="s">
        <v>576</v>
      </c>
      <c r="B45" s="584">
        <f>+'[4]4.mell. Normatíva'!$D$43</f>
        <v>974143</v>
      </c>
      <c r="C45" s="584">
        <f>331163-412877</f>
        <v>-81714</v>
      </c>
      <c r="D45" s="477">
        <f t="shared" si="15"/>
        <v>892429</v>
      </c>
      <c r="E45" s="585">
        <f>+'[4]4.mell. Normatíva'!$G$43</f>
        <v>1615186</v>
      </c>
      <c r="F45" s="585">
        <v>1477899</v>
      </c>
      <c r="G45" s="585">
        <f>+E45+F45</f>
        <v>3093085</v>
      </c>
      <c r="H45" s="889">
        <f t="shared" si="2"/>
        <v>2589329</v>
      </c>
      <c r="I45" s="899">
        <f t="shared" si="2"/>
        <v>1396185</v>
      </c>
      <c r="J45" s="889">
        <f t="shared" si="2"/>
        <v>3985514</v>
      </c>
    </row>
    <row r="46" spans="1:10" s="457" customFormat="1" ht="16.5" customHeight="1" thickBot="1">
      <c r="A46" s="488" t="s">
        <v>577</v>
      </c>
      <c r="B46" s="489">
        <f>+B45+B43+B42+B41+B40+B39+B38+B37+B28+B13</f>
        <v>371547872</v>
      </c>
      <c r="C46" s="489">
        <f>+C45+C43+C42+C41+C40+C39+C38+C37+C28+C13+C44</f>
        <v>-6075667</v>
      </c>
      <c r="D46" s="489">
        <f t="shared" ref="D46:I46" si="17">+D45+D43+D42+D41+D40+D39+D38+D37+D28+D13+D44</f>
        <v>365472205</v>
      </c>
      <c r="E46" s="489">
        <f t="shared" si="17"/>
        <v>227405627</v>
      </c>
      <c r="F46" s="489">
        <f t="shared" si="17"/>
        <v>-1956094</v>
      </c>
      <c r="G46" s="490">
        <f t="shared" si="17"/>
        <v>225920328</v>
      </c>
      <c r="H46" s="893">
        <f t="shared" si="17"/>
        <v>598953499</v>
      </c>
      <c r="I46" s="905">
        <f t="shared" si="17"/>
        <v>-8031761</v>
      </c>
      <c r="J46" s="893">
        <f>+J45+J43+J42+J41+J40+J39+J38+J37+J28+J13+J44</f>
        <v>591392533</v>
      </c>
    </row>
    <row r="47" spans="1:10" ht="13.2" hidden="1" customHeight="1"/>
    <row r="48" spans="1:10" ht="13.2" hidden="1" customHeight="1"/>
    <row r="49" spans="1:7" ht="13.2" hidden="1" customHeight="1">
      <c r="E49" s="459"/>
      <c r="F49" s="460"/>
      <c r="G49" s="460"/>
    </row>
    <row r="50" spans="1:7" ht="25.5" hidden="1" customHeight="1">
      <c r="E50" s="572"/>
      <c r="F50" s="461"/>
      <c r="G50" s="461"/>
    </row>
    <row r="51" spans="1:7" ht="13.2" hidden="1" customHeight="1"/>
    <row r="52" spans="1:7" ht="13.2" hidden="1" customHeight="1"/>
    <row r="53" spans="1:7" ht="13.2" hidden="1" customHeight="1"/>
    <row r="54" spans="1:7" ht="13.2" hidden="1" customHeight="1"/>
    <row r="55" spans="1:7" ht="13.2" hidden="1" customHeight="1">
      <c r="E55" s="459"/>
      <c r="F55" s="460"/>
      <c r="G55" s="460"/>
    </row>
    <row r="56" spans="1:7" ht="12.75" hidden="1" customHeight="1">
      <c r="E56" s="572"/>
      <c r="F56" s="461"/>
      <c r="G56" s="461"/>
    </row>
    <row r="57" spans="1:7" ht="13.2" hidden="1" customHeight="1"/>
    <row r="58" spans="1:7" ht="13.2" hidden="1" customHeight="1"/>
    <row r="59" spans="1:7" ht="13.2" hidden="1" customHeight="1"/>
    <row r="60" spans="1:7" ht="13.2" hidden="1" customHeight="1"/>
    <row r="61" spans="1:7" ht="13.2" hidden="1" customHeight="1"/>
    <row r="62" spans="1:7" ht="13.2" hidden="1" customHeight="1"/>
    <row r="63" spans="1:7" ht="13.2" hidden="1" customHeight="1"/>
    <row r="64" spans="1:7" ht="13.2" hidden="1" customHeight="1">
      <c r="A64" s="456" t="s">
        <v>581</v>
      </c>
    </row>
    <row r="65" spans="2:10" ht="26.4" hidden="1" customHeight="1">
      <c r="B65" s="458" t="s">
        <v>582</v>
      </c>
      <c r="D65" s="458" t="s">
        <v>583</v>
      </c>
      <c r="E65" s="462" t="s">
        <v>584</v>
      </c>
      <c r="F65" s="462"/>
      <c r="G65" s="462"/>
      <c r="H65" s="900" t="s">
        <v>585</v>
      </c>
      <c r="J65" s="900" t="s">
        <v>585</v>
      </c>
    </row>
    <row r="66" spans="2:10" ht="13.2" hidden="1" customHeight="1">
      <c r="B66" s="458">
        <v>19</v>
      </c>
      <c r="D66" s="458">
        <v>26</v>
      </c>
      <c r="E66" s="456">
        <v>2</v>
      </c>
      <c r="H66" s="900">
        <f>+C66+E66</f>
        <v>2</v>
      </c>
      <c r="J66" s="900">
        <f>+E66+G66</f>
        <v>2</v>
      </c>
    </row>
    <row r="67" spans="2:10" ht="13.2" hidden="1" customHeight="1"/>
    <row r="68" spans="2:10" ht="13.2" hidden="1" customHeight="1"/>
    <row r="69" spans="2:10" ht="13.2" hidden="1" customHeight="1"/>
    <row r="70" spans="2:10" ht="13.2" hidden="1" customHeight="1"/>
  </sheetData>
  <mergeCells count="4">
    <mergeCell ref="A1:A2"/>
    <mergeCell ref="B1:D1"/>
    <mergeCell ref="E1:G1"/>
    <mergeCell ref="H1:J1"/>
  </mergeCells>
  <printOptions horizontalCentered="1"/>
  <pageMargins left="0.70866141732283472" right="0.70866141732283472" top="0.9055118110236221" bottom="0.74803149606299213" header="0.39370078740157483" footer="0.31496062992125984"/>
  <pageSetup paperSize="9" scale="56" orientation="landscape" r:id="rId1"/>
  <headerFooter>
    <oddHeader>&amp;C&amp;"Times New Roman,Félkövér"&amp;14MARTONVÁSÁR VÁROS ÖNKORMÁNYZATA &amp;"Times New Roman,Normál"NORMATÍV TÁMOGATÁSOK KIMUTATÁSA      &amp;R&amp;"Times New Roman,Félkövér"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0"/>
  <sheetViews>
    <sheetView zoomScale="90" zoomScaleNormal="90" workbookViewId="0">
      <pane xSplit="3" ySplit="2" topLeftCell="P12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G13" sqref="G13"/>
    </sheetView>
  </sheetViews>
  <sheetFormatPr defaultColWidth="9.109375" defaultRowHeight="14.4"/>
  <cols>
    <col min="1" max="1" width="6.33203125" style="442" customWidth="1"/>
    <col min="2" max="2" width="7.109375" style="201" customWidth="1"/>
    <col min="3" max="3" width="22" style="201" customWidth="1"/>
    <col min="4" max="4" width="8.88671875" style="68" customWidth="1"/>
    <col min="5" max="5" width="8.109375" style="68" customWidth="1"/>
    <col min="6" max="6" width="9" style="68" customWidth="1"/>
    <col min="7" max="27" width="8.5546875" style="68" customWidth="1"/>
    <col min="28" max="29" width="9.109375" style="444"/>
    <col min="30" max="30" width="9.109375" style="1"/>
    <col min="31" max="16384" width="9.109375" style="19"/>
  </cols>
  <sheetData>
    <row r="1" spans="1:29" s="34" customFormat="1" ht="12.75" customHeight="1">
      <c r="A1" s="957" t="s">
        <v>0</v>
      </c>
      <c r="B1" s="959" t="s">
        <v>180</v>
      </c>
      <c r="C1" s="960"/>
      <c r="D1" s="963" t="s">
        <v>178</v>
      </c>
      <c r="E1" s="964"/>
      <c r="F1" s="964"/>
      <c r="G1" s="963" t="s">
        <v>261</v>
      </c>
      <c r="H1" s="964"/>
      <c r="I1" s="965"/>
      <c r="J1" s="966" t="s">
        <v>517</v>
      </c>
      <c r="K1" s="964"/>
      <c r="L1" s="967"/>
      <c r="M1" s="963" t="s">
        <v>518</v>
      </c>
      <c r="N1" s="964"/>
      <c r="O1" s="965"/>
      <c r="P1" s="963" t="s">
        <v>519</v>
      </c>
      <c r="Q1" s="964"/>
      <c r="R1" s="965"/>
      <c r="S1" s="963" t="s">
        <v>262</v>
      </c>
      <c r="T1" s="964"/>
      <c r="U1" s="965"/>
      <c r="V1" s="963" t="s">
        <v>520</v>
      </c>
      <c r="W1" s="964"/>
      <c r="X1" s="965"/>
      <c r="Y1" s="966" t="s">
        <v>263</v>
      </c>
      <c r="Z1" s="964"/>
      <c r="AA1" s="965"/>
      <c r="AB1" s="434"/>
      <c r="AC1" s="434"/>
    </row>
    <row r="2" spans="1:29" s="18" customFormat="1" ht="27" thickBot="1">
      <c r="A2" s="958"/>
      <c r="B2" s="961"/>
      <c r="C2" s="962"/>
      <c r="D2" s="445" t="s">
        <v>873</v>
      </c>
      <c r="E2" s="445" t="s">
        <v>732</v>
      </c>
      <c r="F2" s="770" t="s">
        <v>950</v>
      </c>
      <c r="G2" s="445" t="s">
        <v>873</v>
      </c>
      <c r="H2" s="445" t="s">
        <v>732</v>
      </c>
      <c r="I2" s="770" t="s">
        <v>950</v>
      </c>
      <c r="J2" s="445" t="s">
        <v>873</v>
      </c>
      <c r="K2" s="445" t="s">
        <v>732</v>
      </c>
      <c r="L2" s="770" t="s">
        <v>950</v>
      </c>
      <c r="M2" s="445" t="s">
        <v>873</v>
      </c>
      <c r="N2" s="445" t="s">
        <v>732</v>
      </c>
      <c r="O2" s="770" t="s">
        <v>950</v>
      </c>
      <c r="P2" s="445" t="s">
        <v>873</v>
      </c>
      <c r="Q2" s="445" t="s">
        <v>732</v>
      </c>
      <c r="R2" s="770" t="s">
        <v>950</v>
      </c>
      <c r="S2" s="445" t="s">
        <v>873</v>
      </c>
      <c r="T2" s="445" t="s">
        <v>732</v>
      </c>
      <c r="U2" s="770" t="s">
        <v>950</v>
      </c>
      <c r="V2" s="445" t="s">
        <v>873</v>
      </c>
      <c r="W2" s="445" t="s">
        <v>732</v>
      </c>
      <c r="X2" s="770" t="s">
        <v>950</v>
      </c>
      <c r="Y2" s="445" t="s">
        <v>873</v>
      </c>
      <c r="Z2" s="445" t="s">
        <v>732</v>
      </c>
      <c r="AA2" s="770" t="s">
        <v>950</v>
      </c>
      <c r="AB2" s="443"/>
      <c r="AC2" s="443"/>
    </row>
    <row r="3" spans="1:29" s="47" customFormat="1" ht="13.2">
      <c r="A3" s="534" t="s">
        <v>27</v>
      </c>
      <c r="B3" s="942" t="s">
        <v>175</v>
      </c>
      <c r="C3" s="943"/>
      <c r="D3" s="541">
        <f>+G3+J3+M3+P3+S3+V3+Y3</f>
        <v>19784</v>
      </c>
      <c r="E3" s="541">
        <f t="shared" ref="E3:F18" si="0">+H3+K3+N3+Q3+T3+W3+Z3</f>
        <v>-880</v>
      </c>
      <c r="F3" s="541">
        <f t="shared" si="0"/>
        <v>18904</v>
      </c>
      <c r="G3" s="541">
        <f>+'5.a. mell. Jogalkotás'!D5</f>
        <v>0</v>
      </c>
      <c r="H3" s="542">
        <f>+'5.a. mell. Jogalkotás'!E5</f>
        <v>0</v>
      </c>
      <c r="I3" s="543">
        <f>+'5.a. mell. Jogalkotás'!F5</f>
        <v>0</v>
      </c>
      <c r="J3" s="544"/>
      <c r="K3" s="542"/>
      <c r="L3" s="545"/>
      <c r="M3" s="541">
        <f>+'5.c. mell. VF Eu forrásból'!D5</f>
        <v>0</v>
      </c>
      <c r="N3" s="542">
        <f>+'5.c. mell. VF Eu forrásból'!E5</f>
        <v>0</v>
      </c>
      <c r="O3" s="543">
        <f>+'5.c. mell. VF Eu forrásból'!F5</f>
        <v>0</v>
      </c>
      <c r="P3" s="541">
        <f>+'5.d. mell. Védőnő, EÜ'!D5</f>
        <v>8634</v>
      </c>
      <c r="Q3" s="542">
        <f>+'5.d. mell. Védőnő, EÜ'!E5</f>
        <v>-910</v>
      </c>
      <c r="R3" s="543">
        <f>+'5.d. mell. Védőnő, EÜ'!F5</f>
        <v>7724</v>
      </c>
      <c r="S3" s="541"/>
      <c r="T3" s="542"/>
      <c r="U3" s="543"/>
      <c r="V3" s="541"/>
      <c r="W3" s="542"/>
      <c r="X3" s="543"/>
      <c r="Y3" s="544">
        <f>+'5.g. mell. Egyéb tev.'!D6</f>
        <v>11150</v>
      </c>
      <c r="Z3" s="542">
        <f>+'5.g. mell. Egyéb tev.'!E6</f>
        <v>30</v>
      </c>
      <c r="AA3" s="543">
        <f>+'5.g. mell. Egyéb tev.'!F6</f>
        <v>11180</v>
      </c>
      <c r="AB3" s="322"/>
      <c r="AC3" s="322"/>
    </row>
    <row r="4" spans="1:29" s="47" customFormat="1" ht="12.75" customHeight="1">
      <c r="A4" s="535" t="s">
        <v>34</v>
      </c>
      <c r="B4" s="946" t="s">
        <v>174</v>
      </c>
      <c r="C4" s="947"/>
      <c r="D4" s="541">
        <f t="shared" ref="D4:D27" si="1">+G4+J4+M4+P4+S4+V4+Y4</f>
        <v>22095</v>
      </c>
      <c r="E4" s="541">
        <f t="shared" si="0"/>
        <v>1520</v>
      </c>
      <c r="F4" s="541">
        <f t="shared" si="0"/>
        <v>23615</v>
      </c>
      <c r="G4" s="547">
        <f>+'5.a. mell. Jogalkotás'!D6</f>
        <v>19511</v>
      </c>
      <c r="H4" s="546">
        <f>+'5.a. mell. Jogalkotás'!E6</f>
        <v>99</v>
      </c>
      <c r="I4" s="548">
        <f>+'5.a. mell. Jogalkotás'!F6</f>
        <v>19610</v>
      </c>
      <c r="J4" s="549"/>
      <c r="K4" s="546"/>
      <c r="L4" s="550"/>
      <c r="M4" s="547">
        <f>+'5.c. mell. VF Eu forrásból'!D6</f>
        <v>0</v>
      </c>
      <c r="N4" s="546">
        <f>+'5.c. mell. VF Eu forrásból'!E6</f>
        <v>0</v>
      </c>
      <c r="O4" s="548">
        <f>+'5.c. mell. VF Eu forrásból'!F6</f>
        <v>0</v>
      </c>
      <c r="P4" s="547">
        <f>+'5.d. mell. Védőnő, EÜ'!D6</f>
        <v>2303</v>
      </c>
      <c r="Q4" s="546">
        <f>+'5.d. mell. Védőnő, EÜ'!E6</f>
        <v>1421</v>
      </c>
      <c r="R4" s="548">
        <f>+'5.d. mell. Védőnő, EÜ'!F6</f>
        <v>3724</v>
      </c>
      <c r="S4" s="547"/>
      <c r="T4" s="546"/>
      <c r="U4" s="548"/>
      <c r="V4" s="547"/>
      <c r="W4" s="546"/>
      <c r="X4" s="548"/>
      <c r="Y4" s="549">
        <f>+'5.g. mell. Egyéb tev.'!D7</f>
        <v>281</v>
      </c>
      <c r="Z4" s="546">
        <f>+'5.g. mell. Egyéb tev.'!E7</f>
        <v>0</v>
      </c>
      <c r="AA4" s="548">
        <f>+'5.g. mell. Egyéb tev.'!F7</f>
        <v>281</v>
      </c>
      <c r="AB4" s="322"/>
      <c r="AC4" s="322"/>
    </row>
    <row r="5" spans="1:29" s="47" customFormat="1" ht="12.75" customHeight="1">
      <c r="A5" s="536" t="s">
        <v>35</v>
      </c>
      <c r="B5" s="944" t="s">
        <v>173</v>
      </c>
      <c r="C5" s="945"/>
      <c r="D5" s="541">
        <f t="shared" si="1"/>
        <v>41879</v>
      </c>
      <c r="E5" s="541">
        <f t="shared" si="0"/>
        <v>640</v>
      </c>
      <c r="F5" s="541">
        <f t="shared" si="0"/>
        <v>42519</v>
      </c>
      <c r="G5" s="547">
        <f>+G3+G4</f>
        <v>19511</v>
      </c>
      <c r="H5" s="546">
        <f t="shared" ref="H5:I5" si="2">+H3+H4</f>
        <v>99</v>
      </c>
      <c r="I5" s="548">
        <f t="shared" si="2"/>
        <v>19610</v>
      </c>
      <c r="J5" s="549"/>
      <c r="K5" s="546"/>
      <c r="L5" s="550"/>
      <c r="M5" s="547">
        <f>+M3+M4</f>
        <v>0</v>
      </c>
      <c r="N5" s="546">
        <f t="shared" ref="N5:O5" si="3">+N3+N4</f>
        <v>0</v>
      </c>
      <c r="O5" s="548">
        <f t="shared" si="3"/>
        <v>0</v>
      </c>
      <c r="P5" s="547">
        <f>+P3+P4</f>
        <v>10937</v>
      </c>
      <c r="Q5" s="546">
        <f t="shared" ref="Q5:R5" si="4">+Q3+Q4</f>
        <v>511</v>
      </c>
      <c r="R5" s="548">
        <f t="shared" si="4"/>
        <v>11448</v>
      </c>
      <c r="S5" s="547"/>
      <c r="T5" s="546"/>
      <c r="U5" s="548"/>
      <c r="V5" s="547"/>
      <c r="W5" s="546"/>
      <c r="X5" s="548"/>
      <c r="Y5" s="549">
        <f>+'5.g. mell. Egyéb tev.'!D8</f>
        <v>11431</v>
      </c>
      <c r="Z5" s="546">
        <f>+'5.g. mell. Egyéb tev.'!E8</f>
        <v>30</v>
      </c>
      <c r="AA5" s="548">
        <f>+'5.g. mell. Egyéb tev.'!F8</f>
        <v>11461</v>
      </c>
      <c r="AB5" s="322"/>
      <c r="AC5" s="322"/>
    </row>
    <row r="6" spans="1:29">
      <c r="A6" s="184"/>
      <c r="B6" s="539"/>
      <c r="C6" s="446"/>
      <c r="D6" s="541"/>
      <c r="E6" s="541"/>
      <c r="F6" s="541"/>
      <c r="G6" s="553"/>
      <c r="H6" s="552"/>
      <c r="I6" s="554"/>
      <c r="J6" s="552"/>
      <c r="K6" s="552"/>
      <c r="L6" s="552"/>
      <c r="M6" s="553"/>
      <c r="N6" s="552"/>
      <c r="O6" s="554"/>
      <c r="P6" s="553"/>
      <c r="Q6" s="552"/>
      <c r="R6" s="554"/>
      <c r="S6" s="553"/>
      <c r="T6" s="552"/>
      <c r="U6" s="554"/>
      <c r="V6" s="553"/>
      <c r="W6" s="552"/>
      <c r="X6" s="554"/>
      <c r="Y6" s="552"/>
      <c r="Z6" s="552"/>
      <c r="AA6" s="554"/>
    </row>
    <row r="7" spans="1:29" s="47" customFormat="1" ht="12.75" customHeight="1">
      <c r="A7" s="536" t="s">
        <v>36</v>
      </c>
      <c r="B7" s="944" t="s">
        <v>172</v>
      </c>
      <c r="C7" s="945"/>
      <c r="D7" s="541">
        <f t="shared" si="1"/>
        <v>11222</v>
      </c>
      <c r="E7" s="541">
        <f t="shared" si="0"/>
        <v>1</v>
      </c>
      <c r="F7" s="541">
        <f t="shared" si="0"/>
        <v>11223</v>
      </c>
      <c r="G7" s="547">
        <f>+'5.a. mell. Jogalkotás'!D9</f>
        <v>5202</v>
      </c>
      <c r="H7" s="546">
        <f>+'5.a. mell. Jogalkotás'!E9</f>
        <v>98</v>
      </c>
      <c r="I7" s="548">
        <f>+'5.a. mell. Jogalkotás'!F9</f>
        <v>5300</v>
      </c>
      <c r="J7" s="549"/>
      <c r="K7" s="546"/>
      <c r="L7" s="550"/>
      <c r="M7" s="547">
        <f>+'5.c. mell. VF Eu forrásból'!D9</f>
        <v>0</v>
      </c>
      <c r="N7" s="546">
        <f>+'5.c. mell. VF Eu forrásból'!E9</f>
        <v>0</v>
      </c>
      <c r="O7" s="548">
        <f>+'5.c. mell. VF Eu forrásból'!F9</f>
        <v>0</v>
      </c>
      <c r="P7" s="547">
        <f>+'5.d. mell. Védőnő, EÜ'!D9</f>
        <v>2971</v>
      </c>
      <c r="Q7" s="546">
        <f>+'5.d. mell. Védőnő, EÜ'!E9</f>
        <v>0</v>
      </c>
      <c r="R7" s="548">
        <f>+'5.d. mell. Védőnő, EÜ'!F9</f>
        <v>2971</v>
      </c>
      <c r="S7" s="547"/>
      <c r="T7" s="546"/>
      <c r="U7" s="548"/>
      <c r="V7" s="547"/>
      <c r="W7" s="546"/>
      <c r="X7" s="548"/>
      <c r="Y7" s="549">
        <f>+'5.g. mell. Egyéb tev.'!D10</f>
        <v>3049</v>
      </c>
      <c r="Z7" s="546">
        <f>+'5.g. mell. Egyéb tev.'!E10</f>
        <v>-97</v>
      </c>
      <c r="AA7" s="548">
        <f>+'5.g. mell. Egyéb tev.'!F10</f>
        <v>2952</v>
      </c>
      <c r="AB7" s="322"/>
      <c r="AC7" s="322"/>
    </row>
    <row r="8" spans="1:29">
      <c r="A8" s="184"/>
      <c r="B8" s="540"/>
      <c r="C8" s="447"/>
      <c r="D8" s="541"/>
      <c r="E8" s="541"/>
      <c r="F8" s="541"/>
      <c r="G8" s="553"/>
      <c r="H8" s="552"/>
      <c r="I8" s="554"/>
      <c r="J8" s="552"/>
      <c r="K8" s="552"/>
      <c r="L8" s="552"/>
      <c r="M8" s="553"/>
      <c r="N8" s="552"/>
      <c r="O8" s="554"/>
      <c r="P8" s="553"/>
      <c r="Q8" s="552"/>
      <c r="R8" s="554"/>
      <c r="S8" s="553"/>
      <c r="T8" s="552"/>
      <c r="U8" s="554"/>
      <c r="V8" s="553"/>
      <c r="W8" s="552"/>
      <c r="X8" s="554"/>
      <c r="Y8" s="552"/>
      <c r="Z8" s="552"/>
      <c r="AA8" s="554"/>
    </row>
    <row r="9" spans="1:29" s="47" customFormat="1" ht="12.75" customHeight="1">
      <c r="A9" s="535" t="s">
        <v>48</v>
      </c>
      <c r="B9" s="946" t="s">
        <v>171</v>
      </c>
      <c r="C9" s="947"/>
      <c r="D9" s="541">
        <f t="shared" si="1"/>
        <v>3031</v>
      </c>
      <c r="E9" s="541">
        <f t="shared" si="0"/>
        <v>631</v>
      </c>
      <c r="F9" s="541">
        <f t="shared" si="0"/>
        <v>3662</v>
      </c>
      <c r="G9" s="556">
        <f>+'5.a. mell. Jogalkotás'!D14</f>
        <v>512</v>
      </c>
      <c r="H9" s="555">
        <f>+'5.a. mell. Jogalkotás'!E14</f>
        <v>261</v>
      </c>
      <c r="I9" s="557">
        <f>+'5.a. mell. Jogalkotás'!F14</f>
        <v>773</v>
      </c>
      <c r="J9" s="558">
        <f>+'5.b. mell. VF saját forrásból'!D14</f>
        <v>0</v>
      </c>
      <c r="K9" s="555">
        <f>+'5.b. mell. VF saját forrásból'!E14</f>
        <v>0</v>
      </c>
      <c r="L9" s="559">
        <f>+'5.b. mell. VF saját forrásból'!F14</f>
        <v>0</v>
      </c>
      <c r="M9" s="556">
        <f>+'5.c. mell. VF Eu forrásból'!D14</f>
        <v>0</v>
      </c>
      <c r="N9" s="555">
        <f>+'5.c. mell. VF Eu forrásból'!E14</f>
        <v>0</v>
      </c>
      <c r="O9" s="557">
        <f>+'5.c. mell. VF Eu forrásból'!F14</f>
        <v>0</v>
      </c>
      <c r="P9" s="556">
        <f>+'5.d. mell. Védőnő, EÜ'!D14</f>
        <v>400</v>
      </c>
      <c r="Q9" s="555">
        <f>+'5.d. mell. Védőnő, EÜ'!E14</f>
        <v>-93</v>
      </c>
      <c r="R9" s="557">
        <f>+'5.d. mell. Védőnő, EÜ'!F14</f>
        <v>307</v>
      </c>
      <c r="S9" s="556"/>
      <c r="T9" s="555"/>
      <c r="U9" s="557"/>
      <c r="V9" s="556"/>
      <c r="W9" s="555"/>
      <c r="X9" s="557"/>
      <c r="Y9" s="558">
        <f>+'5.g. mell. Egyéb tev.'!D15</f>
        <v>2119</v>
      </c>
      <c r="Z9" s="555">
        <f>+'5.g. mell. Egyéb tev.'!E15</f>
        <v>463</v>
      </c>
      <c r="AA9" s="557">
        <f>+'5.g. mell. Egyéb tev.'!F15</f>
        <v>2582</v>
      </c>
      <c r="AB9" s="322"/>
      <c r="AC9" s="322"/>
    </row>
    <row r="10" spans="1:29" s="47" customFormat="1" ht="12.75" customHeight="1">
      <c r="A10" s="535" t="s">
        <v>53</v>
      </c>
      <c r="B10" s="946" t="s">
        <v>170</v>
      </c>
      <c r="C10" s="947"/>
      <c r="D10" s="541">
        <f t="shared" si="1"/>
        <v>3528</v>
      </c>
      <c r="E10" s="541">
        <f t="shared" si="0"/>
        <v>-292</v>
      </c>
      <c r="F10" s="541">
        <f t="shared" si="0"/>
        <v>3236</v>
      </c>
      <c r="G10" s="556">
        <f>+'5.a. mell. Jogalkotás'!D17</f>
        <v>3288</v>
      </c>
      <c r="H10" s="555">
        <f>+'5.a. mell. Jogalkotás'!E17</f>
        <v>-284</v>
      </c>
      <c r="I10" s="557">
        <f>+'5.a. mell. Jogalkotás'!F17</f>
        <v>3004</v>
      </c>
      <c r="J10" s="558">
        <f>+'5.b. mell. VF saját forrásból'!D17</f>
        <v>0</v>
      </c>
      <c r="K10" s="555">
        <f>+'5.b. mell. VF saját forrásból'!E17</f>
        <v>0</v>
      </c>
      <c r="L10" s="559">
        <f>+'5.b. mell. VF saját forrásból'!F17</f>
        <v>0</v>
      </c>
      <c r="M10" s="556">
        <f>+'5.c. mell. VF Eu forrásból'!D17</f>
        <v>0</v>
      </c>
      <c r="N10" s="555">
        <f>+'5.c. mell. VF Eu forrásból'!E17</f>
        <v>0</v>
      </c>
      <c r="O10" s="557">
        <f>+'5.c. mell. VF Eu forrásból'!F17</f>
        <v>0</v>
      </c>
      <c r="P10" s="556">
        <f>+'5.d. mell. Védőnő, EÜ'!D17</f>
        <v>240</v>
      </c>
      <c r="Q10" s="555">
        <f>+'5.d. mell. Védőnő, EÜ'!E17</f>
        <v>-10</v>
      </c>
      <c r="R10" s="557">
        <f>+'5.d. mell. Védőnő, EÜ'!F17</f>
        <v>230</v>
      </c>
      <c r="S10" s="556"/>
      <c r="T10" s="555"/>
      <c r="U10" s="557"/>
      <c r="V10" s="556"/>
      <c r="W10" s="555"/>
      <c r="X10" s="557"/>
      <c r="Y10" s="558">
        <f>+'5.g. mell. Egyéb tev.'!D18</f>
        <v>0</v>
      </c>
      <c r="Z10" s="555">
        <f>+'5.g. mell. Egyéb tev.'!E18</f>
        <v>2</v>
      </c>
      <c r="AA10" s="557">
        <f>+'5.g. mell. Egyéb tev.'!F18</f>
        <v>2</v>
      </c>
      <c r="AB10" s="322"/>
      <c r="AC10" s="322"/>
    </row>
    <row r="11" spans="1:29" s="47" customFormat="1" ht="12.75" customHeight="1">
      <c r="A11" s="535" t="s">
        <v>67</v>
      </c>
      <c r="B11" s="946" t="s">
        <v>157</v>
      </c>
      <c r="C11" s="947"/>
      <c r="D11" s="541">
        <f t="shared" si="1"/>
        <v>70755</v>
      </c>
      <c r="E11" s="541">
        <f t="shared" si="0"/>
        <v>4226</v>
      </c>
      <c r="F11" s="541">
        <f t="shared" si="0"/>
        <v>74981</v>
      </c>
      <c r="G11" s="556">
        <f>+'5.a. mell. Jogalkotás'!D25</f>
        <v>9279</v>
      </c>
      <c r="H11" s="555">
        <f>+'5.a. mell. Jogalkotás'!E25</f>
        <v>540</v>
      </c>
      <c r="I11" s="557">
        <f>+'5.a. mell. Jogalkotás'!F25</f>
        <v>9819</v>
      </c>
      <c r="J11" s="558">
        <f>+'5.b. mell. VF saját forrásból'!D25</f>
        <v>0</v>
      </c>
      <c r="K11" s="555">
        <f>+'5.b. mell. VF saját forrásból'!E25</f>
        <v>4270</v>
      </c>
      <c r="L11" s="559">
        <f>+'5.b. mell. VF saját forrásból'!F25</f>
        <v>4270</v>
      </c>
      <c r="M11" s="556">
        <f>+'5.c. mell. VF Eu forrásból'!D25</f>
        <v>0</v>
      </c>
      <c r="N11" s="555">
        <f>+'5.c. mell. VF Eu forrásból'!E25</f>
        <v>0</v>
      </c>
      <c r="O11" s="557">
        <f>+'5.c. mell. VF Eu forrásból'!F25</f>
        <v>0</v>
      </c>
      <c r="P11" s="556">
        <f>+'5.d. mell. Védőnő, EÜ'!D25</f>
        <v>1080</v>
      </c>
      <c r="Q11" s="555">
        <f>+'5.d. mell. Védőnő, EÜ'!E25</f>
        <v>-29</v>
      </c>
      <c r="R11" s="557">
        <f>+'5.d. mell. Védőnő, EÜ'!F25</f>
        <v>1051</v>
      </c>
      <c r="S11" s="556"/>
      <c r="T11" s="555"/>
      <c r="U11" s="557"/>
      <c r="V11" s="556"/>
      <c r="W11" s="555"/>
      <c r="X11" s="557"/>
      <c r="Y11" s="558">
        <f>+'5.g. mell. Egyéb tev.'!D26</f>
        <v>60396</v>
      </c>
      <c r="Z11" s="555">
        <f>+'5.g. mell. Egyéb tev.'!E26</f>
        <v>-555</v>
      </c>
      <c r="AA11" s="557">
        <f>+'5.g. mell. Egyéb tev.'!F26</f>
        <v>59841</v>
      </c>
      <c r="AB11" s="322"/>
      <c r="AC11" s="322"/>
    </row>
    <row r="12" spans="1:29" s="47" customFormat="1" ht="12.75" customHeight="1">
      <c r="A12" s="535" t="s">
        <v>72</v>
      </c>
      <c r="B12" s="946" t="s">
        <v>156</v>
      </c>
      <c r="C12" s="947"/>
      <c r="D12" s="541">
        <f t="shared" si="1"/>
        <v>856</v>
      </c>
      <c r="E12" s="541">
        <f t="shared" si="0"/>
        <v>-464</v>
      </c>
      <c r="F12" s="541">
        <f t="shared" si="0"/>
        <v>392</v>
      </c>
      <c r="G12" s="556">
        <f>+'5.a. mell. Jogalkotás'!D28</f>
        <v>676</v>
      </c>
      <c r="H12" s="555">
        <f>+'5.a. mell. Jogalkotás'!E28</f>
        <v>-444</v>
      </c>
      <c r="I12" s="557">
        <f>+'5.a. mell. Jogalkotás'!F28</f>
        <v>232</v>
      </c>
      <c r="J12" s="558">
        <f>+'5.b. mell. VF saját forrásból'!D28</f>
        <v>0</v>
      </c>
      <c r="K12" s="555">
        <f>+'5.b. mell. VF saját forrásból'!E28</f>
        <v>0</v>
      </c>
      <c r="L12" s="559">
        <f>+'5.b. mell. VF saját forrásból'!F28</f>
        <v>0</v>
      </c>
      <c r="M12" s="556">
        <f>+'5.c. mell. VF Eu forrásból'!D28</f>
        <v>0</v>
      </c>
      <c r="N12" s="555">
        <f>+'5.c. mell. VF Eu forrásból'!E28</f>
        <v>0</v>
      </c>
      <c r="O12" s="557">
        <f>+'5.c. mell. VF Eu forrásból'!F28</f>
        <v>0</v>
      </c>
      <c r="P12" s="556">
        <f>+'5.d. mell. Védőnő, EÜ'!D28</f>
        <v>180</v>
      </c>
      <c r="Q12" s="555">
        <f>+'5.d. mell. Védőnő, EÜ'!E28</f>
        <v>-20</v>
      </c>
      <c r="R12" s="557">
        <f>+'5.d. mell. Védőnő, EÜ'!F28</f>
        <v>160</v>
      </c>
      <c r="S12" s="556"/>
      <c r="T12" s="555"/>
      <c r="U12" s="557"/>
      <c r="V12" s="556"/>
      <c r="W12" s="555"/>
      <c r="X12" s="557"/>
      <c r="Y12" s="558">
        <f>+'5.g. mell. Egyéb tev.'!D29</f>
        <v>0</v>
      </c>
      <c r="Z12" s="555">
        <f>+'5.g. mell. Egyéb tev.'!E29</f>
        <v>0</v>
      </c>
      <c r="AA12" s="557">
        <f>+'5.g. mell. Egyéb tev.'!F29</f>
        <v>0</v>
      </c>
      <c r="AB12" s="322"/>
      <c r="AC12" s="322"/>
    </row>
    <row r="13" spans="1:29" s="47" customFormat="1" ht="28.5" customHeight="1">
      <c r="A13" s="535" t="s">
        <v>81</v>
      </c>
      <c r="B13" s="946" t="s">
        <v>153</v>
      </c>
      <c r="C13" s="947"/>
      <c r="D13" s="541">
        <f t="shared" si="1"/>
        <v>48435</v>
      </c>
      <c r="E13" s="541">
        <f t="shared" si="0"/>
        <v>1507</v>
      </c>
      <c r="F13" s="541">
        <f t="shared" si="0"/>
        <v>49942</v>
      </c>
      <c r="G13" s="556">
        <f>+'5.a. mell. Jogalkotás'!D34</f>
        <v>12333</v>
      </c>
      <c r="H13" s="555">
        <f>+'5.a. mell. Jogalkotás'!E34</f>
        <v>552</v>
      </c>
      <c r="I13" s="557">
        <f>+'5.a. mell. Jogalkotás'!F34</f>
        <v>12885</v>
      </c>
      <c r="J13" s="558">
        <f>+'5.b. mell. VF saját forrásból'!D34</f>
        <v>13061</v>
      </c>
      <c r="K13" s="555">
        <f>+'5.b. mell. VF saját forrásból'!E34</f>
        <v>6385</v>
      </c>
      <c r="L13" s="559">
        <f>+'5.b. mell. VF saját forrásból'!F34</f>
        <v>19446</v>
      </c>
      <c r="M13" s="556">
        <f>+'5.c. mell. VF Eu forrásból'!D34</f>
        <v>0</v>
      </c>
      <c r="N13" s="555">
        <f>+'5.c. mell. VF Eu forrásból'!E34</f>
        <v>0</v>
      </c>
      <c r="O13" s="557">
        <f>+'5.c. mell. VF Eu forrásból'!F34</f>
        <v>0</v>
      </c>
      <c r="P13" s="556">
        <f>+'5.d. mell. Védőnő, EÜ'!D34</f>
        <v>175</v>
      </c>
      <c r="Q13" s="555">
        <f>+'5.d. mell. Védőnő, EÜ'!E34</f>
        <v>-51</v>
      </c>
      <c r="R13" s="557">
        <f>+'5.d. mell. Védőnő, EÜ'!F34</f>
        <v>124</v>
      </c>
      <c r="S13" s="556"/>
      <c r="T13" s="555"/>
      <c r="U13" s="557"/>
      <c r="V13" s="556"/>
      <c r="W13" s="555"/>
      <c r="X13" s="557"/>
      <c r="Y13" s="558">
        <f>+'5.g. mell. Egyéb tev.'!D35</f>
        <v>22866</v>
      </c>
      <c r="Z13" s="555">
        <f>+'5.g. mell. Egyéb tev.'!E35</f>
        <v>-5379</v>
      </c>
      <c r="AA13" s="557">
        <f>+'5.g. mell. Egyéb tev.'!F35</f>
        <v>17487</v>
      </c>
      <c r="AB13" s="322"/>
      <c r="AC13" s="322"/>
    </row>
    <row r="14" spans="1:29" s="47" customFormat="1" ht="12.75" customHeight="1">
      <c r="A14" s="536" t="s">
        <v>82</v>
      </c>
      <c r="B14" s="944" t="s">
        <v>152</v>
      </c>
      <c r="C14" s="945"/>
      <c r="D14" s="541">
        <f t="shared" si="1"/>
        <v>126605</v>
      </c>
      <c r="E14" s="541">
        <f t="shared" si="0"/>
        <v>5608</v>
      </c>
      <c r="F14" s="541">
        <f t="shared" si="0"/>
        <v>132213</v>
      </c>
      <c r="G14" s="547">
        <f>SUM(G9:G13)</f>
        <v>26088</v>
      </c>
      <c r="H14" s="546">
        <f t="shared" ref="H14:I14" si="5">SUM(H9:H13)</f>
        <v>625</v>
      </c>
      <c r="I14" s="548">
        <f t="shared" si="5"/>
        <v>26713</v>
      </c>
      <c r="J14" s="549">
        <f>+'5.b. mell. VF saját forrásból'!D35</f>
        <v>13061</v>
      </c>
      <c r="K14" s="549">
        <f>+'5.b. mell. VF saját forrásból'!E35</f>
        <v>10655</v>
      </c>
      <c r="L14" s="549">
        <f>+'5.b. mell. VF saját forrásból'!F35</f>
        <v>23716</v>
      </c>
      <c r="M14" s="547">
        <f>SUM(M9:M13)</f>
        <v>0</v>
      </c>
      <c r="N14" s="546">
        <f t="shared" ref="N14:O14" si="6">SUM(N9:N13)</f>
        <v>0</v>
      </c>
      <c r="O14" s="548">
        <f t="shared" si="6"/>
        <v>0</v>
      </c>
      <c r="P14" s="547">
        <f>SUM(P9:P13)</f>
        <v>2075</v>
      </c>
      <c r="Q14" s="546">
        <f t="shared" ref="Q14:R14" si="7">SUM(Q9:Q13)</f>
        <v>-203</v>
      </c>
      <c r="R14" s="548">
        <f t="shared" si="7"/>
        <v>1872</v>
      </c>
      <c r="S14" s="547"/>
      <c r="T14" s="546"/>
      <c r="U14" s="548"/>
      <c r="V14" s="547"/>
      <c r="W14" s="546"/>
      <c r="X14" s="548"/>
      <c r="Y14" s="549">
        <f>SUM(Y9:Y13)</f>
        <v>85381</v>
      </c>
      <c r="Z14" s="546">
        <f t="shared" ref="Z14:AA14" si="8">SUM(Z9:Z13)</f>
        <v>-5469</v>
      </c>
      <c r="AA14" s="548">
        <f t="shared" si="8"/>
        <v>79912</v>
      </c>
      <c r="AB14" s="322"/>
      <c r="AC14" s="322"/>
    </row>
    <row r="15" spans="1:29">
      <c r="A15" s="184"/>
      <c r="B15" s="539"/>
      <c r="C15" s="446"/>
      <c r="D15" s="541"/>
      <c r="E15" s="541"/>
      <c r="F15" s="541"/>
      <c r="G15" s="553"/>
      <c r="H15" s="552"/>
      <c r="I15" s="554"/>
      <c r="J15" s="552"/>
      <c r="K15" s="552"/>
      <c r="L15" s="552"/>
      <c r="M15" s="553"/>
      <c r="N15" s="552"/>
      <c r="O15" s="554"/>
      <c r="P15" s="553"/>
      <c r="Q15" s="552"/>
      <c r="R15" s="554"/>
      <c r="S15" s="553"/>
      <c r="T15" s="552"/>
      <c r="U15" s="554"/>
      <c r="V15" s="553"/>
      <c r="W15" s="552"/>
      <c r="X15" s="554"/>
      <c r="Y15" s="552"/>
      <c r="Z15" s="552"/>
      <c r="AA15" s="554"/>
    </row>
    <row r="16" spans="1:29" s="47" customFormat="1" ht="12.75" customHeight="1">
      <c r="A16" s="536" t="s">
        <v>95</v>
      </c>
      <c r="B16" s="951" t="s">
        <v>151</v>
      </c>
      <c r="C16" s="952"/>
      <c r="D16" s="541">
        <f t="shared" si="1"/>
        <v>21620</v>
      </c>
      <c r="E16" s="541">
        <f t="shared" si="0"/>
        <v>330</v>
      </c>
      <c r="F16" s="541">
        <f t="shared" si="0"/>
        <v>21950</v>
      </c>
      <c r="G16" s="547"/>
      <c r="H16" s="546"/>
      <c r="I16" s="548"/>
      <c r="J16" s="549"/>
      <c r="K16" s="546"/>
      <c r="L16" s="550"/>
      <c r="M16" s="547"/>
      <c r="N16" s="546"/>
      <c r="O16" s="548"/>
      <c r="P16" s="547"/>
      <c r="Q16" s="546"/>
      <c r="R16" s="548"/>
      <c r="S16" s="547">
        <f>+'5.e. mell. Szociális ellátások'!C7</f>
        <v>21620</v>
      </c>
      <c r="T16" s="546">
        <f>+'5.e. mell. Szociális ellátások'!D7</f>
        <v>330</v>
      </c>
      <c r="U16" s="548">
        <f>+'5.e. mell. Szociális ellátások'!E7</f>
        <v>21950</v>
      </c>
      <c r="V16" s="547"/>
      <c r="W16" s="546"/>
      <c r="X16" s="548"/>
      <c r="Y16" s="549"/>
      <c r="Z16" s="546"/>
      <c r="AA16" s="548"/>
      <c r="AB16" s="322"/>
      <c r="AC16" s="322"/>
    </row>
    <row r="17" spans="1:29">
      <c r="A17" s="184"/>
      <c r="B17" s="953"/>
      <c r="C17" s="954"/>
      <c r="D17" s="541"/>
      <c r="E17" s="541"/>
      <c r="F17" s="541"/>
      <c r="G17" s="553"/>
      <c r="H17" s="552"/>
      <c r="I17" s="554"/>
      <c r="J17" s="552"/>
      <c r="K17" s="552"/>
      <c r="L17" s="552"/>
      <c r="M17" s="553"/>
      <c r="N17" s="552"/>
      <c r="O17" s="554"/>
      <c r="P17" s="553"/>
      <c r="Q17" s="552"/>
      <c r="R17" s="554"/>
      <c r="S17" s="553"/>
      <c r="T17" s="552"/>
      <c r="U17" s="554"/>
      <c r="V17" s="553"/>
      <c r="W17" s="552"/>
      <c r="X17" s="554"/>
      <c r="Y17" s="552"/>
      <c r="Z17" s="552"/>
      <c r="AA17" s="554"/>
    </row>
    <row r="18" spans="1:29" s="47" customFormat="1" ht="12.75" customHeight="1">
      <c r="A18" s="536" t="s">
        <v>109</v>
      </c>
      <c r="B18" s="944" t="s">
        <v>164</v>
      </c>
      <c r="C18" s="945"/>
      <c r="D18" s="541">
        <f t="shared" si="1"/>
        <v>602334</v>
      </c>
      <c r="E18" s="541">
        <f t="shared" si="0"/>
        <v>601715</v>
      </c>
      <c r="F18" s="541">
        <f t="shared" si="0"/>
        <v>1204049</v>
      </c>
      <c r="G18" s="547"/>
      <c r="H18" s="546"/>
      <c r="I18" s="548"/>
      <c r="J18" s="549"/>
      <c r="K18" s="546"/>
      <c r="L18" s="550"/>
      <c r="M18" s="547"/>
      <c r="N18" s="546"/>
      <c r="O18" s="548"/>
      <c r="P18" s="547"/>
      <c r="Q18" s="546"/>
      <c r="R18" s="548"/>
      <c r="S18" s="547"/>
      <c r="T18" s="546"/>
      <c r="U18" s="548"/>
      <c r="V18" s="547">
        <f>+'5.f. mell. Átadott pénzeszk.'!C51+'5.f. mell. Átadott pénzeszk.'!F51</f>
        <v>389237</v>
      </c>
      <c r="W18" s="546">
        <f>+'5.f. mell. Átadott pénzeszk.'!D51+'5.f. mell. Átadott pénzeszk.'!G51</f>
        <v>1974</v>
      </c>
      <c r="X18" s="548">
        <f>+'5.f. mell. Átadott pénzeszk.'!E51+'5.f. mell. Átadott pénzeszk.'!H51</f>
        <v>391211</v>
      </c>
      <c r="Y18" s="549">
        <f>+'5.g. mell. Egyéb tev.'!D71</f>
        <v>213097</v>
      </c>
      <c r="Z18" s="546">
        <f>+'5.g. mell. Egyéb tev.'!E71</f>
        <v>599741</v>
      </c>
      <c r="AA18" s="548">
        <f>+'5.g. mell. Egyéb tev.'!F71</f>
        <v>812838</v>
      </c>
      <c r="AB18" s="322"/>
      <c r="AC18" s="322"/>
    </row>
    <row r="19" spans="1:29" s="47" customFormat="1" ht="12.75" customHeight="1">
      <c r="A19" s="536"/>
      <c r="B19" s="946" t="s">
        <v>579</v>
      </c>
      <c r="C19" s="947"/>
      <c r="D19" s="541">
        <f t="shared" si="1"/>
        <v>204729</v>
      </c>
      <c r="E19" s="541">
        <f t="shared" ref="E19:E27" si="9">+H19+K19+N19+Q19+T19+W19+Z19</f>
        <v>599723</v>
      </c>
      <c r="F19" s="541">
        <f t="shared" ref="F19:F27" si="10">+I19+L19+O19+R19+U19+X19+AA19</f>
        <v>804452</v>
      </c>
      <c r="G19" s="547"/>
      <c r="H19" s="546"/>
      <c r="I19" s="548"/>
      <c r="J19" s="549"/>
      <c r="K19" s="546"/>
      <c r="L19" s="550"/>
      <c r="M19" s="547"/>
      <c r="N19" s="546"/>
      <c r="O19" s="548"/>
      <c r="P19" s="547"/>
      <c r="Q19" s="546"/>
      <c r="R19" s="548"/>
      <c r="S19" s="547"/>
      <c r="T19" s="546"/>
      <c r="U19" s="548"/>
      <c r="V19" s="547"/>
      <c r="W19" s="546"/>
      <c r="X19" s="548"/>
      <c r="Y19" s="549">
        <f>+'5.g. mell. Egyéb tev.'!D63</f>
        <v>204729</v>
      </c>
      <c r="Z19" s="546">
        <f>+'5.g. mell. Egyéb tev.'!E63</f>
        <v>599723</v>
      </c>
      <c r="AA19" s="548">
        <f>+'5.g. mell. Egyéb tev.'!F63</f>
        <v>804452</v>
      </c>
      <c r="AB19" s="322"/>
      <c r="AC19" s="322"/>
    </row>
    <row r="20" spans="1:29">
      <c r="A20" s="184"/>
      <c r="B20" s="539"/>
      <c r="C20" s="446"/>
      <c r="D20" s="541"/>
      <c r="E20" s="541"/>
      <c r="F20" s="541"/>
      <c r="G20" s="553"/>
      <c r="H20" s="552"/>
      <c r="I20" s="554"/>
      <c r="J20" s="552"/>
      <c r="K20" s="552"/>
      <c r="L20" s="552"/>
      <c r="M20" s="553"/>
      <c r="N20" s="552"/>
      <c r="O20" s="554"/>
      <c r="P20" s="553"/>
      <c r="Q20" s="552"/>
      <c r="R20" s="554"/>
      <c r="S20" s="553"/>
      <c r="T20" s="552"/>
      <c r="U20" s="554"/>
      <c r="V20" s="553"/>
      <c r="W20" s="552"/>
      <c r="X20" s="554"/>
      <c r="Y20" s="552"/>
      <c r="Z20" s="552"/>
      <c r="AA20" s="554"/>
    </row>
    <row r="21" spans="1:29" s="47" customFormat="1" ht="12.75" customHeight="1">
      <c r="A21" s="536" t="s">
        <v>124</v>
      </c>
      <c r="B21" s="944" t="s">
        <v>162</v>
      </c>
      <c r="C21" s="945"/>
      <c r="D21" s="541">
        <f t="shared" si="1"/>
        <v>180092</v>
      </c>
      <c r="E21" s="541">
        <f t="shared" si="9"/>
        <v>14462</v>
      </c>
      <c r="F21" s="541">
        <f t="shared" si="10"/>
        <v>194554</v>
      </c>
      <c r="G21" s="547"/>
      <c r="H21" s="546"/>
      <c r="I21" s="548"/>
      <c r="J21" s="549">
        <f>+'5.b. mell. VF saját forrásból'!D53</f>
        <v>179772</v>
      </c>
      <c r="K21" s="546">
        <f>+'5.b. mell. VF saját forrásból'!E53</f>
        <v>14470</v>
      </c>
      <c r="L21" s="550">
        <f>+'5.b. mell. VF saját forrásból'!F53</f>
        <v>194242</v>
      </c>
      <c r="M21" s="547">
        <f>+'5.c. mell. VF Eu forrásból'!D53</f>
        <v>0</v>
      </c>
      <c r="N21" s="546">
        <f>+'5.c. mell. VF Eu forrásból'!E53</f>
        <v>0</v>
      </c>
      <c r="O21" s="548">
        <f>+'5.c. mell. VF Eu forrásból'!F53</f>
        <v>0</v>
      </c>
      <c r="P21" s="547">
        <f>+'5.d. mell. Védőnő, EÜ'!D45</f>
        <v>320</v>
      </c>
      <c r="Q21" s="546">
        <f>+'5.d. mell. Védőnő, EÜ'!E45</f>
        <v>-8</v>
      </c>
      <c r="R21" s="548">
        <f>+'5.d. mell. Védőnő, EÜ'!F45</f>
        <v>312</v>
      </c>
      <c r="S21" s="547"/>
      <c r="T21" s="546"/>
      <c r="U21" s="548"/>
      <c r="V21" s="547"/>
      <c r="W21" s="546"/>
      <c r="X21" s="548"/>
      <c r="Y21" s="549"/>
      <c r="Z21" s="546"/>
      <c r="AA21" s="548"/>
      <c r="AB21" s="322"/>
      <c r="AC21" s="322"/>
    </row>
    <row r="22" spans="1:29">
      <c r="A22" s="184"/>
      <c r="B22" s="539"/>
      <c r="C22" s="446"/>
      <c r="D22" s="541"/>
      <c r="E22" s="541"/>
      <c r="F22" s="541"/>
      <c r="G22" s="553"/>
      <c r="H22" s="552"/>
      <c r="I22" s="554"/>
      <c r="J22" s="552"/>
      <c r="K22" s="552"/>
      <c r="L22" s="552"/>
      <c r="M22" s="553"/>
      <c r="N22" s="552"/>
      <c r="O22" s="554"/>
      <c r="P22" s="553"/>
      <c r="Q22" s="552"/>
      <c r="R22" s="554"/>
      <c r="S22" s="553"/>
      <c r="T22" s="552"/>
      <c r="U22" s="554"/>
      <c r="V22" s="553"/>
      <c r="W22" s="552"/>
      <c r="X22" s="554"/>
      <c r="Y22" s="552"/>
      <c r="Z22" s="552"/>
      <c r="AA22" s="554"/>
    </row>
    <row r="23" spans="1:29" s="47" customFormat="1" ht="12.75" customHeight="1">
      <c r="A23" s="536" t="s">
        <v>133</v>
      </c>
      <c r="B23" s="944" t="s">
        <v>161</v>
      </c>
      <c r="C23" s="945"/>
      <c r="D23" s="541">
        <f t="shared" si="1"/>
        <v>37489</v>
      </c>
      <c r="E23" s="541">
        <f t="shared" si="9"/>
        <v>16538</v>
      </c>
      <c r="F23" s="541">
        <f t="shared" si="10"/>
        <v>54027</v>
      </c>
      <c r="G23" s="547"/>
      <c r="H23" s="546"/>
      <c r="I23" s="548"/>
      <c r="J23" s="549">
        <f>+'5.b. mell. VF saját forrásból'!D59</f>
        <v>37489</v>
      </c>
      <c r="K23" s="546">
        <f>+'5.b. mell. VF saját forrásból'!E59</f>
        <v>16538</v>
      </c>
      <c r="L23" s="550">
        <f>+'5.b. mell. VF saját forrásból'!F59</f>
        <v>54027</v>
      </c>
      <c r="M23" s="547">
        <f>+'5.c. mell. VF Eu forrásból'!D59</f>
        <v>0</v>
      </c>
      <c r="N23" s="546">
        <f>+'5.c. mell. VF Eu forrásból'!E59</f>
        <v>0</v>
      </c>
      <c r="O23" s="548">
        <f>+'5.c. mell. VF Eu forrásból'!F59</f>
        <v>0</v>
      </c>
      <c r="P23" s="547"/>
      <c r="Q23" s="546"/>
      <c r="R23" s="548"/>
      <c r="S23" s="547"/>
      <c r="T23" s="546"/>
      <c r="U23" s="548"/>
      <c r="V23" s="547"/>
      <c r="W23" s="546"/>
      <c r="X23" s="548"/>
      <c r="Y23" s="549"/>
      <c r="Z23" s="546"/>
      <c r="AA23" s="548"/>
      <c r="AB23" s="322"/>
      <c r="AC23" s="322"/>
    </row>
    <row r="24" spans="1:29">
      <c r="A24" s="184"/>
      <c r="B24" s="539"/>
      <c r="C24" s="446"/>
      <c r="D24" s="541"/>
      <c r="E24" s="541"/>
      <c r="F24" s="541"/>
      <c r="G24" s="553"/>
      <c r="H24" s="552"/>
      <c r="I24" s="554"/>
      <c r="J24" s="552"/>
      <c r="K24" s="552"/>
      <c r="L24" s="552"/>
      <c r="M24" s="553"/>
      <c r="N24" s="552"/>
      <c r="O24" s="554"/>
      <c r="P24" s="553"/>
      <c r="Q24" s="552"/>
      <c r="R24" s="554"/>
      <c r="S24" s="553"/>
      <c r="T24" s="552"/>
      <c r="U24" s="554"/>
      <c r="V24" s="553"/>
      <c r="W24" s="552"/>
      <c r="X24" s="554"/>
      <c r="Y24" s="552"/>
      <c r="Z24" s="552"/>
      <c r="AA24" s="554"/>
    </row>
    <row r="25" spans="1:29" s="47" customFormat="1" ht="12.75" customHeight="1">
      <c r="A25" s="536" t="s">
        <v>135</v>
      </c>
      <c r="B25" s="944" t="s">
        <v>159</v>
      </c>
      <c r="C25" s="945"/>
      <c r="D25" s="541">
        <f t="shared" si="1"/>
        <v>12617</v>
      </c>
      <c r="E25" s="541">
        <f t="shared" si="9"/>
        <v>2000</v>
      </c>
      <c r="F25" s="541">
        <f t="shared" si="10"/>
        <v>14617</v>
      </c>
      <c r="G25" s="547"/>
      <c r="H25" s="546"/>
      <c r="I25" s="548"/>
      <c r="J25" s="549">
        <f>+'5.b. mell. VF saját forrásból'!D64</f>
        <v>0</v>
      </c>
      <c r="K25" s="549">
        <f>+'5.b. mell. VF saját forrásból'!E64</f>
        <v>2000</v>
      </c>
      <c r="L25" s="549">
        <f>+'5.b. mell. VF saját forrásból'!F64</f>
        <v>2000</v>
      </c>
      <c r="M25" s="547"/>
      <c r="N25" s="546"/>
      <c r="O25" s="548"/>
      <c r="P25" s="547"/>
      <c r="Q25" s="546"/>
      <c r="R25" s="548"/>
      <c r="S25" s="547"/>
      <c r="T25" s="546"/>
      <c r="U25" s="548"/>
      <c r="V25" s="547">
        <f>+'5.f. mell. Átadott pénzeszk.'!I51</f>
        <v>12617</v>
      </c>
      <c r="W25" s="546">
        <f>+'5.f. mell. Átadott pénzeszk.'!J51</f>
        <v>0</v>
      </c>
      <c r="X25" s="548">
        <f>+'5.f. mell. Átadott pénzeszk.'!K51</f>
        <v>12617</v>
      </c>
      <c r="Y25" s="549"/>
      <c r="Z25" s="546"/>
      <c r="AA25" s="548"/>
      <c r="AB25" s="322"/>
      <c r="AC25" s="322"/>
    </row>
    <row r="26" spans="1:29">
      <c r="A26" s="184"/>
      <c r="B26" s="539"/>
      <c r="C26" s="446"/>
      <c r="D26" s="541"/>
      <c r="E26" s="541"/>
      <c r="F26" s="541"/>
      <c r="G26" s="553"/>
      <c r="H26" s="552"/>
      <c r="I26" s="554"/>
      <c r="J26" s="552"/>
      <c r="K26" s="552"/>
      <c r="L26" s="552"/>
      <c r="M26" s="553"/>
      <c r="N26" s="552"/>
      <c r="O26" s="554"/>
      <c r="P26" s="553"/>
      <c r="Q26" s="552"/>
      <c r="R26" s="554"/>
      <c r="S26" s="553"/>
      <c r="T26" s="552"/>
      <c r="U26" s="554"/>
      <c r="V26" s="553"/>
      <c r="W26" s="552"/>
      <c r="X26" s="554"/>
      <c r="Y26" s="552"/>
      <c r="Z26" s="552"/>
      <c r="AA26" s="554"/>
    </row>
    <row r="27" spans="1:29" s="47" customFormat="1" ht="12.75" customHeight="1">
      <c r="A27" s="537" t="s">
        <v>136</v>
      </c>
      <c r="B27" s="944" t="s">
        <v>158</v>
      </c>
      <c r="C27" s="945"/>
      <c r="D27" s="541">
        <f t="shared" si="1"/>
        <v>1033858</v>
      </c>
      <c r="E27" s="541">
        <f t="shared" si="9"/>
        <v>641294</v>
      </c>
      <c r="F27" s="541">
        <f t="shared" si="10"/>
        <v>1675152</v>
      </c>
      <c r="G27" s="547">
        <f>+G25+G23+G21+G18+G16+G14+G7+G5</f>
        <v>50801</v>
      </c>
      <c r="H27" s="546">
        <f t="shared" ref="H27:AA27" si="11">+H25+H23+H21+H18+H16+H14+H7+H5</f>
        <v>822</v>
      </c>
      <c r="I27" s="548">
        <f t="shared" si="11"/>
        <v>51623</v>
      </c>
      <c r="J27" s="549">
        <f t="shared" si="11"/>
        <v>230322</v>
      </c>
      <c r="K27" s="546">
        <f t="shared" ref="K27:L27" si="12">+K25+K23+K21+K18+K16+K14+K7+K5</f>
        <v>43663</v>
      </c>
      <c r="L27" s="550">
        <f t="shared" si="12"/>
        <v>273985</v>
      </c>
      <c r="M27" s="547">
        <f t="shared" si="11"/>
        <v>0</v>
      </c>
      <c r="N27" s="546">
        <f t="shared" si="11"/>
        <v>0</v>
      </c>
      <c r="O27" s="548">
        <f t="shared" si="11"/>
        <v>0</v>
      </c>
      <c r="P27" s="547">
        <f t="shared" si="11"/>
        <v>16303</v>
      </c>
      <c r="Q27" s="546">
        <f t="shared" si="11"/>
        <v>300</v>
      </c>
      <c r="R27" s="548">
        <f t="shared" si="11"/>
        <v>16603</v>
      </c>
      <c r="S27" s="547">
        <f t="shared" si="11"/>
        <v>21620</v>
      </c>
      <c r="T27" s="546">
        <f t="shared" si="11"/>
        <v>330</v>
      </c>
      <c r="U27" s="548">
        <f t="shared" si="11"/>
        <v>21950</v>
      </c>
      <c r="V27" s="547">
        <f t="shared" si="11"/>
        <v>401854</v>
      </c>
      <c r="W27" s="546">
        <f>+W25+W23+W21+W18+W16+W14+W7+W5</f>
        <v>1974</v>
      </c>
      <c r="X27" s="548">
        <f t="shared" si="11"/>
        <v>403828</v>
      </c>
      <c r="Y27" s="549">
        <f t="shared" si="11"/>
        <v>312958</v>
      </c>
      <c r="Z27" s="546">
        <f t="shared" si="11"/>
        <v>594205</v>
      </c>
      <c r="AA27" s="548">
        <f t="shared" si="11"/>
        <v>907163</v>
      </c>
      <c r="AB27" s="322"/>
      <c r="AC27" s="322"/>
    </row>
    <row r="28" spans="1:29" ht="9.75" customHeight="1">
      <c r="A28" s="185"/>
      <c r="B28" s="540"/>
      <c r="C28" s="448"/>
      <c r="D28" s="551"/>
      <c r="E28" s="699"/>
      <c r="F28" s="699"/>
      <c r="G28" s="553"/>
      <c r="H28" s="552"/>
      <c r="I28" s="554"/>
      <c r="J28" s="552"/>
      <c r="K28" s="552"/>
      <c r="L28" s="552"/>
      <c r="M28" s="553"/>
      <c r="N28" s="552"/>
      <c r="O28" s="554"/>
      <c r="P28" s="553"/>
      <c r="Q28" s="552"/>
      <c r="R28" s="554"/>
      <c r="S28" s="553"/>
      <c r="T28" s="552"/>
      <c r="U28" s="554"/>
      <c r="V28" s="553"/>
      <c r="W28" s="552"/>
      <c r="X28" s="554"/>
      <c r="Y28" s="552"/>
      <c r="Z28" s="552"/>
      <c r="AA28" s="554"/>
    </row>
    <row r="29" spans="1:29" s="47" customFormat="1" ht="13.8" thickBot="1">
      <c r="A29" s="538" t="s">
        <v>268</v>
      </c>
      <c r="B29" s="955" t="s">
        <v>274</v>
      </c>
      <c r="C29" s="956"/>
      <c r="D29" s="560">
        <f>+G29+J29+M29+P29+S29+V29+Y29</f>
        <v>421622</v>
      </c>
      <c r="E29" s="561">
        <f t="shared" ref="E29:F29" si="13">+H29+K29+N29+Q29+T29+W29+Z29</f>
        <v>338290</v>
      </c>
      <c r="F29" s="561">
        <f t="shared" si="13"/>
        <v>759912</v>
      </c>
      <c r="G29" s="562"/>
      <c r="H29" s="563"/>
      <c r="I29" s="564"/>
      <c r="J29" s="565"/>
      <c r="K29" s="561"/>
      <c r="L29" s="566"/>
      <c r="M29" s="560"/>
      <c r="N29" s="561"/>
      <c r="O29" s="564"/>
      <c r="P29" s="560"/>
      <c r="Q29" s="561"/>
      <c r="R29" s="564"/>
      <c r="S29" s="560"/>
      <c r="T29" s="561"/>
      <c r="U29" s="564"/>
      <c r="V29" s="560"/>
      <c r="W29" s="561"/>
      <c r="X29" s="564"/>
      <c r="Y29" s="565">
        <f>+'5.g. mell. Egyéb tev.'!AE104</f>
        <v>421622</v>
      </c>
      <c r="Z29" s="561">
        <f>+'5.g. mell. Egyéb tev.'!AF104</f>
        <v>338290</v>
      </c>
      <c r="AA29" s="564">
        <f>+'5.g. mell. Egyéb tev.'!AG104</f>
        <v>759912</v>
      </c>
      <c r="AB29" s="322"/>
      <c r="AC29" s="322"/>
    </row>
    <row r="30" spans="1:29" s="47" customFormat="1" ht="18.75" customHeight="1" thickBot="1">
      <c r="A30" s="948" t="s">
        <v>619</v>
      </c>
      <c r="B30" s="949"/>
      <c r="C30" s="950"/>
      <c r="D30" s="567">
        <f t="shared" ref="D30:AA30" si="14">+D29+D27</f>
        <v>1455480</v>
      </c>
      <c r="E30" s="567">
        <f t="shared" ref="E30:F30" si="15">+E29+E27</f>
        <v>979584</v>
      </c>
      <c r="F30" s="567">
        <f t="shared" si="15"/>
        <v>2435064</v>
      </c>
      <c r="G30" s="567">
        <f t="shared" si="14"/>
        <v>50801</v>
      </c>
      <c r="H30" s="567">
        <f t="shared" si="14"/>
        <v>822</v>
      </c>
      <c r="I30" s="567">
        <f t="shared" si="14"/>
        <v>51623</v>
      </c>
      <c r="J30" s="567">
        <f t="shared" si="14"/>
        <v>230322</v>
      </c>
      <c r="K30" s="567">
        <f t="shared" ref="K30:L30" si="16">+K29+K27</f>
        <v>43663</v>
      </c>
      <c r="L30" s="567">
        <f t="shared" si="16"/>
        <v>273985</v>
      </c>
      <c r="M30" s="567">
        <f t="shared" si="14"/>
        <v>0</v>
      </c>
      <c r="N30" s="567">
        <f t="shared" si="14"/>
        <v>0</v>
      </c>
      <c r="O30" s="567">
        <f t="shared" si="14"/>
        <v>0</v>
      </c>
      <c r="P30" s="567">
        <f t="shared" si="14"/>
        <v>16303</v>
      </c>
      <c r="Q30" s="567">
        <f t="shared" si="14"/>
        <v>300</v>
      </c>
      <c r="R30" s="567">
        <f t="shared" si="14"/>
        <v>16603</v>
      </c>
      <c r="S30" s="567">
        <f t="shared" si="14"/>
        <v>21620</v>
      </c>
      <c r="T30" s="567">
        <f t="shared" si="14"/>
        <v>330</v>
      </c>
      <c r="U30" s="567">
        <f t="shared" si="14"/>
        <v>21950</v>
      </c>
      <c r="V30" s="567">
        <f t="shared" si="14"/>
        <v>401854</v>
      </c>
      <c r="W30" s="567">
        <f t="shared" si="14"/>
        <v>1974</v>
      </c>
      <c r="X30" s="567">
        <f t="shared" si="14"/>
        <v>403828</v>
      </c>
      <c r="Y30" s="567">
        <f t="shared" si="14"/>
        <v>734580</v>
      </c>
      <c r="Z30" s="567">
        <f t="shared" si="14"/>
        <v>932495</v>
      </c>
      <c r="AA30" s="567">
        <f t="shared" si="14"/>
        <v>1667075</v>
      </c>
      <c r="AB30" s="322"/>
      <c r="AC30" s="322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1" orientation="landscape" r:id="rId1"/>
  <headerFooter>
    <oddHeader>&amp;C&amp;"Times New Roman,Félkövér"&amp;12Martonvásár Város Önkormányzatának kiadásai 2016.
&amp;"Times New Roman,Dőlt"(intézmények nélkül)&amp;R&amp;"Times New Roman,Félkövér"&amp;12 5.melléklet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16</vt:i4>
      </vt:variant>
    </vt:vector>
  </HeadingPairs>
  <TitlesOfParts>
    <vt:vector size="46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 </vt:lpstr>
      <vt:lpstr>12.c Tételes mód. Óvoda </vt:lpstr>
      <vt:lpstr>12.d Tételes mód. BBK</vt:lpstr>
      <vt:lpstr>12.e Konszolidált módosítás</vt:lpstr>
      <vt:lpstr>'12.a Tételes mód ÖNK'!Nyomtatási_cím</vt:lpstr>
      <vt:lpstr>'12.b Tételes mód PH '!Nyomtatási_cím</vt:lpstr>
      <vt:lpstr>'12.d Tételes mód. BBK'!Nyomtatási_cím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'12.c Tételes mód. Óvoda '!Nyomtatási_terület</vt:lpstr>
      <vt:lpstr>'12.d Tételes mód. BBK'!Nyomtatási_terület</vt:lpstr>
      <vt:lpstr>'2.mell.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2017-03-18T12:37:03Z</cp:lastPrinted>
  <dcterms:created xsi:type="dcterms:W3CDTF">2014-01-29T08:39:20Z</dcterms:created>
  <dcterms:modified xsi:type="dcterms:W3CDTF">2017-03-31T07:25:30Z</dcterms:modified>
</cp:coreProperties>
</file>