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tabRatio="895" activeTab="0"/>
  </bookViews>
  <sheets>
    <sheet name="1. bevételek" sheetId="1" r:id="rId1"/>
    <sheet name="2. kiadások " sheetId="2" r:id="rId2"/>
    <sheet name="3.műk.-felh." sheetId="3" r:id="rId3"/>
    <sheet name="4.önkorm.kiad.feladat" sheetId="4" r:id="rId4"/>
    <sheet name="5. Óvoda, Kult. kiad. feladat" sheetId="5" r:id="rId5"/>
    <sheet name="6. kiadások megbontása" sheetId="6" r:id="rId6"/>
    <sheet name="7. források sz. bontás" sheetId="7" r:id="rId7"/>
    <sheet name="8. létszámok" sheetId="8" r:id="rId8"/>
    <sheet name="9.felhki" sheetId="9" r:id="rId9"/>
    <sheet name="10.normatívák" sheetId="10" r:id="rId10"/>
    <sheet name="Munka1" sheetId="11" r:id="rId11"/>
  </sheets>
  <definedNames>
    <definedName name="_xlnm.Print_Titles" localSheetId="0">'1. bevételek'!$5:$6</definedName>
    <definedName name="_xlnm.Print_Titles" localSheetId="1">'2. kiadások '!$5:$6</definedName>
    <definedName name="_xlnm.Print_Titles" localSheetId="2">'3.műk.-felh.'!$4:$5</definedName>
    <definedName name="_xlnm.Print_Titles" localSheetId="3">'4.önkorm.kiad.feladat'!$4:$7</definedName>
    <definedName name="_xlnm.Print_Titles" localSheetId="5">'6. kiadások megbontása'!$5:$8</definedName>
    <definedName name="_xlnm.Print_Titles" localSheetId="7">'8. létszámok'!$7:$7</definedName>
    <definedName name="_xlnm.Print_Titles" localSheetId="8">'9.felhki'!$6:$7</definedName>
    <definedName name="_xlnm.Print_Area" localSheetId="0">'1. bevételek'!$A$1:$J$200</definedName>
    <definedName name="_xlnm.Print_Area" localSheetId="9">'10.normatívák'!$A$1:$L$52</definedName>
    <definedName name="_xlnm.Print_Area" localSheetId="1">'2. kiadások '!$A$1:$J$76</definedName>
    <definedName name="_xlnm.Print_Area" localSheetId="3">'4.önkorm.kiad.feladat'!$D$1:$V$49</definedName>
    <definedName name="_xlnm.Print_Area" localSheetId="4">'5. Óvoda, Kult. kiad. feladat'!$A$1:$K$35</definedName>
    <definedName name="_xlnm.Print_Area" localSheetId="5">'6. kiadások megbontása'!$A$1:$M$79</definedName>
    <definedName name="_xlnm.Print_Area" localSheetId="6">'7. források sz. bontás'!$A$1:$AC$61</definedName>
    <definedName name="_xlnm.Print_Area" localSheetId="7">'8. létszámok'!$A$1:$M$104</definedName>
    <definedName name="_xlnm.Print_Area" localSheetId="8">'9.felhki'!$A$1:$D$82</definedName>
  </definedNames>
  <calcPr fullCalcOnLoad="1"/>
</workbook>
</file>

<file path=xl/sharedStrings.xml><?xml version="1.0" encoding="utf-8"?>
<sst xmlns="http://schemas.openxmlformats.org/spreadsheetml/2006/main" count="1642" uniqueCount="1021">
  <si>
    <t>Rovatok megnevezése</t>
  </si>
  <si>
    <t>K1</t>
  </si>
  <si>
    <t>ebből:</t>
  </si>
  <si>
    <t>K2</t>
  </si>
  <si>
    <t>Munkaadókat terhelő járulékok és szoc. hozzájárulási adó</t>
  </si>
  <si>
    <t>K3</t>
  </si>
  <si>
    <t>Dologi kiadások</t>
  </si>
  <si>
    <t>államháztartáson belül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</si>
  <si>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</si>
  <si>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</si>
  <si>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</si>
  <si>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</si>
  <si>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</si>
  <si>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</si>
  <si>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Intézményi ellátottak pénzbeli juttatásai</t>
  </si>
  <si>
    <t>1. Működési célú támogatások államháztartáson belülről</t>
  </si>
  <si>
    <t>1.1. Önkormányzatok működési támogatásai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</si>
  <si>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</si>
  <si>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</si>
  <si>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</si>
  <si>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</si>
  <si>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</si>
  <si>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</si>
  <si>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</si>
  <si>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</si>
  <si>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</si>
  <si>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</si>
  <si>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</si>
  <si>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</si>
  <si>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</si>
  <si>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</si>
  <si>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</si>
  <si>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</si>
  <si>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</si>
  <si>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</si>
  <si>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</si>
  <si>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</si>
  <si>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</si>
  <si>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 xml:space="preserve">3. Dologi kiadások </t>
  </si>
  <si>
    <t>4. Ellátottak pénzbeli juttatásai</t>
  </si>
  <si>
    <t>5. Egyéb működési célú kiadások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</si>
  <si>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</si>
  <si>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</si>
  <si>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</si>
  <si>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</si>
  <si>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</si>
  <si>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</si>
  <si>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3.4. Felh. c. v.tér. tám. kölcs. nyújt. állh.-on kívülre</t>
  </si>
  <si>
    <t>3.5. Egyéb felh. c. támogatások állh-on kívülre</t>
  </si>
  <si>
    <t>051030</t>
  </si>
  <si>
    <t>Nem veszélyes (települési) hulladék vegyes begyűjtése, szállítása, átrakása</t>
  </si>
  <si>
    <t>051060</t>
  </si>
  <si>
    <t>052080</t>
  </si>
  <si>
    <t>045160</t>
  </si>
  <si>
    <t>081071</t>
  </si>
  <si>
    <t>013350</t>
  </si>
  <si>
    <t>Önk-i vagyonnal való gazdálkodással kapcs. feladatok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</si>
  <si>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</si>
  <si>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</si>
  <si>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</si>
  <si>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</si>
  <si>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</si>
  <si>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</si>
  <si>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</si>
  <si>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</si>
  <si>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</si>
  <si>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</si>
  <si>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</si>
  <si>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</si>
  <si>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</si>
  <si>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</si>
  <si>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</si>
  <si>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</si>
  <si>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102030</t>
  </si>
  <si>
    <t>107051</t>
  </si>
  <si>
    <t>107054</t>
  </si>
  <si>
    <t>104060</t>
  </si>
  <si>
    <t>107060</t>
  </si>
  <si>
    <t>082044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</si>
  <si>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</si>
  <si>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</si>
  <si>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</si>
  <si>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</si>
  <si>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>Múzeumi, gyűjteményi tevékenység</t>
  </si>
  <si>
    <t xml:space="preserve">működési </t>
  </si>
  <si>
    <t>felhalmozási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</si>
  <si>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</si>
  <si>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</si>
  <si>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</si>
  <si>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</si>
  <si>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</si>
  <si>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>Ingatlan, termőföld értékesítés</t>
  </si>
  <si>
    <t>Állami feladat kiadása</t>
  </si>
  <si>
    <t>Központi ktgv.-i támogatás össz.:</t>
  </si>
  <si>
    <t>Átvett pénzeszköz összesen:</t>
  </si>
  <si>
    <t>Saját bevétel összesen: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</si>
  <si>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</si>
  <si>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</si>
  <si>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</si>
  <si>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</si>
  <si>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</si>
  <si>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</si>
  <si>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</si>
  <si>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</si>
  <si>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</si>
  <si>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</si>
  <si>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</si>
  <si>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</si>
  <si>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</si>
  <si>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Felhalmozás célú támogatás államháztartáson kívülre</t>
  </si>
  <si>
    <t>2.1. Helyi adók és adójellegű bevételek</t>
  </si>
  <si>
    <t>A települési önkormányzatok egyes köznevelési feladatainak támogatása</t>
  </si>
  <si>
    <t>Óvodapedagógusok, és az óvodapedagógusok nevelő munkáját közvetlenül segítők bértámogatása</t>
  </si>
  <si>
    <t>A települési önkormányzatok szociális, gyermekjóléti és gyermekétkeztetési feladatainak támogatása</t>
  </si>
  <si>
    <t>III.5</t>
  </si>
  <si>
    <t>III.5.b</t>
  </si>
  <si>
    <t>Gyermekétkeztetés üzemeltetési támogatása</t>
  </si>
  <si>
    <t>Települési önkormányzatok nyilvános könyvtári és közművelődési feladatainak támogatása</t>
  </si>
  <si>
    <t>Központi költségvetési támogatások mindösszesen:</t>
  </si>
  <si>
    <t>Műk.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</si>
  <si>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</si>
  <si>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</si>
  <si>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</si>
  <si>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</si>
  <si>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</si>
  <si>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</si>
  <si>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</si>
  <si>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K43</t>
  </si>
  <si>
    <t>Pénzbeli kárpótlások, kártérítések</t>
  </si>
  <si>
    <t>K44</t>
  </si>
  <si>
    <t>Betegséggel kapcsolatos (nem TB) ellátások</t>
  </si>
  <si>
    <t>K45</t>
  </si>
  <si>
    <t>Foglalkoztatással, munkanélküliséggel kapcs. ellátások</t>
  </si>
  <si>
    <t>K46</t>
  </si>
  <si>
    <t>Lakhatással kapcsolatos ellátások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</si>
  <si>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</si>
  <si>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</si>
  <si>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</si>
  <si>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</si>
  <si>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</si>
  <si>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</si>
  <si>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</si>
  <si>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</si>
  <si>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</si>
  <si>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</si>
  <si>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</si>
  <si>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</si>
  <si>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</si>
  <si>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</si>
  <si>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</si>
  <si>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</si>
  <si>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</si>
  <si>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</si>
  <si>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</si>
  <si>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</si>
  <si>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</si>
  <si>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</si>
  <si>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</si>
  <si>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</si>
  <si>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</si>
  <si>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</si>
  <si>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</si>
  <si>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</si>
  <si>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</si>
  <si>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</si>
  <si>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</si>
  <si>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</si>
  <si>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</si>
  <si>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</si>
  <si>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</si>
  <si>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</si>
  <si>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</si>
  <si>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</si>
  <si>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</si>
  <si>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</si>
  <si>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</si>
  <si>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</si>
  <si>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</si>
  <si>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</si>
  <si>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</si>
  <si>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</si>
  <si>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</si>
  <si>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</si>
  <si>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</si>
  <si>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</si>
  <si>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</si>
  <si>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</si>
  <si>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</si>
  <si>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</si>
  <si>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</si>
  <si>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</si>
  <si>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</si>
  <si>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</si>
  <si>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 xml:space="preserve">    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</si>
  <si>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</si>
  <si>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</si>
  <si>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</si>
  <si>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</si>
  <si>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</si>
  <si>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</si>
  <si>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</si>
  <si>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</si>
  <si>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</si>
  <si>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</si>
  <si>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</si>
  <si>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</si>
  <si>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</si>
  <si>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</si>
  <si>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</si>
  <si>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</si>
  <si>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</si>
  <si>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</si>
  <si>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</si>
  <si>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</si>
  <si>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</si>
  <si>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</si>
  <si>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B113</t>
  </si>
  <si>
    <t>B114</t>
  </si>
  <si>
    <t>B115</t>
  </si>
  <si>
    <t>B116</t>
  </si>
  <si>
    <t>B12</t>
  </si>
  <si>
    <t>Elvonások és befizetések bevételei</t>
  </si>
  <si>
    <t>B13</t>
  </si>
  <si>
    <t>B14</t>
  </si>
  <si>
    <t>fejezeti kezelésű ei EU-s pr. és azok hazai társfinanszírozása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</si>
  <si>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</si>
  <si>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</si>
  <si>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</si>
  <si>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</si>
  <si>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</si>
  <si>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</si>
  <si>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</si>
  <si>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</si>
  <si>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</si>
  <si>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</si>
  <si>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</si>
  <si>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</si>
  <si>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</si>
  <si>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</si>
  <si>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</si>
  <si>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</si>
  <si>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</si>
  <si>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</si>
  <si>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</si>
  <si>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</si>
  <si>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</si>
  <si>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</si>
  <si>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</si>
  <si>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</si>
  <si>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B352</t>
  </si>
  <si>
    <t>B353</t>
  </si>
  <si>
    <t>Pü-i monopóliumok nyereségét terhelő adók</t>
  </si>
  <si>
    <t>B354</t>
  </si>
  <si>
    <t>Gépjárműadók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</si>
  <si>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</si>
  <si>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</si>
  <si>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</si>
  <si>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</si>
  <si>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</si>
  <si>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</si>
  <si>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</si>
  <si>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</si>
  <si>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</si>
  <si>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környezetvédelmi bírság</t>
  </si>
  <si>
    <t>építésügyi bírság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</si>
  <si>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</si>
  <si>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</si>
  <si>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</si>
  <si>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</si>
  <si>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</si>
  <si>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</si>
  <si>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</si>
  <si>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</si>
  <si>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</si>
  <si>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</si>
  <si>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</si>
  <si>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</si>
  <si>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</si>
  <si>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</si>
  <si>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</si>
  <si>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</si>
  <si>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</si>
  <si>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</si>
  <si>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</si>
  <si>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</si>
  <si>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B410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</si>
  <si>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</si>
  <si>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</si>
  <si>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</si>
  <si>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</si>
  <si>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</si>
  <si>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</si>
  <si>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</si>
  <si>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</si>
  <si>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</si>
  <si>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</si>
  <si>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</si>
  <si>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</si>
  <si>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</si>
  <si>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</si>
  <si>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</si>
  <si>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B62</t>
  </si>
  <si>
    <t>3.7. Általános forgalmi adó visszatérítése</t>
  </si>
  <si>
    <t>B63</t>
  </si>
  <si>
    <t>B7</t>
  </si>
  <si>
    <t>Felhalmozási célú átvett pénzeszközök</t>
  </si>
  <si>
    <t>B71</t>
  </si>
  <si>
    <t>B72</t>
  </si>
  <si>
    <t>B73</t>
  </si>
  <si>
    <t>B8</t>
  </si>
  <si>
    <t>Finanszírozási bevételek</t>
  </si>
  <si>
    <t>B81</t>
  </si>
  <si>
    <t>Belföldi finanszírozás bevételei</t>
  </si>
  <si>
    <t>B811</t>
  </si>
  <si>
    <t>B8111</t>
  </si>
  <si>
    <t>B8112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</si>
  <si>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</si>
  <si>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</si>
  <si>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</si>
  <si>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</si>
  <si>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</si>
  <si>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</si>
  <si>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</si>
  <si>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</si>
  <si>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</si>
  <si>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</si>
  <si>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B815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</si>
  <si>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</si>
  <si>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</si>
  <si>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</si>
  <si>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</si>
  <si>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</si>
  <si>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</si>
  <si>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</si>
  <si>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</si>
  <si>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</si>
  <si>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</si>
  <si>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</si>
  <si>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</si>
  <si>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</si>
  <si>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Felh. célú</t>
  </si>
  <si>
    <t>Műk. célú</t>
  </si>
  <si>
    <t>Szolgáltatások ellenértéke</t>
  </si>
  <si>
    <t>Immateriális javak értékesítése</t>
  </si>
  <si>
    <t>Beruházás</t>
  </si>
  <si>
    <t>Közutak, alagutak üzemeltetése, fenntartása</t>
  </si>
  <si>
    <t>Személyi juttatások</t>
  </si>
  <si>
    <t>Kiadások mindösszesen: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</si>
  <si>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</si>
  <si>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</si>
  <si>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</si>
  <si>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</si>
  <si>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</si>
  <si>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</si>
  <si>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</si>
  <si>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</si>
  <si>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</si>
  <si>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</si>
  <si>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</si>
  <si>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</si>
  <si>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 xml:space="preserve">Közfoglalkoztatás </t>
  </si>
  <si>
    <t>Védőnői Szolgálat</t>
  </si>
  <si>
    <t>- Védőnők</t>
  </si>
  <si>
    <t>Megnevezés</t>
  </si>
  <si>
    <t>Kiadások</t>
  </si>
  <si>
    <t>Dologi kiadás</t>
  </si>
  <si>
    <t>Összesen:</t>
  </si>
  <si>
    <t>Mindösszesen:</t>
  </si>
  <si>
    <t>Mindösszesen</t>
  </si>
  <si>
    <t>Beruházások</t>
  </si>
  <si>
    <t>Bevé-        telek</t>
  </si>
  <si>
    <t>K i a d á s b ó l</t>
  </si>
  <si>
    <t>Kiadások összesen</t>
  </si>
  <si>
    <t>Polgármesteri Hivatal</t>
  </si>
  <si>
    <t>Felújítás</t>
  </si>
  <si>
    <t>Összeg</t>
  </si>
  <si>
    <t>–</t>
  </si>
  <si>
    <t>Veszélyes hulladék kezelése, ártalmatlanítása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</si>
  <si>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</si>
  <si>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</si>
  <si>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</si>
  <si>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</si>
  <si>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</si>
  <si>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</si>
  <si>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</si>
  <si>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</si>
  <si>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</si>
  <si>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</si>
  <si>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</si>
  <si>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</si>
  <si>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</si>
  <si>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</si>
  <si>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</si>
  <si>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</si>
  <si>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</si>
  <si>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</si>
  <si>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</si>
  <si>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</si>
  <si>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</si>
  <si>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</si>
  <si>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</si>
  <si>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</si>
  <si>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</si>
  <si>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</si>
  <si>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</si>
  <si>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</si>
  <si>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</si>
  <si>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</si>
  <si>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</si>
  <si>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</si>
  <si>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</si>
  <si>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</si>
  <si>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</si>
  <si>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</si>
  <si>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</si>
  <si>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</si>
  <si>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</si>
  <si>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</si>
  <si>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</si>
  <si>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</si>
  <si>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</si>
  <si>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 xml:space="preserve">- Köztisztviselők                      </t>
  </si>
  <si>
    <t>HELYI ÖNKORMÁNYZAT ÉS INTÉZMÉNYEI ÖSSZESEN:</t>
  </si>
  <si>
    <t>Összesen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</si>
  <si>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</si>
  <si>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</si>
  <si>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</si>
  <si>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</si>
  <si>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</si>
  <si>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</si>
  <si>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</si>
  <si>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</si>
  <si>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</si>
  <si>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</si>
  <si>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</si>
  <si>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G</t>
  </si>
  <si>
    <t>H</t>
  </si>
  <si>
    <t>33</t>
  </si>
  <si>
    <t>Család- és nővédelmi egészségügyi gondozás</t>
  </si>
  <si>
    <t>Körny. véd. alap</t>
  </si>
  <si>
    <t>Bevételek</t>
  </si>
  <si>
    <t>Bevételek mindösszesen:</t>
  </si>
  <si>
    <t>-</t>
  </si>
  <si>
    <t>Helyi önkormányzat</t>
  </si>
  <si>
    <t>2020. év</t>
  </si>
  <si>
    <t>Jogcím</t>
  </si>
  <si>
    <t>száma</t>
  </si>
  <si>
    <t>megnevezése</t>
  </si>
  <si>
    <t>mutató</t>
  </si>
  <si>
    <t>fajlagos Ft</t>
  </si>
  <si>
    <t>mutató    (8 hó)</t>
  </si>
  <si>
    <t>mutató   (4 hó)</t>
  </si>
  <si>
    <t>xxx</t>
  </si>
  <si>
    <t>I. Működési bevételek</t>
  </si>
  <si>
    <t>Szociális étkeztetés</t>
  </si>
  <si>
    <t>II. Felhalmozási bevételek</t>
  </si>
  <si>
    <t>I. Működési kiadások</t>
  </si>
  <si>
    <t>1. Személyi juttatások</t>
  </si>
  <si>
    <t>26</t>
  </si>
  <si>
    <t>Általános tartalék</t>
  </si>
  <si>
    <t>A települési önkormányzatok kulturális feladatainak támogatása</t>
  </si>
  <si>
    <t xml:space="preserve">fajlagos Ft </t>
  </si>
  <si>
    <t>Önkormányzati hivatal működésének támogatása</t>
  </si>
  <si>
    <t>II.</t>
  </si>
  <si>
    <t>I.</t>
  </si>
  <si>
    <t>II.1</t>
  </si>
  <si>
    <t>Óvodapedagógusok bértámogatása</t>
  </si>
  <si>
    <t>II.2</t>
  </si>
  <si>
    <t>Óvodaműködtetési támogatás</t>
  </si>
  <si>
    <t>III.</t>
  </si>
  <si>
    <t>III.1</t>
  </si>
  <si>
    <t>III.2</t>
  </si>
  <si>
    <t>Egyes szociális és gyermekjóléti feladatok támogatása</t>
  </si>
  <si>
    <t xml:space="preserve">Helyi önkormányzatok működésének általános támogatása </t>
  </si>
  <si>
    <t>IV.</t>
  </si>
  <si>
    <t>összeg Ft</t>
  </si>
  <si>
    <t>Ell.szám</t>
  </si>
  <si>
    <t>2. melléklet jogcímei mindösszesen: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</si>
  <si>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</si>
  <si>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</si>
  <si>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</si>
  <si>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</si>
  <si>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</si>
  <si>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23</t>
  </si>
  <si>
    <t>24</t>
  </si>
  <si>
    <t>25</t>
  </si>
  <si>
    <t>27</t>
  </si>
  <si>
    <t>31</t>
  </si>
  <si>
    <t>34</t>
  </si>
  <si>
    <t>35</t>
  </si>
  <si>
    <t>Polgármesteri Hivatal összesen:</t>
  </si>
  <si>
    <t>Óvodai intézményi étkeztetés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</si>
  <si>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</si>
  <si>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</si>
  <si>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</si>
  <si>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</si>
  <si>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</si>
  <si>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</si>
  <si>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</si>
  <si>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Közműv. tv. </t>
  </si>
  <si>
    <t>1997. évi CXL. törvény a muzeális intézményekről, a nyilvános könyvtári ellátásról és a közművelődésről</t>
  </si>
  <si>
    <t>Központi költségvetési támogatás</t>
  </si>
  <si>
    <t>Átvett pénzeszközök</t>
  </si>
  <si>
    <t>Saját bevételek</t>
  </si>
  <si>
    <t>Bevételek összesen</t>
  </si>
  <si>
    <t>Helyi önkormányzatok működésének ált. támogatása</t>
  </si>
  <si>
    <t>Ügyeleti ellátáshoz önkormányzatoktól átvett pénzeszk.</t>
  </si>
  <si>
    <t>Tűzoltóság BM támogatása</t>
  </si>
  <si>
    <t>Továbbszámlázott szolg. bevételei</t>
  </si>
  <si>
    <t>Étkeztetéssel kapcsolatos térítési díj bevétel</t>
  </si>
  <si>
    <t>KÖZFOGLALKOZTATOTTAK LÉTSZÁMA ÖSSZESEN:</t>
  </si>
  <si>
    <t xml:space="preserve">A helyi önkormányzat és költségvetési szervei engedélyezett létszáma és a közfoglalkoztatottak létszáma 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</si>
  <si>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</si>
  <si>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</si>
  <si>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</si>
  <si>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I.1.a</t>
  </si>
  <si>
    <t>I.1.b</t>
  </si>
  <si>
    <t>I.1.ba</t>
  </si>
  <si>
    <t>I.1.bb</t>
  </si>
  <si>
    <t>I.1.bc</t>
  </si>
  <si>
    <t>I.1.bd</t>
  </si>
  <si>
    <t>I.1.c</t>
  </si>
  <si>
    <t>I.1.d</t>
  </si>
  <si>
    <t>II.4</t>
  </si>
  <si>
    <t>Kiegészítő támogatás az óvodapedagógusok minősítéséből adódó többletkiadásokhoz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</si>
  <si>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</si>
  <si>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</si>
  <si>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</si>
  <si>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Műk. c. visszatérítendő támogatások, kölcsönök nyújtása államháztartáson kívülre g, egyéb vállalkoz</t>
  </si>
  <si>
    <t>3.4. Tulajdonosi bevételek</t>
  </si>
  <si>
    <t>082030</t>
  </si>
  <si>
    <t>Közutak, hidak, alagutak üzemeltetése, fenntartása</t>
  </si>
  <si>
    <t>Zöldterület -kezelés</t>
  </si>
  <si>
    <t>Város-, községgazdálkodási egyéb szolgáltatások</t>
  </si>
  <si>
    <t>Könyvtári állomány gyarapítása, nyilvántartása</t>
  </si>
  <si>
    <t>Nyitnikék Gyerekház</t>
  </si>
  <si>
    <t>Szociális feladatok egyéb támogatása</t>
  </si>
  <si>
    <t>Elszámolásból származó bevételek</t>
  </si>
  <si>
    <t>Készletértékesítés ellenértéke</t>
  </si>
  <si>
    <t>egyéb részesedések után kapott osztalék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</si>
  <si>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</si>
  <si>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</si>
  <si>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</si>
  <si>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</si>
  <si>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</si>
  <si>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B65</t>
  </si>
  <si>
    <t>B74</t>
  </si>
  <si>
    <t>B75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</si>
  <si>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</si>
  <si>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</si>
  <si>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</si>
  <si>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</si>
  <si>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</si>
  <si>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</si>
  <si>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</si>
  <si>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</si>
  <si>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</si>
  <si>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</si>
  <si>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</si>
  <si>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</si>
  <si>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</si>
  <si>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</si>
  <si>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</si>
  <si>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</si>
  <si>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</si>
  <si>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</si>
  <si>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</si>
  <si>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</si>
  <si>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</si>
  <si>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</si>
  <si>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</si>
  <si>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</si>
  <si>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</si>
  <si>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3.1. Készletértékesítés ellenértéke</t>
  </si>
  <si>
    <t>Gyermeklánc Óvoda és Egységes Óvoda-Bölcsőde, Család- és Gyermekjóléti Központ</t>
  </si>
  <si>
    <t>Család- és Gyermekjóléti Központ</t>
  </si>
  <si>
    <t>Pedagógus szakképzettséggel nem rendelkező, óvodapedagógusok nevelő munkáját közvetlenül segítők bértámogatása</t>
  </si>
  <si>
    <t>Család- és gyermekjóléti szolgálat</t>
  </si>
  <si>
    <t>Család- és gyermekjóléti központ</t>
  </si>
  <si>
    <t>III.3.b</t>
  </si>
  <si>
    <t xml:space="preserve">Fogyasztási adók </t>
  </si>
  <si>
    <t>jövedéki adó</t>
  </si>
  <si>
    <t>Kamatbevételek és más nyereségjellegű bevételek</t>
  </si>
  <si>
    <t>hitelviszonyt megtest. értékpapírok értékesítési nyeresége</t>
  </si>
  <si>
    <t>Egyéb kapott (járó) kamatok és kamatjellegű bevételek</t>
  </si>
  <si>
    <t>Részesedésekből származó pénzügyi műveletek bevételei</t>
  </si>
  <si>
    <t>Más egyéb pénzügyi műveletek bevételei</t>
  </si>
  <si>
    <t xml:space="preserve">Egyéb pénzügyi műveletek bevételei </t>
  </si>
  <si>
    <t>részesedések értékesítéséhez kapcs. realizált nyereség</t>
  </si>
  <si>
    <t>befektetési jegyek bevételei</t>
  </si>
  <si>
    <t>hitelviszonyt megtest. értékpapírok kibocsátási nyeresége</t>
  </si>
  <si>
    <t>valuta és deviza eszközök realizált árfolyamnyeresége</t>
  </si>
  <si>
    <t>kiadások visszatérítései</t>
  </si>
  <si>
    <t>Hitel-, kölcsönfelvétel pénzügyi vállalkozástól</t>
  </si>
  <si>
    <t>Államháztartáson belüli megelőlegezések (Áht. 78.§ (4) és 83.§(3) bek.)</t>
  </si>
  <si>
    <t>Államháztartáson belüli megelől. törleszt. (Áht. 78.§ (4) és 83.§ (3) bek.)</t>
  </si>
  <si>
    <t>Köztemetés (Szoc. tv. 48.§)</t>
  </si>
  <si>
    <t>települési támogatás (Szoc. tv. 45.§)</t>
  </si>
  <si>
    <t>Önkormányzati bérlakások felújítása</t>
  </si>
  <si>
    <t>Vállalk. tev. - Növénytermesztés és kapcsolódó szolgáltatások</t>
  </si>
  <si>
    <t>Művészeti tevékenységek -Jánoshalmi Művésztelep működtetése</t>
  </si>
  <si>
    <t>Művészeti tevékenységek - Jánoshalmi Művésztelep működtetése</t>
  </si>
  <si>
    <t xml:space="preserve">Egyéb szoc. pénzbeli ellátások, támogatások </t>
  </si>
  <si>
    <t>2015. évi  CXXIII. törvény az egészségügyi alapellátásról</t>
  </si>
  <si>
    <t>Eü a. tv.</t>
  </si>
  <si>
    <t>Gyvt. 40/A. §</t>
  </si>
  <si>
    <t>Óvodapedagógusok és a munkájukat közvetlen segítők bértámogatása</t>
  </si>
  <si>
    <t>A rászoruló gyermekek intézményen kívüli szünidei étkeztetésének támogatása</t>
  </si>
  <si>
    <t>Tűzoltóság települési támogatása</t>
  </si>
  <si>
    <t>- Pedagógiai asszisztens</t>
  </si>
  <si>
    <t xml:space="preserve">- Óvodai dajka </t>
  </si>
  <si>
    <t>- Óvodatitkár</t>
  </si>
  <si>
    <t>- Szakmai vezető</t>
  </si>
  <si>
    <t>- Családsegítő</t>
  </si>
  <si>
    <t xml:space="preserve">Nyitnikék Gyerekház </t>
  </si>
  <si>
    <t>- Polgármester</t>
  </si>
  <si>
    <t>- Főállású alpolgármester</t>
  </si>
  <si>
    <t>összeg  Ft</t>
  </si>
  <si>
    <t>II.3</t>
  </si>
  <si>
    <t>Társulás által fenntartott óvodákba bejáró gyermekek utaztatásának tám.</t>
  </si>
  <si>
    <t xml:space="preserve">II.4 a (1) </t>
  </si>
  <si>
    <t xml:space="preserve">II.4 a (2) </t>
  </si>
  <si>
    <t>adatok Ft-ban</t>
  </si>
  <si>
    <t>Telep. önk-ok szoc.,  gyermekjóléti és gyermekétk. feladatainak tám.</t>
  </si>
  <si>
    <t>termőföld bérbeadásából származó jövedelem adója</t>
  </si>
  <si>
    <t>Egyéb felhalmozási célra átvett pénzeszközök</t>
  </si>
  <si>
    <t>018020</t>
  </si>
  <si>
    <t>Központi költségvetési befizetések</t>
  </si>
  <si>
    <t>045120</t>
  </si>
  <si>
    <t>Munkaadót terhelő járulékok</t>
  </si>
  <si>
    <t>102023</t>
  </si>
  <si>
    <t>Időskorúak tartós bentlakásos ellátása (Szoc. Otthon)</t>
  </si>
  <si>
    <t>Egyéb szociális pénzbeli és természetbeni ellátások, támog.</t>
  </si>
  <si>
    <t>096015</t>
  </si>
  <si>
    <t>Gyermekétkeztetés köznevelési intézményben</t>
  </si>
  <si>
    <t>104037</t>
  </si>
  <si>
    <t>Intézményen kívüli gyermekétkeztetés</t>
  </si>
  <si>
    <t>Egyéb felhalmozási célú kiadás</t>
  </si>
  <si>
    <t>K5 Egyéb működési célú kiadások</t>
  </si>
  <si>
    <t>Rendszeres gyermekvédelmi kedvezményhez kapcsolódó természetbeni juttatás Gyvt. 20/A § (1) - (2) bek.</t>
  </si>
  <si>
    <t>Kiegészítő gyermekvédelmi támogatás és a kieg. gyermekvédelmi támogatás pótléka Gyvt. 20/B. § (3), (5) bek.</t>
  </si>
  <si>
    <t>kiotói egységek és kibocsátási egységek eladásából befolyt eladási ár</t>
  </si>
  <si>
    <t>Egyéb működési célú átvett pénzeszközök</t>
  </si>
  <si>
    <t>Helyi önkormányzatok működésének általános támogatása</t>
  </si>
  <si>
    <t>Működési célú költségvetési támogatás és kiegészítő támogatás</t>
  </si>
  <si>
    <t>Működési c. garancia- és kezesságvállalásból származó megtérülés államháztartáson belülről</t>
  </si>
  <si>
    <t>Működési célú visszatérítendő támogatások, kölcsönök visszatérülése ÁH-on belülről</t>
  </si>
  <si>
    <t>Működési célú visszatérítendő támogatások, kölcsönök igénybevétele ÁH-on belülről</t>
  </si>
  <si>
    <t>Egyéb működési célú támogatások bevételei államháztartáson belülről</t>
  </si>
  <si>
    <t>Települési önkormányzatok egyes köznevelési feladatainak támogatása</t>
  </si>
  <si>
    <t>Települési önkormányzatok kulturális feladatainak támogatása</t>
  </si>
  <si>
    <t>fejezeti kezelésű ei EU-s programok és azok hazai társfinanszírozása</t>
  </si>
  <si>
    <t>nemzetiségi önkormányzatok és költségvetési szerveik</t>
  </si>
  <si>
    <t>térségi fejlesztési tanácsok és költségvetési szerveik</t>
  </si>
  <si>
    <t>Felhalmozási célú önkormányzati támogatások</t>
  </si>
  <si>
    <t>Felhalm. célú garancia- és kezességvállalásból származó megtérülés állháztartáson belülről</t>
  </si>
  <si>
    <t>Felhalm. célú visszatérítendő támogatások, kölcsönök visszatérülése állháztartáson belülről</t>
  </si>
  <si>
    <t>Felhalm. célú visszatérítendő támogatások, kölcsönök igénybevétele állháztartáson belülről</t>
  </si>
  <si>
    <t>Egyéb felhalmozási célú támogatások bevételei államháztartáson belülről</t>
  </si>
  <si>
    <t>Felhalmozási célú támogatások államháztartáson belülről</t>
  </si>
  <si>
    <t>állandó jelleggel végzett iparűzési tevékenység utáni helyi iparűzési adó</t>
  </si>
  <si>
    <t>ideiglenes jelleggel végzett tevékenység utáni helyi iparűzési adó</t>
  </si>
  <si>
    <t>belföldi gépjárművek adójának helyi önkormányzatot megillető része</t>
  </si>
  <si>
    <t>szabálysértési pénz- és helyszíni bírság és a közlekedési szabályszegések után kiszabott közigazgatási bírság önkormányzatot megillető része</t>
  </si>
  <si>
    <t>önkormányzati vagyon üzemeltetéséből, koncesszióból származó bevétel</t>
  </si>
  <si>
    <t>önkormányzati vagyon vagyonkezelésbe adásából szárm. bevétel</t>
  </si>
  <si>
    <t>állami többségi tulajdonú vállalkozástól kapott osztalék</t>
  </si>
  <si>
    <t>önkormányzati többségi tulaljdonú vállalkozástól kapott osztalék</t>
  </si>
  <si>
    <t>Befektetett pénzügyi eszközökből származó bevételek</t>
  </si>
  <si>
    <t>hitelviszonyt megtestesítő értékpapírok értékesítési nyeresége</t>
  </si>
  <si>
    <t>Működési célú garancia- és kezességvállalásból származó megtérülés ÁH-on kívülről</t>
  </si>
  <si>
    <t>Működési célú visszatérítendő támogatások, kölcsönök visszatérülése EU-tól</t>
  </si>
  <si>
    <t>Működési célú visszatérítendő támogatások, kölcsönök visszatérülése kormányoktól és más nemzetközi szervezetektől</t>
  </si>
  <si>
    <t>Működési célú visszatérítendő támogatások, kölcsönök visszatérülése ÁH-n kívülről</t>
  </si>
  <si>
    <t>Felhalmozási célú garancia- és kezességvállalásból származó megtérülés ÁH-on kívülről</t>
  </si>
  <si>
    <t>Felhalmozási célú visszatérítendő támogatások, kölcsönök visszatérülése EU-tól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</si>
  <si>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</si>
  <si>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állházt.-on kívülről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</si>
  <si>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</si>
  <si>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</si>
  <si>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</si>
  <si>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Egyéb felhalmozási célú támogatások állháztartáson kívülre</t>
  </si>
  <si>
    <t>Működési célú tartalék - Környezetvédelmi alap</t>
  </si>
  <si>
    <t>VI. Államháztartáson belüli megelőlegezések</t>
  </si>
  <si>
    <t>VI. Államháztartáson belüli megelőlegezések visszafizetése</t>
  </si>
  <si>
    <t>3.2. Egyéb felhalmozási célra átvett pénzeszközök</t>
  </si>
  <si>
    <t>3.1. Felh. c. visszatérít. támog., kölcsönök visszatér. ÁH-on kív.</t>
  </si>
  <si>
    <t>III/a. Előző évek költségvetési maradványának igénybevétele</t>
  </si>
  <si>
    <t>III/b. Előző évek vállakozási maradványának igénybevétele</t>
  </si>
  <si>
    <t>IV. Belföldi értékpapírok bevételei</t>
  </si>
  <si>
    <t>V. Hitel-, kölcsönfelvétel államháztartáson kívülről</t>
  </si>
  <si>
    <t>IV. Értékpapírok vásárlásának kiadása</t>
  </si>
  <si>
    <t>V. Hitelek törlesztése és kötvénykibocsátás kiadásai</t>
  </si>
  <si>
    <t>1.2. Műk. c. visszatérítendő tám., kölcsönök v.térülése ÁH-on bel.</t>
  </si>
  <si>
    <t>5.2. Műk. c. v.térítendő támog.-k, kölcs. nyújt. ÁH-on kívülre</t>
  </si>
  <si>
    <t>2. Munkaadót terhelő járulékok és szociális hozzájárulási adó</t>
  </si>
  <si>
    <t>Időskorúak tartós bentlakásos ellátása</t>
  </si>
  <si>
    <t>Jánoshalma Városi Önkormányzat összesen:</t>
  </si>
  <si>
    <t>Család- és Gyermekjóléti Szolgálat</t>
  </si>
  <si>
    <t>Bölcsődei ellátás</t>
  </si>
  <si>
    <t>Bölcsődei étkeztetés</t>
  </si>
  <si>
    <t>Mötv. 13.§ (1) 9.</t>
  </si>
  <si>
    <t>Mötv. 13.§ (1) 2.</t>
  </si>
  <si>
    <t>Mötv. 13.§ (1) 11.</t>
  </si>
  <si>
    <t>Mötv. 13.§ (1) 19.</t>
  </si>
  <si>
    <t>Mötv. 13.§ (1) 5., 19.</t>
  </si>
  <si>
    <t xml:space="preserve">Mötv. 13.§ (1) 4.,  Eü tv. 5.§ (1) </t>
  </si>
  <si>
    <t>Mötv. 13.§ (1) 15.</t>
  </si>
  <si>
    <t>Mötv. 13.§ (1) 7., Közműv. tv. 64.§ (1)</t>
  </si>
  <si>
    <t>Mötv. 13.§ (1) 7., Közműv. tv. 73.§ (2)</t>
  </si>
  <si>
    <t>Szoc. tv. 86.§ (1) b,</t>
  </si>
  <si>
    <t>Mötv. 13.§ (1) 13.</t>
  </si>
  <si>
    <t>Mötv. 13.§ (1) 6.</t>
  </si>
  <si>
    <t>Család- és nővédelmi egészségügyi gondozás (Védőnői Szolg.)</t>
  </si>
  <si>
    <t>3.8. Kamatbevételek</t>
  </si>
  <si>
    <t>3.9. Egyéb működési bevételek</t>
  </si>
  <si>
    <t>Gyvt. 21/A § (3)</t>
  </si>
  <si>
    <t xml:space="preserve">Mötv. 13.§ (1) 8a, Szoc. tv.  45.§, 48.§ </t>
  </si>
  <si>
    <t>Gyvt. 40. §</t>
  </si>
  <si>
    <t>Gyvt. 94. § (3a)</t>
  </si>
  <si>
    <t xml:space="preserve">Gyvt. 38/A § </t>
  </si>
  <si>
    <t>Gyvt. 21/C § (1)</t>
  </si>
  <si>
    <t>- Szakmai munkatárs</t>
  </si>
  <si>
    <t>Felhalmozási célú maradvány igénybevétele</t>
  </si>
  <si>
    <t>Készletértékesítés (búza, kukorica stb.)</t>
  </si>
  <si>
    <t>Naperőmű által termelt többlet energia értékesítésének bevétele</t>
  </si>
  <si>
    <t>Közvetített szolgáltatások értéke</t>
  </si>
  <si>
    <t>Kamatbevétel</t>
  </si>
  <si>
    <t>Működési célú maradvány igénybevétele</t>
  </si>
  <si>
    <t>Intézményi gyermekétkeztetési feladatok támogatása (iskolai étkeztetés)</t>
  </si>
  <si>
    <t>Intézményi gyermekétkeztetési feladatok támogatása (óvodai étkeztetés)</t>
  </si>
  <si>
    <t>Eü. Ágazat</t>
  </si>
  <si>
    <t>Családsegítő- és Gyermekjóléti Szolgálat, Családsegítő- és Gyermekjóléti Központ</t>
  </si>
  <si>
    <t>I.5.</t>
  </si>
  <si>
    <t>Polgármesteri illetmény támogatása</t>
  </si>
  <si>
    <t>II.1 (1)1,2</t>
  </si>
  <si>
    <t>II.1 (2)1,2</t>
  </si>
  <si>
    <t>Bölcsőde, minibölcsőde támogatása</t>
  </si>
  <si>
    <t>Felsőfokú végzettségű kisgyermeknevelők, szaktanácsadók bértámogatása</t>
  </si>
  <si>
    <t>Bölcsődei dajkák, középfokú végzettségű kisgyermeknevelők, szaktanácsadók bértámogatása</t>
  </si>
  <si>
    <t>Bölcsőde üzemeltetési támogatás</t>
  </si>
  <si>
    <t>Intézményi gyermekétkeztetés támogatása</t>
  </si>
  <si>
    <t>Étkeztetési feladatot ellátók után járó bértámogatás</t>
  </si>
  <si>
    <t>A rászoruló gyermekek szünidei étkeztetésének támogatása</t>
  </si>
  <si>
    <t>Gyermeklánc Óvoda és Bölcsőde, Család- és Gyermekjóléti Központ</t>
  </si>
  <si>
    <t>Bölcsődei csoport</t>
  </si>
  <si>
    <t>Felsőfokú végzettségű kisgyermeknevelő</t>
  </si>
  <si>
    <t>Középfokú végzettségű kisgyermeknevelő</t>
  </si>
  <si>
    <t>Bölcsődei dajka</t>
  </si>
  <si>
    <t>Gyermekház vezető</t>
  </si>
  <si>
    <t>Szakmai munkatárs</t>
  </si>
  <si>
    <t>- MT hatálya alá tartozó munkavállaló</t>
  </si>
  <si>
    <t>Önkormányzati tisztségviselők</t>
  </si>
  <si>
    <t>Igazgatási tevékenység</t>
  </si>
  <si>
    <t>- Szociális segítő</t>
  </si>
  <si>
    <t>- Közfoglalkoztatási ügyintéző</t>
  </si>
  <si>
    <t>Gyermekétkeztetés</t>
  </si>
  <si>
    <t xml:space="preserve">- Könyvtáros                      </t>
  </si>
  <si>
    <t xml:space="preserve">5.1. Elvonások és befizetések </t>
  </si>
  <si>
    <t>Start-munka program - Téli közfoglalkoztatás</t>
  </si>
  <si>
    <t>Hosszabb időtartamú közfoglalkoztatás</t>
  </si>
  <si>
    <t>063020</t>
  </si>
  <si>
    <t>Víztermelés, -kezelés, -ellátás</t>
  </si>
  <si>
    <t>A gyermekek, fiatalok és családok életminőségét javító programok</t>
  </si>
  <si>
    <t>900090</t>
  </si>
  <si>
    <t>041232</t>
  </si>
  <si>
    <t>041233</t>
  </si>
  <si>
    <t>Közművelődés- hagyományos közösségi kult. értékek gondozása</t>
  </si>
  <si>
    <t>Áht. 53/A. §</t>
  </si>
  <si>
    <t>Áht.</t>
  </si>
  <si>
    <t>2011. évi CXCV. törvény az államháztartásról</t>
  </si>
  <si>
    <t>Gyermeklánc Óvoda és Bölcsőde, Család- és Gyermekjóléti Központ összesen:</t>
  </si>
  <si>
    <t>Imre Z. Kult. K. és Könyvtár</t>
  </si>
  <si>
    <t>Bölcsőde támogatása</t>
  </si>
  <si>
    <t>"Jánoshalmi Művésztelep energetikai felújítása" projekt támogatása (VP)</t>
  </si>
  <si>
    <t>Ellátási díjak (ált. isk. étkezés)</t>
  </si>
  <si>
    <t>EFOP-1.4.2-16 Integrált térs. gyermekpr. "Együtt könnyebb" támogatása</t>
  </si>
  <si>
    <t>Köztemetés kiadásának megtérítése</t>
  </si>
  <si>
    <t>Könyvtári szolgáltatások ellenértéke</t>
  </si>
  <si>
    <t>Közművelődési szolgáltatások ellenértéke</t>
  </si>
  <si>
    <t>Állami kv-ből megtérülő kompenzáció</t>
  </si>
  <si>
    <t>2.2. Termőföld bérbead.-ból szárm. jöv. utáni SZJA</t>
  </si>
  <si>
    <t>2.3. Belföldi gépjárművek adójának helyi önk-t megillető része</t>
  </si>
  <si>
    <t>2.4. Egyéb közhatalmi bevételek</t>
  </si>
  <si>
    <t>Polgármesteri Hivatal igazgatási tevékenysége</t>
  </si>
  <si>
    <t>Imre Zoltán Művelődési Központ és Könyvtár</t>
  </si>
  <si>
    <t>Imre Zoltán Művelődési Központ és Könyvtár összesen:</t>
  </si>
  <si>
    <t>Imre Z. Műv. K. és Könyvtár</t>
  </si>
  <si>
    <t>Anyakönyvi szolgáltatás díjbevétele</t>
  </si>
  <si>
    <t>Nyitnikék Gyerekház EMMI-fejezeti támogatása</t>
  </si>
  <si>
    <t>Gyermeklánc Óvoda és Bölcsőde, Család- és Gyermekjóléti Központ kiadásai összesen:</t>
  </si>
  <si>
    <t>- Gazdasági ügyintéző (térítési díjak beszedése, étkezők nyilvántartása)</t>
  </si>
  <si>
    <t>Településüzemeltetéshez kapcsolódó feladatellátás alaptámogatása</t>
  </si>
  <si>
    <t>A zöldterület-gazdálkodással kapcsolatos feladatok ellátásának alaptámogatása</t>
  </si>
  <si>
    <t>Közvilágítás fenntartásának alaptámogatása</t>
  </si>
  <si>
    <t>Köztemető-fenntartással kapcsolatos feladatok alaptámogatása</t>
  </si>
  <si>
    <t>Közutak fenntartásának alaptámogatása</t>
  </si>
  <si>
    <t>III.5.aa</t>
  </si>
  <si>
    <t>III.5.ab</t>
  </si>
  <si>
    <t>Egyéb önkormányzati feladatok támogatása (beszámítás után)</t>
  </si>
  <si>
    <t>Óvodai és iskolai szociális segítő tevékenység támogatása</t>
  </si>
  <si>
    <t>Egyéb műk. c. támogatások államháztartáson belülre</t>
  </si>
  <si>
    <t>5.3. Egyéb műk. célú támogatások államh.-on belülre</t>
  </si>
  <si>
    <t>5.4. Egyéb műk. célú támogatások államh.-on kívülre</t>
  </si>
  <si>
    <t>5.5. Tartalékok</t>
  </si>
  <si>
    <t xml:space="preserve">EFOP-3.3.2-16-2016-00284 "Kultúrával az oktatás színesítéséért" projekt </t>
  </si>
  <si>
    <t>Óvodai nevelés</t>
  </si>
  <si>
    <t xml:space="preserve">EFOP-3.9.2-16-2017-00057 "Járásokat összekötő humán kapacitások fejlesztése térségi szemléletben" c. projekt </t>
  </si>
  <si>
    <t>EFOP-1.5.3-16-2017-00082 "Együtt vagyunk, otthon vagyunk és itt maradunk" c. projekt - 2 fő alkalmazása a Család- és Gyermekjóléti Szolgálatnál</t>
  </si>
  <si>
    <t>Műk. célú tám. ÁH-on belülre</t>
  </si>
  <si>
    <t>Szektorhoz nem köthető komplex gazdaságfejlesztési projektek</t>
  </si>
  <si>
    <t>Szennyvízcsatorna építése, fenntartása, üzemeltetése</t>
  </si>
  <si>
    <t>Környezetszennyezés csökkentésének igazgatása</t>
  </si>
  <si>
    <t>Településfejlesztési projektek és támogatásuk</t>
  </si>
  <si>
    <t>Üdülői szálláshely-szolgálttás és étkeztetés</t>
  </si>
  <si>
    <t>Közművelődés- közösségi és társadalmi részvétel fejlesztése</t>
  </si>
  <si>
    <t>Óvodai nevelés, ellátás működtetési feladatai</t>
  </si>
  <si>
    <t>Iskolarendszeren kívüli egyéb oktatás, képzés</t>
  </si>
  <si>
    <t>107052</t>
  </si>
  <si>
    <t>Házi segítségnyújtás</t>
  </si>
  <si>
    <t>107080</t>
  </si>
  <si>
    <t>Esélyegyenlőség elősegítését célzó tevékenységek és programok</t>
  </si>
  <si>
    <t>36</t>
  </si>
  <si>
    <t>37</t>
  </si>
  <si>
    <t>38</t>
  </si>
  <si>
    <t>39</t>
  </si>
  <si>
    <t>40</t>
  </si>
  <si>
    <t>41</t>
  </si>
  <si>
    <t>047450</t>
  </si>
  <si>
    <t>053010</t>
  </si>
  <si>
    <t>062020</t>
  </si>
  <si>
    <t>082061</t>
  </si>
  <si>
    <t>082091</t>
  </si>
  <si>
    <t>095020</t>
  </si>
  <si>
    <t>Q</t>
  </si>
  <si>
    <t>Csatorna beruházáshoz kapcsolódó visszatérítés (háztartásoknak, vállalkozásoknak)</t>
  </si>
  <si>
    <t>TOP-3.2.1-16-BK1-2017-00059 "Jánoshalma Polgármesteri Hivatal energetikai rendszerek korszerűsítése" c. projekt kiadásai</t>
  </si>
  <si>
    <t>TOP-1.1.1-15-BK1-2016-00006 - "Iparterület fejlesztése Jánoshalmán" c. projekt kiadásai</t>
  </si>
  <si>
    <t>TOP-1.1.2-16-BK1 -2017-00005 "Jánoshalma térségi szerepének erősítése a mezőgazdaságban" c. projekt kiadásai</t>
  </si>
  <si>
    <t>TOP-1.1.3-16-BK1 -2017-00007  "Agrárlogisztikai központ építése Jánoshalmán c. projekt kiadásai</t>
  </si>
  <si>
    <t>TOP-2.1.3-16-BK1 -2017 - 00010  "Jánoshalma belvíz elvezetése I. ütem" c. projekt kiadásai</t>
  </si>
  <si>
    <t>EFOP-1.5.3-16-2017-00082  "Együtt vagyunk, otthon vagyunk és itt maradunk" c. projekt felújítási kiadásai</t>
  </si>
  <si>
    <t>Üdülői szálláshely szolgáltatás és étkeztetés</t>
  </si>
  <si>
    <t>Közművelődés-közösségi és társadalmi részvétel fejlesztése</t>
  </si>
  <si>
    <t>Szoc. tv. 86.§ (1) c,</t>
  </si>
  <si>
    <t xml:space="preserve">Óvodai nevelés, ellátás </t>
  </si>
  <si>
    <t>Intézményi gyermekétkeztetési feladatok támogatása (bölcsődei étkeztetés)</t>
  </si>
  <si>
    <t>Startmunka programok műk. c. támogatása</t>
  </si>
  <si>
    <t>Hosszabb időtartamú közfogl. műk. c.  tám.</t>
  </si>
  <si>
    <t>EFOP-3.3.2-16-2016-00284 "Kulturával az oktatás színesítéséért"pr.műk. c.támogatása</t>
  </si>
  <si>
    <t>EFOP-3.3.2-16-2016-00284 "Kulturával az oktatás színesítéséért"pr. felh. c.  támogatása</t>
  </si>
  <si>
    <t>EFOP-1.4.2-16-2016-00020 "Együtt könnyebb" komplex prevenciós és társadalmi felzárkóztató program a gyermekszegénység ellen (GYEP-II.)</t>
  </si>
  <si>
    <t>- Szakterületi koordinátor  / és Coach (1 fő napi 4 órában/ heti 20 órában)</t>
  </si>
  <si>
    <t>EFOP-1.5.3-16-2017-00082 "Együtt vagyunk, otthon vagyunk és itt maradunk" projekt</t>
  </si>
  <si>
    <t>TOP-5.3.1-16-BK1-2017-00015 "Együtt a közösségeinkért" projekt</t>
  </si>
  <si>
    <t>EFOP-3.9.2-16-2017-00057 "Járásokat összekötő humán kapacitások fejlesztése térségi szemléletben" projekt</t>
  </si>
  <si>
    <t>EFOP-3.3.2-16-2016-00284 "Kultúrával az oktatás színesítéséért" projekt</t>
  </si>
  <si>
    <t>A települési önkormányzatok szociális feladatainak egyéb támogatása</t>
  </si>
  <si>
    <t>- Önkormányzati EFOP-1.5.3-16-2017-00082 projekt 2 fő prevenciós munkatárs</t>
  </si>
  <si>
    <t xml:space="preserve">- Szakterületi koordinátor </t>
  </si>
  <si>
    <t>Gyermeklánc Óvoda és Bölcsőde, Család- és Gyermekjóléti Központ  összesen:</t>
  </si>
  <si>
    <t>Működési célú tartalék - elektronikus közbeszerzés rendszerhasználati díja</t>
  </si>
  <si>
    <t>Céltartalék -elektr. közbesz. rendszer- haszn. díja</t>
  </si>
  <si>
    <t>utak használata ellenében beszedett használati díj, pótdíj, elektr. útdíj</t>
  </si>
  <si>
    <t>Jánoshalma Városi Önkormányzat és költségvetési szervei 2020. évi költségvetésének bevételi előirányzatai</t>
  </si>
  <si>
    <t>Jánoshalma Városi Önkormányzat és költségvetési szervei 2020. évi költségvetésének kiadási előirányzatai</t>
  </si>
  <si>
    <t>Jánoshalma Város Önkormányzat 2020. évi költségvetése működési és felhalmozási célú bontásban</t>
  </si>
  <si>
    <t>Jánoshalma Városi Önkormányzat  2020. évi költségvetési kiadásai feladatonként</t>
  </si>
  <si>
    <t>Út, autópálya építése</t>
  </si>
  <si>
    <t>Telepszerű lakókörnyezetek felszámolását célzó programok</t>
  </si>
  <si>
    <t>A helyi önkormányzat által irányított költségvetési szervek 2020. évi költségvetési kiadásai feladatonként</t>
  </si>
  <si>
    <t>EFOP-3.9.2-16-2017-00057 "Járásokat összekötő humán kapacitások fejlesztése térségi szemléletben" projekt - 3 fő többletfeladat ellátása</t>
  </si>
  <si>
    <t>EFOP-1.5.3-16-2017-00082 "Járásokat összekötő humán kapacitások fejlesztése térségi szemléletben" projekt - 3 fő többletfeladat ellátása</t>
  </si>
  <si>
    <t>Óvoda fenntartási kiadások</t>
  </si>
  <si>
    <t>Kiemelt állami és önkormányzai rendezvények</t>
  </si>
  <si>
    <t>21. Egészségügyi ellátás</t>
  </si>
  <si>
    <t>- Óvodapedagógus - teljes munkaidős</t>
  </si>
  <si>
    <t>- Óvodapedagógus - részmunkaidős (2 fő napi 4 órában)</t>
  </si>
  <si>
    <t>Szociális jellegű program - programelem</t>
  </si>
  <si>
    <t>Hosszabb időtartamú közfoglalkoztatás (2019. évről áthúzódó programok 2020.02.29-ig)</t>
  </si>
  <si>
    <t xml:space="preserve">48 fő álláskereső közfoglalkoztatása </t>
  </si>
  <si>
    <t xml:space="preserve">- Szakmai asszisztens </t>
  </si>
  <si>
    <t xml:space="preserve">- Intézményvezető                </t>
  </si>
  <si>
    <t>- Ügyviteli munkatárs</t>
  </si>
  <si>
    <t>- Üzemviteli munkatárs</t>
  </si>
  <si>
    <t>- MT hatálya alá tartozó munkavállaló (takarítónő)</t>
  </si>
  <si>
    <t>Jánoshalma Városi Önkormányzat 2020. évi költségvetésében tervezett köponti költségvetési támogatások</t>
  </si>
  <si>
    <t>a Magyarország 2020. évi központi költségvetéséről szóló 2019. évi LXXI. törvény 2. sz. mellékletének jogcímei szerint</t>
  </si>
  <si>
    <t>Alapfokú végzettségű pedagógus II. kategóriába sorolt óvodapedagógusok kiegészítő támogatása, akik a minősítést 209.01.01-ig szerezték meg</t>
  </si>
  <si>
    <t>Alapfokú végzettségű pedagógus II. kategóriába sorolt óvodapedagógusok kiegészítő támogatása, akik a minősítést a 2020. január 1-jei átsorolással szerezték meg</t>
  </si>
  <si>
    <t>Alapfokú végzettségű mesterpedagógus kategóriába sorolt óvodapedagógusok kiegészítő támogatása, akik a minősítést 2019.01.01-ig szerezték meg</t>
  </si>
  <si>
    <t>Alapfokú végzettségű mesterpedagógus kategóriába sorolt óvodapedagógusok kiegészítő támogatása, akik a minősítést a 2020. január 1-jei átsorolással szerezték meg</t>
  </si>
  <si>
    <t xml:space="preserve">III.2.a </t>
  </si>
  <si>
    <t>III.2.b</t>
  </si>
  <si>
    <t>III.2.n</t>
  </si>
  <si>
    <t xml:space="preserve">III.3. </t>
  </si>
  <si>
    <t>III.3. a (1)</t>
  </si>
  <si>
    <t>III.3. a (2)</t>
  </si>
  <si>
    <t>IV.b</t>
  </si>
  <si>
    <t>2020. évi felhalmozási kiadások feladatonként, felújítási kiadások célonként</t>
  </si>
  <si>
    <t>Szennyvíz átemelő szivattyú csere</t>
  </si>
  <si>
    <t>Viziközművek fejlesztése a viziközművek 2020. évi bérleti díj bevételéből és a Viziközmű fejlesztési tartalékból</t>
  </si>
  <si>
    <t xml:space="preserve">Közvilágítási rendszer korszerűsítése LED technológia felhasználásával </t>
  </si>
  <si>
    <t>Térfigyelő kamerarendszer felújítása</t>
  </si>
  <si>
    <t>Jánoshalma belterületi összközműves, digitális formátumú térképei síkrajzának 2018-2019. évi felújítása</t>
  </si>
  <si>
    <t>Jánoshalma külterületi összközműves, digitális formátumú térképei síkrajzának 2014-2017. évi felújítása</t>
  </si>
  <si>
    <t>Naperőmű túlfeszültség levezető csere</t>
  </si>
  <si>
    <t>Karácsonyi díszkivilágításhoz áramfelvételi leállások létesítése</t>
  </si>
  <si>
    <t>Karácsonyi díszkivilágítás (fénysorok) beszerzése</t>
  </si>
  <si>
    <t>Tűzgátló berendezés beszerzése</t>
  </si>
  <si>
    <t>Jánoshalma Városi Önkormányzat és költségvetési szerveinek 2020 évi költségvetési kiadásai kötelező-, önként vállalt-, és állami (államigazgatási) feladatok szerinti bontásban</t>
  </si>
  <si>
    <t>Esélyegyenlőség elősegítését célzó tevékenységek és programok (EFOP-3.3.2-16-2016-00284 pr.)</t>
  </si>
  <si>
    <t>Jánoshalma Városi Önkormányzat  és költségvetési szerveinek 2020. évi költségvetési bevételei és  kiadásai kötelező-, önként vállalt-, és állami (államigazgatási) feladatok szerinti bontásban</t>
  </si>
  <si>
    <t>Járdaépítésre átvett p.e. háztartásoktól</t>
  </si>
  <si>
    <t>EFOP-2.1.2-16-2018-00075 "Egy fedél alatt" pr.  támogatása</t>
  </si>
  <si>
    <t>VP6-19.2.1-32-1-17kódsz. Mélykúti u. 7. sz. alatti tároló támogatása</t>
  </si>
  <si>
    <t>Homokértékesítés bevétele</t>
  </si>
  <si>
    <t>Család- és nővédelmi eü. gondozáshoz Nemzeti Egészségbizt. Alapkezelőtől finanszírozás</t>
  </si>
  <si>
    <t>EFOP-3.9.2-16-2017-00057 "Járásokat összekötő... "pr.  támogatása</t>
  </si>
  <si>
    <t>EFOP-3.3.2-16-2016-00284 "Kulturával az oktatás színesítéséért"pr maradvány igénybevétele (működési)</t>
  </si>
  <si>
    <t>EFOP 3.9.2-16-2017-00057 pr.Működési célú maradvány igénybevétele</t>
  </si>
  <si>
    <t>061040</t>
  </si>
  <si>
    <t>Bölcsődei gyermekétkeztetés</t>
  </si>
  <si>
    <t>Óvodai gyermekétkeztetés</t>
  </si>
  <si>
    <t>Ttv. 2.§ (2) bek., Mötv.13.§ (1) 12.</t>
  </si>
  <si>
    <t>Mötv. 13.§ (1) 12.</t>
  </si>
  <si>
    <t>Mötv. 13.§ (1) bek. 11., 21. pontja</t>
  </si>
  <si>
    <t>Mötv. 13.§ (1) 1., 7., 9., 14. pontjai</t>
  </si>
  <si>
    <t>Mötv. 13.§ (1) 11.,  21. pontjai</t>
  </si>
  <si>
    <t>Mötv. 13.§ (1) 2., 5., 9., 11., 12. pontjai</t>
  </si>
  <si>
    <t>Mötv. 13.§ (1) 4.,  Eü tv. 5.§ (1) bek.</t>
  </si>
  <si>
    <t>Gyvt. 21/A § (3) bek.</t>
  </si>
  <si>
    <t>Területfejlesztés igazgatása                                                   (EFOP-3.9.2-16-2017-00057 projekt)</t>
  </si>
  <si>
    <t>Esélyegyenlőség elősegítését célzó tevékenységek és programok                                          (EFOP-1.5.3-16-2017-00082 projekt)</t>
  </si>
  <si>
    <t>Esélyegyenlőség elősegítését célzó tevékenységek és programok                                              (EFOP-1.5.3-16-2017-00082 projekt)</t>
  </si>
  <si>
    <t>Területfejlesztés igazgatása                                           (EFOP-3.9.2-16-2017-00057 projekt)</t>
  </si>
  <si>
    <t>Jánoshalmi Polgármesteri Hivatal</t>
  </si>
  <si>
    <t>Imre Zoltán Művelődési Központ és Könyvtár kiadásai összesen:</t>
  </si>
  <si>
    <t>Jánoshalmi Polgármesteri Hivatal kiadásai összesen:</t>
  </si>
  <si>
    <t>Jánoshalma Városi Önkormányzat kiadásai összesen:</t>
  </si>
  <si>
    <t>- Technikai dolgozók  (2 fő részfoglalkozású napi 4 órában)</t>
  </si>
  <si>
    <t>- Esetmenedzser és tanácsadó</t>
  </si>
  <si>
    <t>- Óvodai, iskolai szociális segítő</t>
  </si>
  <si>
    <t>- Asszisztens (részmunkaidős napi 4 órában)</t>
  </si>
  <si>
    <t>- Titkárnő</t>
  </si>
  <si>
    <t>- Pénzügyi vezető (részmunkaidős napi 3 órában)</t>
  </si>
  <si>
    <t>- Projektmenedzser (részmunkaidős napi 3 órában)</t>
  </si>
  <si>
    <t>- Szakmai asszisztens (részmunkaidős napi 4 órában)</t>
  </si>
  <si>
    <t>- Ifjúsági referens</t>
  </si>
  <si>
    <t>- Mentor vezető (részmunkaidős napi 4 órában)</t>
  </si>
  <si>
    <t>- Mentorok (9 fő részmunkaidőben napi 2 órában)</t>
  </si>
  <si>
    <t>- Közösség szervező munkatárs</t>
  </si>
  <si>
    <t>- Szakmai asszisztens</t>
  </si>
  <si>
    <t>- Közösségfejlesztő</t>
  </si>
  <si>
    <t>- Mentorok  (4 fő részmunkaidőben napi 1 órában)</t>
  </si>
  <si>
    <t>- Angol nyelvtanár (2 fő részmunkaidőben napi 1 órában)</t>
  </si>
  <si>
    <t>- Szakmai vezető (részmunkaidős napi 4 órában)</t>
  </si>
  <si>
    <t>Zöldfa utca szilárd burkolatú út készítése</t>
  </si>
  <si>
    <t>Járdaépítés (fedezet: képviselői felajánlásból)</t>
  </si>
  <si>
    <t>Polgármesteri Hivatal udvarán garázs kialakítása</t>
  </si>
  <si>
    <t>Vízkárelhárítási terv elkészíttetése</t>
  </si>
  <si>
    <t>224/2017.(XII.14) Kt. hat.  és 17/2018(I.25) Kt. határozatok alapján VP6-19.2.1-32-1-17  "Települések élhetőbbé tétele" c. pályázat (gépjármű tároló építése a Mélykúti u. 7. sz. alatt)</t>
  </si>
  <si>
    <t>Energiamegtakarítási intézkedési terv elkészíttetése</t>
  </si>
  <si>
    <t>Jánoshalmi Művésztelep eszközbeszerzései (Bútorok - 5 db asztal, 15 szék)</t>
  </si>
  <si>
    <t>Védőnői szolgálat eszközbeszerzései (veszélyes hulladéktároláshoz hűtő, vércukormérő, Lang teszt II.)</t>
  </si>
  <si>
    <t>Számítógépek fejlesztése (rendszergazda felmérése alapján )</t>
  </si>
  <si>
    <t>EFOP-1.5.3-16-2017-00082  "Együtt vagyunk, otthon vagyunk és itt maradunk" c. projekt beruházási kiadásai</t>
  </si>
  <si>
    <t>EFOP-2.1.2-16-2018-00075  "Egy fedél alatt" c. projekt beruházási kiadásai</t>
  </si>
  <si>
    <t>Tavalyi évről elhalasztott eszközbeszerzések (irodai székek, PH konyhai kiegészítő bútor beszerzés)</t>
  </si>
  <si>
    <t>Hang- és fénytechnikai eszközök (jelfeldolgozó, fényvezérlő) beszerzése</t>
  </si>
  <si>
    <t>Kerítésfelújítás (Batthyány utcai óvoda, Radnóti utcai óvoda)</t>
  </si>
  <si>
    <t>54/2019.(IV.25.) Kt. hat.  Óvoda épület hőszigetelése</t>
  </si>
  <si>
    <t>Óvodai nevelés eszközbeszerzési (udvari játékok, sportszerek, óvodai ágyak, ágytároló szekrény, kuka, porszívó, takarítógép, létra)</t>
  </si>
  <si>
    <t>Bölcsődei ellátás eszközbeszerzései (homokozó eszközök, játékok, sporteszközök)</t>
  </si>
  <si>
    <t>Család- és Gyermekjóléti Központ beruházási kiadásai (Windows 10 szoftver, számítógép, szünetmentes tápegység beszerzése, telefonvonal szétválasztása)</t>
  </si>
  <si>
    <t>Nyitnikék Gyerekház beruházási kiadásai (fejlesztő játékok vásárlása)</t>
  </si>
  <si>
    <t>Család- és Gyermekjóléti Szolgálat beruházási kiadásai (Windows 10 szoftver beszerzése; árnyékoló; székek vásárlása a kapcsolattartó szobába)</t>
  </si>
  <si>
    <t>Polgármesteri Hivatal épületében belső festés, felújítási munkák</t>
  </si>
  <si>
    <t>TOP-2.1.2-16-BK1 -2017-00003  "Zöld tér felújítása Jánoshalmán" c. projekt felújítási kiadásai</t>
  </si>
  <si>
    <t>Védőnő (3 fő heti 2 órában)</t>
  </si>
  <si>
    <t>Programfelelős (3 fő heti 2 órában)</t>
  </si>
  <si>
    <t>Szakmai koordinátor (1 fő heti 20 órában)</t>
  </si>
  <si>
    <t>Nyelvtanár (1 fő heti 1 órában)</t>
  </si>
  <si>
    <t>Fejlesztő pedagógus (1 fő főállásban, 2 fő heti 20 órába)</t>
  </si>
  <si>
    <t>Gyógypedagógus (1 fő heti 10 órában)</t>
  </si>
  <si>
    <t>Pénzügyi asszisztens (1 fő napi 4 órában)</t>
  </si>
  <si>
    <t>Családsegítő munkatárs (4 fő heti 2 órában)</t>
  </si>
  <si>
    <t>Óvónő (1 fő heti 2 órában)</t>
  </si>
  <si>
    <t>EFOP-3.9.2-16-2017-00057"Járásokat összekötő humán kap. fejl. térs. szemléletben" pr. EU tám.</t>
  </si>
  <si>
    <t>Imre Zoltán Művelődési Központ és Könyvtár  összesen:</t>
  </si>
  <si>
    <t>Épület-felújítás</t>
  </si>
  <si>
    <t>2 fő takarítónő foglalkoztatása 2020.03.01-2020.10.31. -Munkaügyi Központ támogatása</t>
  </si>
  <si>
    <t>Állati hullagyűjtő telep kialakítása</t>
  </si>
  <si>
    <t>Hosszabb időtartamú közfogl. felh. c.  tám.</t>
  </si>
  <si>
    <t>Startmunka programok felh. c. támogatása</t>
  </si>
  <si>
    <t>Működési c. kv-i támogatások és kiegészítő támogatások</t>
  </si>
  <si>
    <t>Járási startmunka mintaprogram (2019. évről áthúzódó programok 2020.02.29-ig)</t>
  </si>
  <si>
    <t>Járási startmunka mintaprogram (2020. március 1-től indult programok 2021.02.28-ig)</t>
  </si>
  <si>
    <t>Hosszabb időtartamú közfoglalkoztatás (2020. március 1-től indult programok 2021.02.28-ig)</t>
  </si>
  <si>
    <t xml:space="preserve">31 fő álláskereső közfoglalkoztatása </t>
  </si>
  <si>
    <t>Járási startmunka mintaprogram (2020.03.01-2021.02.28) - kisértékű tárgyi eszköz beszerzés</t>
  </si>
  <si>
    <t xml:space="preserve"> Hosszabb időtartamú közfoglalkoztatás (2020.03.01-2021.02.28.) - kisértékű tárgyi eszköz beszerzés </t>
  </si>
  <si>
    <t>Könyvtár részére beszerzett könyvek</t>
  </si>
  <si>
    <t>Helyi önkormányzatok kiegészítő támogatásai</t>
  </si>
  <si>
    <t xml:space="preserve">11. </t>
  </si>
  <si>
    <t>A költségvetési szerveknél foglalkoztatottak 2019. évi áthúzódó és 2020. évi kompenzációja</t>
  </si>
  <si>
    <t>12.</t>
  </si>
  <si>
    <t>Szociális ágazati összevont pótlék és egészségügyi kiegészítő pótlék</t>
  </si>
  <si>
    <t>14.</t>
  </si>
  <si>
    <t>Kulturális illetménypótlék</t>
  </si>
  <si>
    <t>3. melléklet jogcímei mindösszesen:</t>
  </si>
  <si>
    <t>1. melléklet a 3/2020.(III.27.) önkormányzati rendelethez</t>
  </si>
  <si>
    <t>2. melléklet a 3/2020.(III.27.) önkormányzati rendelethez</t>
  </si>
  <si>
    <t>3. melléklet a 3/2020.(III.27.) önkormányzati rendelethez</t>
  </si>
  <si>
    <t>4. melléklet a 3/2020.(III.27.) önkormányzati rendelethez</t>
  </si>
  <si>
    <t>5. melléklet a 3/2020.(III.27.) önkormányzati rendelethez</t>
  </si>
  <si>
    <t>6. melléklet a 3/2020.(III.27.) önkormányzati rendelethez</t>
  </si>
  <si>
    <t>7. melléklet a 3/2020.(III.27.) önkormányzati rendelethez</t>
  </si>
  <si>
    <t>8. melléklet a 3/2020. (III.27.) önkormányzati rendelethez</t>
  </si>
  <si>
    <t>9. melléklet a 3/2020.(III.27.) önkormányzati rendelethez</t>
  </si>
  <si>
    <t>10. melléklet a 3/2020. (III.27.) önkormányzati rendelethez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</si>
</sst>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Ft&quot;"/>
    <numFmt numFmtId="167" formatCode="0.0"/>
    <numFmt numFmtId="168" formatCode="#,##0.0\ &quot;Ft&quot;"/>
    <numFmt numFmtId="169" formatCode="#,##0.0\ _F_t"/>
    <numFmt numFmtId="170" formatCode="#,##0\ _F_t"/>
    <numFmt numFmtId="171" formatCode="#,##0.0"/>
    <numFmt numFmtId="172" formatCode="yyyy/\ mmmm\ d\."/>
    <numFmt numFmtId="173" formatCode="mmm/yyyy"/>
    <numFmt numFmtId="174" formatCode="[$-40E]yyyy\.\ mmmm\ d\."/>
    <numFmt numFmtId="175" formatCode="&quot;H-&quot;0000"/>
    <numFmt numFmtId="176" formatCode="0.0000"/>
    <numFmt numFmtId="177" formatCode="#,##0.0000"/>
    <numFmt numFmtId="178" formatCode="#,##0.00000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#,##0.00\ [$CHF]"/>
    <numFmt numFmtId="183" formatCode="#,##0.00\ &quot;Ft&quot;"/>
    <numFmt numFmtId="184" formatCode="#,##0_ ;\-#,##0\ "/>
    <numFmt numFmtId="185" formatCode="_-* #,##0.000\ _F_t_-;\-* #,##0.000\ _F_t_-;_-* &quot;-&quot;??\ _F_t_-;_-@_-"/>
    <numFmt numFmtId="186" formatCode="_-* #,##0.0\ _F_t_-;\-* #,##0.0\ _F_t_-;_-* &quot;-&quot;??\ _F_t_-;_-@_-"/>
    <numFmt numFmtId="187" formatCode="_-* #,##0\ _F_t_-;\-* #,##0\ _F_t_-;_-* &quot;-&quot;??\ _F_t_-;_-@_-"/>
    <numFmt numFmtId="188" formatCode="[$€-2]\ #\ ##,000_);[Red]\([$€-2]\ #\ ##,000\)"/>
    <numFmt numFmtId="189" formatCode="#,##0\ [$CHF]"/>
    <numFmt numFmtId="190" formatCode="0.0000000%"/>
    <numFmt numFmtId="191" formatCode="0.000000%"/>
    <numFmt numFmtId="192" formatCode="[$¥€-2]\ #\ ##,000_);[Red]\([$€-2]\ #\ ##,000\)"/>
  </numFmts>
  <fonts count="114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12"/>
      <name val="Arial CE"/>
      <family val="2"/>
    </font>
    <font>
      <b/>
      <sz val="9"/>
      <name val="Times New Roman CE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b/>
      <sz val="9"/>
      <name val="Arial"/>
      <family val="2"/>
    </font>
    <font>
      <sz val="8"/>
      <name val="Arial CE"/>
      <family val="0"/>
    </font>
    <font>
      <b/>
      <sz val="13"/>
      <name val="Arial CE"/>
      <family val="2"/>
    </font>
    <font>
      <b/>
      <sz val="13"/>
      <name val="Arial"/>
      <family val="2"/>
    </font>
    <font>
      <sz val="11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name val="Times New Roman CE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8"/>
      <color indexed="40"/>
      <name val="Times New Roman"/>
      <family val="1"/>
    </font>
    <font>
      <b/>
      <sz val="12"/>
      <color indexed="30"/>
      <name val="Times New Roman"/>
      <family val="1"/>
    </font>
    <font>
      <b/>
      <i/>
      <sz val="10"/>
      <color indexed="40"/>
      <name val="Times New Roman"/>
      <family val="1"/>
    </font>
    <font>
      <i/>
      <sz val="10"/>
      <color indexed="40"/>
      <name val="Times New Roman"/>
      <family val="1"/>
    </font>
    <font>
      <sz val="10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8"/>
      <color rgb="FF00B0F0"/>
      <name val="Times New Roman"/>
      <family val="1"/>
    </font>
    <font>
      <b/>
      <sz val="10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i/>
      <sz val="10"/>
      <color rgb="FF00B0F0"/>
      <name val="Times New Roman"/>
      <family val="1"/>
    </font>
    <font>
      <i/>
      <sz val="10"/>
      <color rgb="FF00B0F0"/>
      <name val="Times New Roman"/>
      <family val="1"/>
    </font>
    <font>
      <sz val="10"/>
      <color rgb="FF00B0F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medium"/>
    </border>
    <border>
      <left style="thin"/>
      <right style="thick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medium"/>
      <top style="thin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2" fillId="19" borderId="1" applyNumberFormat="0" applyAlignment="0" applyProtection="0"/>
    <xf numFmtId="0" fontId="93" fillId="0" borderId="0" applyNumberFormat="0" applyFill="0" applyBorder="0" applyAlignment="0" applyProtection="0"/>
    <xf numFmtId="0" fontId="94" fillId="0" borderId="2" applyNumberFormat="0" applyFill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6" fillId="0" borderId="0" applyNumberFormat="0" applyFill="0" applyBorder="0" applyAlignment="0" applyProtection="0"/>
    <xf numFmtId="0" fontId="97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9" fillId="0" borderId="6" applyNumberFormat="0" applyFill="0" applyAlignment="0" applyProtection="0"/>
    <xf numFmtId="0" fontId="0" fillId="21" borderId="7" applyNumberFormat="0" applyFont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100" fillId="28" borderId="0" applyNumberFormat="0" applyBorder="0" applyAlignment="0" applyProtection="0"/>
    <xf numFmtId="0" fontId="101" fillId="29" borderId="8" applyNumberFormat="0" applyAlignment="0" applyProtection="0"/>
    <xf numFmtId="0" fontId="1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0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30" borderId="0" applyNumberFormat="0" applyBorder="0" applyAlignment="0" applyProtection="0"/>
    <xf numFmtId="0" fontId="105" fillId="31" borderId="0" applyNumberFormat="0" applyBorder="0" applyAlignment="0" applyProtection="0"/>
    <xf numFmtId="0" fontId="106" fillId="29" borderId="1" applyNumberFormat="0" applyAlignment="0" applyProtection="0"/>
    <xf numFmtId="9" fontId="0" fillId="0" borderId="0" applyFont="0" applyFill="0" applyBorder="0" applyAlignment="0" applyProtection="0"/>
  </cellStyleXfs>
  <cellXfs count="111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left" vertical="center"/>
    </xf>
    <xf numFmtId="3" fontId="8" fillId="0" borderId="12" xfId="0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1" fillId="0" borderId="0" xfId="61" applyFont="1">
      <alignment/>
      <protection/>
    </xf>
    <xf numFmtId="0" fontId="11" fillId="0" borderId="0" xfId="61" applyFont="1" applyAlignment="1">
      <alignment horizont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22" xfId="61" applyFont="1" applyBorder="1" applyAlignment="1">
      <alignment horizontal="center" vertical="center" wrapText="1"/>
      <protection/>
    </xf>
    <xf numFmtId="0" fontId="1" fillId="0" borderId="23" xfId="61" applyFont="1" applyBorder="1" applyAlignment="1">
      <alignment horizontal="center" vertical="center" wrapText="1"/>
      <protection/>
    </xf>
    <xf numFmtId="0" fontId="1" fillId="0" borderId="0" xfId="61" applyFont="1" applyAlignment="1">
      <alignment horizontal="center" vertical="center"/>
      <protection/>
    </xf>
    <xf numFmtId="3" fontId="13" fillId="0" borderId="0" xfId="61" applyNumberFormat="1">
      <alignment/>
      <protection/>
    </xf>
    <xf numFmtId="0" fontId="13" fillId="0" borderId="0" xfId="61">
      <alignment/>
      <protection/>
    </xf>
    <xf numFmtId="3" fontId="2" fillId="0" borderId="0" xfId="61" applyNumberFormat="1" applyFont="1">
      <alignment/>
      <protection/>
    </xf>
    <xf numFmtId="3" fontId="1" fillId="0" borderId="0" xfId="61" applyNumberFormat="1" applyFont="1">
      <alignment/>
      <protection/>
    </xf>
    <xf numFmtId="0" fontId="2" fillId="0" borderId="0" xfId="61" applyFont="1">
      <alignment/>
      <protection/>
    </xf>
    <xf numFmtId="49" fontId="13" fillId="0" borderId="0" xfId="61" applyNumberFormat="1">
      <alignment/>
      <protection/>
    </xf>
    <xf numFmtId="0" fontId="28" fillId="0" borderId="0" xfId="0" applyFont="1" applyFill="1" applyAlignment="1">
      <alignment vertical="center"/>
    </xf>
    <xf numFmtId="0" fontId="16" fillId="0" borderId="0" xfId="57" applyFont="1">
      <alignment/>
      <protection/>
    </xf>
    <xf numFmtId="0" fontId="15" fillId="0" borderId="0" xfId="57" applyFont="1" applyAlignment="1">
      <alignment vertical="center"/>
      <protection/>
    </xf>
    <xf numFmtId="0" fontId="17" fillId="0" borderId="22" xfId="57" applyFont="1" applyBorder="1" applyAlignment="1">
      <alignment horizontal="center" vertical="center" wrapText="1"/>
      <protection/>
    </xf>
    <xf numFmtId="0" fontId="19" fillId="0" borderId="22" xfId="57" applyFont="1" applyBorder="1" applyAlignment="1">
      <alignment horizontal="center" vertical="center" wrapText="1"/>
      <protection/>
    </xf>
    <xf numFmtId="0" fontId="19" fillId="0" borderId="0" xfId="57" applyFont="1" applyAlignment="1">
      <alignment horizontal="center" vertical="center" wrapText="1"/>
      <protection/>
    </xf>
    <xf numFmtId="0" fontId="19" fillId="0" borderId="0" xfId="57" applyFont="1">
      <alignment/>
      <protection/>
    </xf>
    <xf numFmtId="0" fontId="18" fillId="0" borderId="22" xfId="57" applyFont="1" applyBorder="1">
      <alignment/>
      <protection/>
    </xf>
    <xf numFmtId="0" fontId="18" fillId="0" borderId="0" xfId="57" applyFont="1">
      <alignment/>
      <protection/>
    </xf>
    <xf numFmtId="0" fontId="22" fillId="0" borderId="0" xfId="57" applyFont="1">
      <alignment/>
      <protection/>
    </xf>
    <xf numFmtId="0" fontId="23" fillId="0" borderId="0" xfId="57" applyFont="1">
      <alignment/>
      <protection/>
    </xf>
    <xf numFmtId="0" fontId="22" fillId="0" borderId="22" xfId="57" applyFont="1" applyBorder="1">
      <alignment/>
      <protection/>
    </xf>
    <xf numFmtId="0" fontId="24" fillId="0" borderId="0" xfId="57" applyFont="1">
      <alignment/>
      <protection/>
    </xf>
    <xf numFmtId="0" fontId="18" fillId="0" borderId="0" xfId="57" applyFont="1" applyBorder="1">
      <alignment/>
      <protection/>
    </xf>
    <xf numFmtId="0" fontId="22" fillId="0" borderId="22" xfId="57" applyFont="1" applyBorder="1" applyAlignment="1">
      <alignment horizontal="left" vertical="center" indent="2"/>
      <protection/>
    </xf>
    <xf numFmtId="16" fontId="22" fillId="0" borderId="22" xfId="57" applyNumberFormat="1" applyFont="1" applyBorder="1" applyAlignment="1">
      <alignment horizontal="left" vertical="center" indent="2"/>
      <protection/>
    </xf>
    <xf numFmtId="0" fontId="22" fillId="0" borderId="22" xfId="57" applyFont="1" applyBorder="1" applyAlignment="1">
      <alignment horizontal="left" indent="2"/>
      <protection/>
    </xf>
    <xf numFmtId="3" fontId="19" fillId="0" borderId="22" xfId="42" applyNumberFormat="1" applyFont="1" applyBorder="1" applyAlignment="1">
      <alignment horizontal="right"/>
    </xf>
    <xf numFmtId="3" fontId="18" fillId="0" borderId="22" xfId="42" applyNumberFormat="1" applyFont="1" applyBorder="1" applyAlignment="1">
      <alignment horizontal="right"/>
    </xf>
    <xf numFmtId="3" fontId="22" fillId="0" borderId="22" xfId="42" applyNumberFormat="1" applyFont="1" applyBorder="1" applyAlignment="1">
      <alignment horizontal="right"/>
    </xf>
    <xf numFmtId="0" fontId="29" fillId="0" borderId="22" xfId="57" applyFont="1" applyBorder="1" applyAlignment="1">
      <alignment horizontal="left" vertical="center" wrapText="1"/>
      <protection/>
    </xf>
    <xf numFmtId="0" fontId="29" fillId="0" borderId="0" xfId="57" applyFont="1" applyAlignment="1">
      <alignment horizontal="center" vertical="center" wrapText="1"/>
      <protection/>
    </xf>
    <xf numFmtId="3" fontId="29" fillId="0" borderId="22" xfId="42" applyNumberFormat="1" applyFont="1" applyBorder="1" applyAlignment="1">
      <alignment horizontal="right"/>
    </xf>
    <xf numFmtId="0" fontId="29" fillId="0" borderId="22" xfId="57" applyFont="1" applyBorder="1">
      <alignment/>
      <protection/>
    </xf>
    <xf numFmtId="0" fontId="30" fillId="0" borderId="0" xfId="57" applyFont="1">
      <alignment/>
      <protection/>
    </xf>
    <xf numFmtId="0" fontId="31" fillId="0" borderId="22" xfId="57" applyFont="1" applyBorder="1" applyAlignment="1">
      <alignment horizontal="right"/>
      <protection/>
    </xf>
    <xf numFmtId="0" fontId="32" fillId="0" borderId="0" xfId="57" applyFont="1">
      <alignment/>
      <protection/>
    </xf>
    <xf numFmtId="0" fontId="33" fillId="0" borderId="22" xfId="57" applyFont="1" applyBorder="1" applyAlignment="1">
      <alignment vertical="center"/>
      <protection/>
    </xf>
    <xf numFmtId="3" fontId="33" fillId="0" borderId="22" xfId="42" applyNumberFormat="1" applyFont="1" applyBorder="1" applyAlignment="1">
      <alignment horizontal="right"/>
    </xf>
    <xf numFmtId="0" fontId="33" fillId="0" borderId="22" xfId="57" applyFont="1" applyBorder="1">
      <alignment/>
      <protection/>
    </xf>
    <xf numFmtId="0" fontId="33" fillId="0" borderId="0" xfId="57" applyFont="1">
      <alignment/>
      <protection/>
    </xf>
    <xf numFmtId="0" fontId="33" fillId="0" borderId="22" xfId="57" applyFont="1" applyBorder="1" applyAlignment="1">
      <alignment vertical="center" wrapText="1"/>
      <protection/>
    </xf>
    <xf numFmtId="0" fontId="33" fillId="0" borderId="22" xfId="57" applyFont="1" applyBorder="1" applyAlignment="1">
      <alignment horizontal="left" vertical="center"/>
      <protection/>
    </xf>
    <xf numFmtId="0" fontId="34" fillId="0" borderId="0" xfId="57" applyFont="1">
      <alignment/>
      <protection/>
    </xf>
    <xf numFmtId="0" fontId="33" fillId="0" borderId="22" xfId="57" applyFont="1" applyBorder="1" applyAlignment="1">
      <alignment horizontal="left" vertical="center" wrapText="1"/>
      <protection/>
    </xf>
    <xf numFmtId="0" fontId="35" fillId="0" borderId="0" xfId="57" applyFont="1">
      <alignment/>
      <protection/>
    </xf>
    <xf numFmtId="0" fontId="19" fillId="0" borderId="22" xfId="57" applyFont="1" applyBorder="1" applyAlignment="1">
      <alignment horizontal="left" vertical="center" indent="1"/>
      <protection/>
    </xf>
    <xf numFmtId="0" fontId="19" fillId="0" borderId="22" xfId="57" applyFont="1" applyBorder="1" applyAlignment="1">
      <alignment horizontal="left" indent="1"/>
      <protection/>
    </xf>
    <xf numFmtId="3" fontId="36" fillId="0" borderId="22" xfId="57" applyNumberFormat="1" applyFont="1" applyBorder="1" applyAlignment="1">
      <alignment horizontal="right" vertical="center"/>
      <protection/>
    </xf>
    <xf numFmtId="3" fontId="36" fillId="0" borderId="22" xfId="42" applyNumberFormat="1" applyFont="1" applyBorder="1" applyAlignment="1">
      <alignment horizontal="right"/>
    </xf>
    <xf numFmtId="0" fontId="19" fillId="0" borderId="22" xfId="57" applyFont="1" applyBorder="1" applyAlignment="1">
      <alignment horizontal="left" vertical="top" indent="1"/>
      <protection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22" xfId="57" applyFont="1" applyBorder="1" applyAlignment="1">
      <alignment horizontal="center" vertical="center" wrapText="1"/>
      <protection/>
    </xf>
    <xf numFmtId="0" fontId="20" fillId="0" borderId="0" xfId="57" applyFont="1" applyAlignment="1">
      <alignment horizontal="center" vertical="center" wrapText="1"/>
      <protection/>
    </xf>
    <xf numFmtId="0" fontId="20" fillId="0" borderId="0" xfId="57" applyFont="1" applyAlignment="1">
      <alignment horizontal="center"/>
      <protection/>
    </xf>
    <xf numFmtId="0" fontId="20" fillId="0" borderId="22" xfId="57" applyFont="1" applyBorder="1" applyAlignment="1">
      <alignment horizontal="center"/>
      <protection/>
    </xf>
    <xf numFmtId="0" fontId="7" fillId="0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17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3" fillId="0" borderId="14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3" fillId="0" borderId="23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0" xfId="61" applyFont="1" applyAlignment="1">
      <alignment horizontal="center" vertical="center"/>
      <protection/>
    </xf>
    <xf numFmtId="0" fontId="21" fillId="0" borderId="22" xfId="0" applyFont="1" applyBorder="1" applyAlignment="1">
      <alignment horizontal="center"/>
    </xf>
    <xf numFmtId="0" fontId="21" fillId="32" borderId="22" xfId="0" applyFont="1" applyFill="1" applyBorder="1" applyAlignment="1">
      <alignment/>
    </xf>
    <xf numFmtId="0" fontId="26" fillId="0" borderId="22" xfId="0" applyFont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/>
    </xf>
    <xf numFmtId="0" fontId="13" fillId="0" borderId="22" xfId="61" applyFont="1" applyBorder="1">
      <alignment/>
      <protection/>
    </xf>
    <xf numFmtId="0" fontId="13" fillId="0" borderId="14" xfId="61" applyFont="1" applyBorder="1">
      <alignment/>
      <protection/>
    </xf>
    <xf numFmtId="0" fontId="21" fillId="0" borderId="22" xfId="61" applyFont="1" applyBorder="1">
      <alignment/>
      <protection/>
    </xf>
    <xf numFmtId="0" fontId="21" fillId="0" borderId="14" xfId="61" applyFont="1" applyBorder="1" applyAlignment="1">
      <alignment wrapText="1"/>
      <protection/>
    </xf>
    <xf numFmtId="3" fontId="21" fillId="0" borderId="0" xfId="61" applyNumberFormat="1" applyFont="1">
      <alignment/>
      <protection/>
    </xf>
    <xf numFmtId="0" fontId="21" fillId="0" borderId="0" xfId="61" applyFont="1">
      <alignment/>
      <protection/>
    </xf>
    <xf numFmtId="0" fontId="21" fillId="0" borderId="14" xfId="61" applyFont="1" applyBorder="1">
      <alignment/>
      <protection/>
    </xf>
    <xf numFmtId="3" fontId="21" fillId="0" borderId="0" xfId="61" applyNumberFormat="1" applyFont="1" applyAlignment="1">
      <alignment vertical="center"/>
      <protection/>
    </xf>
    <xf numFmtId="0" fontId="21" fillId="0" borderId="0" xfId="61" applyFont="1" applyAlignment="1">
      <alignment vertical="center"/>
      <protection/>
    </xf>
    <xf numFmtId="0" fontId="21" fillId="33" borderId="22" xfId="61" applyFont="1" applyFill="1" applyBorder="1" applyAlignment="1">
      <alignment vertical="center"/>
      <protection/>
    </xf>
    <xf numFmtId="0" fontId="21" fillId="33" borderId="14" xfId="61" applyFont="1" applyFill="1" applyBorder="1" applyAlignment="1">
      <alignment vertical="center" wrapText="1"/>
      <protection/>
    </xf>
    <xf numFmtId="3" fontId="21" fillId="33" borderId="21" xfId="61" applyNumberFormat="1" applyFont="1" applyFill="1" applyBorder="1" applyAlignment="1">
      <alignment vertical="center"/>
      <protection/>
    </xf>
    <xf numFmtId="3" fontId="21" fillId="33" borderId="22" xfId="61" applyNumberFormat="1" applyFont="1" applyFill="1" applyBorder="1" applyAlignment="1">
      <alignment vertical="center"/>
      <protection/>
    </xf>
    <xf numFmtId="3" fontId="21" fillId="33" borderId="23" xfId="61" applyNumberFormat="1" applyFont="1" applyFill="1" applyBorder="1" applyAlignment="1">
      <alignment vertical="center"/>
      <protection/>
    </xf>
    <xf numFmtId="3" fontId="21" fillId="33" borderId="17" xfId="61" applyNumberFormat="1" applyFont="1" applyFill="1" applyBorder="1" applyAlignment="1">
      <alignment vertical="center"/>
      <protection/>
    </xf>
    <xf numFmtId="0" fontId="13" fillId="33" borderId="22" xfId="61" applyFill="1" applyBorder="1">
      <alignment/>
      <protection/>
    </xf>
    <xf numFmtId="0" fontId="21" fillId="33" borderId="22" xfId="61" applyFont="1" applyFill="1" applyBorder="1">
      <alignment/>
      <protection/>
    </xf>
    <xf numFmtId="3" fontId="17" fillId="0" borderId="22" xfId="57" applyNumberFormat="1" applyFont="1" applyBorder="1" applyAlignment="1">
      <alignment vertical="center"/>
      <protection/>
    </xf>
    <xf numFmtId="0" fontId="21" fillId="32" borderId="22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0" fontId="21" fillId="0" borderId="21" xfId="0" applyFont="1" applyBorder="1" applyAlignment="1">
      <alignment horizontal="center"/>
    </xf>
    <xf numFmtId="0" fontId="26" fillId="0" borderId="21" xfId="0" applyFont="1" applyBorder="1" applyAlignment="1">
      <alignment wrapText="1"/>
    </xf>
    <xf numFmtId="0" fontId="21" fillId="32" borderId="21" xfId="0" applyFont="1" applyFill="1" applyBorder="1" applyAlignment="1">
      <alignment vertical="center" wrapText="1"/>
    </xf>
    <xf numFmtId="49" fontId="26" fillId="0" borderId="21" xfId="0" applyNumberFormat="1" applyFont="1" applyBorder="1" applyAlignment="1">
      <alignment/>
    </xf>
    <xf numFmtId="49" fontId="26" fillId="0" borderId="21" xfId="0" applyNumberFormat="1" applyFont="1" applyBorder="1" applyAlignment="1">
      <alignment wrapText="1"/>
    </xf>
    <xf numFmtId="0" fontId="21" fillId="0" borderId="21" xfId="0" applyFont="1" applyFill="1" applyBorder="1" applyAlignment="1">
      <alignment/>
    </xf>
    <xf numFmtId="49" fontId="27" fillId="0" borderId="21" xfId="0" applyNumberFormat="1" applyFont="1" applyBorder="1" applyAlignment="1">
      <alignment/>
    </xf>
    <xf numFmtId="0" fontId="37" fillId="0" borderId="30" xfId="61" applyFont="1" applyBorder="1" applyAlignment="1">
      <alignment horizontal="center" vertical="center" wrapText="1"/>
      <protection/>
    </xf>
    <xf numFmtId="3" fontId="21" fillId="33" borderId="31" xfId="61" applyNumberFormat="1" applyFont="1" applyFill="1" applyBorder="1" applyAlignment="1">
      <alignment vertical="center"/>
      <protection/>
    </xf>
    <xf numFmtId="3" fontId="107" fillId="0" borderId="0" xfId="61" applyNumberFormat="1" applyFont="1">
      <alignment/>
      <protection/>
    </xf>
    <xf numFmtId="3" fontId="107" fillId="0" borderId="0" xfId="61" applyNumberFormat="1" applyFont="1" applyAlignment="1">
      <alignment vertical="center"/>
      <protection/>
    </xf>
    <xf numFmtId="0" fontId="41" fillId="0" borderId="0" xfId="0" applyFont="1" applyAlignment="1">
      <alignment/>
    </xf>
    <xf numFmtId="0" fontId="26" fillId="0" borderId="22" xfId="0" applyFont="1" applyFill="1" applyBorder="1" applyAlignment="1">
      <alignment/>
    </xf>
    <xf numFmtId="0" fontId="13" fillId="0" borderId="14" xfId="61" applyFont="1" applyBorder="1" applyAlignment="1">
      <alignment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32" borderId="21" xfId="0" applyFont="1" applyFill="1" applyBorder="1" applyAlignment="1">
      <alignment vertical="center"/>
    </xf>
    <xf numFmtId="49" fontId="13" fillId="34" borderId="21" xfId="0" applyNumberFormat="1" applyFont="1" applyFill="1" applyBorder="1" applyAlignment="1">
      <alignment vertical="center" wrapText="1"/>
    </xf>
    <xf numFmtId="0" fontId="13" fillId="34" borderId="22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26" fillId="0" borderId="0" xfId="0" applyFont="1" applyFill="1" applyAlignment="1">
      <alignment/>
    </xf>
    <xf numFmtId="49" fontId="26" fillId="0" borderId="21" xfId="0" applyNumberFormat="1" applyFont="1" applyBorder="1" applyAlignment="1">
      <alignment/>
    </xf>
    <xf numFmtId="0" fontId="21" fillId="0" borderId="0" xfId="0" applyFont="1" applyFill="1" applyAlignment="1">
      <alignment vertical="center"/>
    </xf>
    <xf numFmtId="3" fontId="13" fillId="0" borderId="0" xfId="61" applyNumberFormat="1" applyFont="1">
      <alignment/>
      <protection/>
    </xf>
    <xf numFmtId="0" fontId="13" fillId="0" borderId="0" xfId="61" applyAlignment="1">
      <alignment/>
      <protection/>
    </xf>
    <xf numFmtId="0" fontId="7" fillId="0" borderId="0" xfId="0" applyFont="1" applyFill="1" applyAlignment="1">
      <alignment horizontal="center" vertical="center"/>
    </xf>
    <xf numFmtId="0" fontId="42" fillId="0" borderId="22" xfId="58" applyFont="1" applyBorder="1">
      <alignment/>
      <protection/>
    </xf>
    <xf numFmtId="0" fontId="42" fillId="0" borderId="14" xfId="58" applyFont="1" applyBorder="1" applyAlignment="1">
      <alignment horizontal="left"/>
      <protection/>
    </xf>
    <xf numFmtId="0" fontId="42" fillId="0" borderId="17" xfId="58" applyFont="1" applyBorder="1" applyAlignment="1">
      <alignment horizontal="left"/>
      <protection/>
    </xf>
    <xf numFmtId="3" fontId="42" fillId="0" borderId="22" xfId="58" applyNumberFormat="1" applyFont="1" applyBorder="1">
      <alignment/>
      <protection/>
    </xf>
    <xf numFmtId="3" fontId="19" fillId="0" borderId="22" xfId="58" applyNumberFormat="1" applyFont="1" applyBorder="1">
      <alignment/>
      <protection/>
    </xf>
    <xf numFmtId="0" fontId="18" fillId="0" borderId="0" xfId="0" applyFont="1" applyAlignment="1">
      <alignment/>
    </xf>
    <xf numFmtId="0" fontId="43" fillId="0" borderId="22" xfId="58" applyFont="1" applyBorder="1">
      <alignment/>
      <protection/>
    </xf>
    <xf numFmtId="3" fontId="43" fillId="0" borderId="22" xfId="58" applyNumberFormat="1" applyFont="1" applyBorder="1">
      <alignment/>
      <protection/>
    </xf>
    <xf numFmtId="0" fontId="44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42" fillId="0" borderId="0" xfId="58" applyFont="1" applyFill="1" applyAlignment="1">
      <alignment horizontal="center" vertical="center"/>
      <protection/>
    </xf>
    <xf numFmtId="0" fontId="18" fillId="0" borderId="0" xfId="58" applyFont="1" applyFill="1" applyAlignment="1">
      <alignment vertical="center"/>
      <protection/>
    </xf>
    <xf numFmtId="0" fontId="20" fillId="0" borderId="22" xfId="0" applyFont="1" applyFill="1" applyBorder="1" applyAlignment="1">
      <alignment horizontal="center" vertical="center" wrapText="1"/>
    </xf>
    <xf numFmtId="0" fontId="20" fillId="0" borderId="22" xfId="58" applyFont="1" applyFill="1" applyBorder="1" applyAlignment="1">
      <alignment horizontal="center" vertical="center" wrapText="1"/>
      <protection/>
    </xf>
    <xf numFmtId="0" fontId="16" fillId="0" borderId="14" xfId="58" applyFont="1" applyFill="1" applyBorder="1" applyAlignment="1">
      <alignment horizontal="center" vertical="center" wrapText="1"/>
      <protection/>
    </xf>
    <xf numFmtId="0" fontId="16" fillId="0" borderId="22" xfId="58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19" fillId="0" borderId="22" xfId="58" applyFont="1" applyBorder="1">
      <alignment/>
      <protection/>
    </xf>
    <xf numFmtId="3" fontId="47" fillId="0" borderId="22" xfId="58" applyNumberFormat="1" applyFont="1" applyBorder="1">
      <alignment/>
      <protection/>
    </xf>
    <xf numFmtId="0" fontId="48" fillId="0" borderId="22" xfId="58" applyFont="1" applyBorder="1">
      <alignment/>
      <protection/>
    </xf>
    <xf numFmtId="0" fontId="48" fillId="0" borderId="22" xfId="58" applyFont="1" applyBorder="1" applyAlignment="1">
      <alignment horizontal="left"/>
      <protection/>
    </xf>
    <xf numFmtId="3" fontId="48" fillId="0" borderId="22" xfId="58" applyNumberFormat="1" applyFont="1" applyBorder="1">
      <alignment/>
      <protection/>
    </xf>
    <xf numFmtId="0" fontId="18" fillId="0" borderId="22" xfId="58" applyFont="1" applyBorder="1">
      <alignment/>
      <protection/>
    </xf>
    <xf numFmtId="0" fontId="48" fillId="0" borderId="22" xfId="58" applyFont="1" applyBorder="1" applyAlignment="1">
      <alignment horizontal="right"/>
      <protection/>
    </xf>
    <xf numFmtId="0" fontId="48" fillId="0" borderId="14" xfId="58" applyFont="1" applyBorder="1" applyAlignment="1">
      <alignment horizontal="left"/>
      <protection/>
    </xf>
    <xf numFmtId="0" fontId="48" fillId="0" borderId="17" xfId="58" applyFont="1" applyBorder="1" applyAlignment="1">
      <alignment horizontal="left"/>
      <protection/>
    </xf>
    <xf numFmtId="0" fontId="18" fillId="0" borderId="14" xfId="58" applyFont="1" applyBorder="1">
      <alignment/>
      <protection/>
    </xf>
    <xf numFmtId="0" fontId="18" fillId="0" borderId="0" xfId="58" applyFont="1">
      <alignment/>
      <protection/>
    </xf>
    <xf numFmtId="3" fontId="19" fillId="0" borderId="14" xfId="58" applyNumberFormat="1" applyFont="1" applyBorder="1">
      <alignment/>
      <protection/>
    </xf>
    <xf numFmtId="3" fontId="19" fillId="0" borderId="17" xfId="58" applyNumberFormat="1" applyFont="1" applyBorder="1">
      <alignment/>
      <protection/>
    </xf>
    <xf numFmtId="3" fontId="15" fillId="0" borderId="22" xfId="58" applyNumberFormat="1" applyFont="1" applyBorder="1">
      <alignment/>
      <protection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/>
    </xf>
    <xf numFmtId="3" fontId="49" fillId="0" borderId="22" xfId="0" applyNumberFormat="1" applyFont="1" applyBorder="1" applyAlignment="1">
      <alignment/>
    </xf>
    <xf numFmtId="0" fontId="50" fillId="0" borderId="0" xfId="0" applyFont="1" applyAlignment="1">
      <alignment/>
    </xf>
    <xf numFmtId="0" fontId="42" fillId="0" borderId="22" xfId="0" applyFont="1" applyBorder="1" applyAlignment="1">
      <alignment/>
    </xf>
    <xf numFmtId="3" fontId="42" fillId="0" borderId="22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0" fontId="43" fillId="0" borderId="22" xfId="0" applyFont="1" applyBorder="1" applyAlignment="1">
      <alignment/>
    </xf>
    <xf numFmtId="3" fontId="43" fillId="0" borderId="22" xfId="0" applyNumberFormat="1" applyFont="1" applyBorder="1" applyAlignment="1">
      <alignment/>
    </xf>
    <xf numFmtId="3" fontId="47" fillId="0" borderId="22" xfId="0" applyNumberFormat="1" applyFont="1" applyBorder="1" applyAlignment="1">
      <alignment/>
    </xf>
    <xf numFmtId="0" fontId="51" fillId="0" borderId="22" xfId="0" applyFont="1" applyBorder="1" applyAlignment="1">
      <alignment/>
    </xf>
    <xf numFmtId="0" fontId="18" fillId="0" borderId="22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22" xfId="0" applyFont="1" applyBorder="1" applyAlignment="1">
      <alignment horizontal="left"/>
    </xf>
    <xf numFmtId="3" fontId="48" fillId="0" borderId="22" xfId="0" applyNumberFormat="1" applyFont="1" applyBorder="1" applyAlignment="1">
      <alignment/>
    </xf>
    <xf numFmtId="3" fontId="52" fillId="0" borderId="22" xfId="0" applyNumberFormat="1" applyFont="1" applyBorder="1" applyAlignment="1">
      <alignment/>
    </xf>
    <xf numFmtId="0" fontId="48" fillId="0" borderId="22" xfId="0" applyFont="1" applyFill="1" applyBorder="1" applyAlignment="1">
      <alignment/>
    </xf>
    <xf numFmtId="0" fontId="48" fillId="0" borderId="22" xfId="0" applyFont="1" applyFill="1" applyBorder="1" applyAlignment="1">
      <alignment horizontal="left"/>
    </xf>
    <xf numFmtId="0" fontId="22" fillId="0" borderId="22" xfId="0" applyFont="1" applyBorder="1" applyAlignment="1">
      <alignment/>
    </xf>
    <xf numFmtId="0" fontId="48" fillId="0" borderId="22" xfId="0" applyFont="1" applyBorder="1" applyAlignment="1">
      <alignment horizontal="left" vertical="center" wrapText="1"/>
    </xf>
    <xf numFmtId="3" fontId="48" fillId="35" borderId="22" xfId="0" applyNumberFormat="1" applyFont="1" applyFill="1" applyBorder="1" applyAlignment="1">
      <alignment/>
    </xf>
    <xf numFmtId="0" fontId="48" fillId="0" borderId="22" xfId="0" applyFont="1" applyBorder="1" applyAlignment="1">
      <alignment horizontal="left" vertical="top"/>
    </xf>
    <xf numFmtId="0" fontId="48" fillId="0" borderId="22" xfId="0" applyFont="1" applyBorder="1" applyAlignment="1">
      <alignment horizontal="left" wrapText="1"/>
    </xf>
    <xf numFmtId="3" fontId="48" fillId="0" borderId="32" xfId="0" applyNumberFormat="1" applyFont="1" applyFill="1" applyBorder="1" applyAlignment="1">
      <alignment/>
    </xf>
    <xf numFmtId="0" fontId="53" fillId="0" borderId="22" xfId="0" applyFont="1" applyBorder="1" applyAlignment="1">
      <alignment/>
    </xf>
    <xf numFmtId="3" fontId="53" fillId="0" borderId="22" xfId="0" applyNumberFormat="1" applyFont="1" applyBorder="1" applyAlignment="1">
      <alignment/>
    </xf>
    <xf numFmtId="3" fontId="54" fillId="0" borderId="22" xfId="0" applyNumberFormat="1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22" xfId="0" applyFont="1" applyBorder="1" applyAlignment="1">
      <alignment horizontal="right"/>
    </xf>
    <xf numFmtId="3" fontId="55" fillId="0" borderId="22" xfId="0" applyNumberFormat="1" applyFont="1" applyBorder="1" applyAlignment="1">
      <alignment/>
    </xf>
    <xf numFmtId="3" fontId="56" fillId="0" borderId="22" xfId="0" applyNumberFormat="1" applyFont="1" applyBorder="1" applyAlignment="1">
      <alignment/>
    </xf>
    <xf numFmtId="0" fontId="22" fillId="0" borderId="0" xfId="0" applyFont="1" applyAlignment="1">
      <alignment/>
    </xf>
    <xf numFmtId="3" fontId="19" fillId="0" borderId="22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57" fillId="0" borderId="22" xfId="58" applyFont="1" applyBorder="1" applyAlignment="1">
      <alignment horizontal="left"/>
      <protection/>
    </xf>
    <xf numFmtId="49" fontId="42" fillId="0" borderId="0" xfId="60" applyNumberFormat="1" applyFont="1" applyFill="1" applyAlignment="1">
      <alignment horizontal="center" vertical="center"/>
      <protection/>
    </xf>
    <xf numFmtId="0" fontId="42" fillId="0" borderId="0" xfId="60" applyFont="1" applyFill="1" applyAlignment="1">
      <alignment vertical="center"/>
      <protection/>
    </xf>
    <xf numFmtId="0" fontId="58" fillId="0" borderId="0" xfId="60" applyFont="1" applyFill="1" applyAlignment="1">
      <alignment vertical="center"/>
      <protection/>
    </xf>
    <xf numFmtId="0" fontId="18" fillId="0" borderId="0" xfId="60" applyFont="1" applyFill="1" applyAlignment="1">
      <alignment vertical="center"/>
      <protection/>
    </xf>
    <xf numFmtId="0" fontId="18" fillId="0" borderId="0" xfId="60" applyFont="1" applyFill="1" applyAlignment="1">
      <alignment horizontal="left" vertical="center"/>
      <protection/>
    </xf>
    <xf numFmtId="0" fontId="18" fillId="0" borderId="0" xfId="60" applyFont="1" applyAlignment="1">
      <alignment horizontal="left"/>
      <protection/>
    </xf>
    <xf numFmtId="0" fontId="1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horizontal="left" vertical="center"/>
      <protection/>
    </xf>
    <xf numFmtId="0" fontId="43" fillId="0" borderId="33" xfId="60" applyFont="1" applyFill="1" applyBorder="1" applyAlignment="1">
      <alignment horizontal="center" vertical="center"/>
      <protection/>
    </xf>
    <xf numFmtId="0" fontId="20" fillId="0" borderId="29" xfId="60" applyFont="1" applyFill="1" applyBorder="1" applyAlignment="1">
      <alignment horizontal="center" vertical="center" wrapText="1"/>
      <protection/>
    </xf>
    <xf numFmtId="0" fontId="20" fillId="0" borderId="18" xfId="60" applyFont="1" applyFill="1" applyBorder="1" applyAlignment="1">
      <alignment horizontal="center" vertical="center" wrapText="1"/>
      <protection/>
    </xf>
    <xf numFmtId="0" fontId="20" fillId="0" borderId="34" xfId="60" applyFont="1" applyFill="1" applyBorder="1" applyAlignment="1">
      <alignment horizontal="center" vertical="center" wrapText="1"/>
      <protection/>
    </xf>
    <xf numFmtId="0" fontId="20" fillId="0" borderId="20" xfId="60" applyFont="1" applyFill="1" applyBorder="1" applyAlignment="1">
      <alignment horizontal="center" vertical="center" wrapText="1"/>
      <protection/>
    </xf>
    <xf numFmtId="49" fontId="42" fillId="0" borderId="35" xfId="60" applyNumberFormat="1" applyFont="1" applyFill="1" applyBorder="1" applyAlignment="1">
      <alignment horizontal="center" vertical="center"/>
      <protection/>
    </xf>
    <xf numFmtId="0" fontId="20" fillId="0" borderId="36" xfId="60" applyFont="1" applyFill="1" applyBorder="1" applyAlignment="1">
      <alignment vertical="center" wrapText="1"/>
      <protection/>
    </xf>
    <xf numFmtId="3" fontId="43" fillId="0" borderId="10" xfId="60" applyNumberFormat="1" applyFont="1" applyFill="1" applyBorder="1" applyAlignment="1">
      <alignment vertical="center" wrapText="1"/>
      <protection/>
    </xf>
    <xf numFmtId="3" fontId="43" fillId="0" borderId="37" xfId="60" applyNumberFormat="1" applyFont="1" applyFill="1" applyBorder="1" applyAlignment="1">
      <alignment vertical="center" wrapText="1"/>
      <protection/>
    </xf>
    <xf numFmtId="3" fontId="43" fillId="0" borderId="38" xfId="60" applyNumberFormat="1" applyFont="1" applyFill="1" applyBorder="1" applyAlignment="1">
      <alignment vertical="center" wrapText="1"/>
      <protection/>
    </xf>
    <xf numFmtId="3" fontId="43" fillId="0" borderId="23" xfId="60" applyNumberFormat="1" applyFont="1" applyFill="1" applyBorder="1" applyAlignment="1">
      <alignment vertical="center" wrapText="1"/>
      <protection/>
    </xf>
    <xf numFmtId="3" fontId="43" fillId="0" borderId="39" xfId="60" applyNumberFormat="1" applyFont="1" applyFill="1" applyBorder="1" applyAlignment="1">
      <alignment vertical="center" wrapText="1"/>
      <protection/>
    </xf>
    <xf numFmtId="3" fontId="42" fillId="0" borderId="39" xfId="60" applyNumberFormat="1" applyFont="1" applyFill="1" applyBorder="1" applyAlignment="1">
      <alignment vertical="center"/>
      <protection/>
    </xf>
    <xf numFmtId="3" fontId="42" fillId="0" borderId="38" xfId="60" applyNumberFormat="1" applyFont="1" applyFill="1" applyBorder="1" applyAlignment="1">
      <alignment vertical="center"/>
      <protection/>
    </xf>
    <xf numFmtId="3" fontId="20" fillId="0" borderId="31" xfId="60" applyNumberFormat="1" applyFont="1" applyFill="1" applyBorder="1" applyAlignment="1">
      <alignment vertical="center"/>
      <protection/>
    </xf>
    <xf numFmtId="49" fontId="42" fillId="0" borderId="37" xfId="60" applyNumberFormat="1" applyFont="1" applyFill="1" applyBorder="1" applyAlignment="1">
      <alignment horizontal="center" vertical="center"/>
      <protection/>
    </xf>
    <xf numFmtId="3" fontId="43" fillId="0" borderId="40" xfId="60" applyNumberFormat="1" applyFont="1" applyFill="1" applyBorder="1" applyAlignment="1">
      <alignment vertical="center" wrapText="1"/>
      <protection/>
    </xf>
    <xf numFmtId="0" fontId="20" fillId="0" borderId="14" xfId="60" applyFont="1" applyFill="1" applyBorder="1" applyAlignment="1">
      <alignment vertical="center" wrapText="1"/>
      <protection/>
    </xf>
    <xf numFmtId="49" fontId="42" fillId="0" borderId="21" xfId="60" applyNumberFormat="1" applyFont="1" applyFill="1" applyBorder="1" applyAlignment="1">
      <alignment horizontal="center" vertical="center"/>
      <protection/>
    </xf>
    <xf numFmtId="3" fontId="43" fillId="0" borderId="21" xfId="60" applyNumberFormat="1" applyFont="1" applyFill="1" applyBorder="1" applyAlignment="1">
      <alignment vertical="center" wrapText="1"/>
      <protection/>
    </xf>
    <xf numFmtId="3" fontId="43" fillId="0" borderId="22" xfId="60" applyNumberFormat="1" applyFont="1" applyFill="1" applyBorder="1" applyAlignment="1">
      <alignment vertical="center" wrapText="1"/>
      <protection/>
    </xf>
    <xf numFmtId="3" fontId="43" fillId="0" borderId="17" xfId="60" applyNumberFormat="1" applyFont="1" applyFill="1" applyBorder="1" applyAlignment="1">
      <alignment vertical="center" wrapText="1"/>
      <protection/>
    </xf>
    <xf numFmtId="3" fontId="42" fillId="0" borderId="17" xfId="60" applyNumberFormat="1" applyFont="1" applyFill="1" applyBorder="1" applyAlignment="1">
      <alignment vertical="center"/>
      <protection/>
    </xf>
    <xf numFmtId="3" fontId="42" fillId="0" borderId="22" xfId="60" applyNumberFormat="1" applyFont="1" applyFill="1" applyBorder="1" applyAlignment="1">
      <alignment vertical="center"/>
      <protection/>
    </xf>
    <xf numFmtId="0" fontId="20" fillId="0" borderId="15" xfId="60" applyFont="1" applyFill="1" applyBorder="1" applyAlignment="1">
      <alignment vertical="center" wrapText="1"/>
      <protection/>
    </xf>
    <xf numFmtId="3" fontId="43" fillId="0" borderId="23" xfId="60" applyNumberFormat="1" applyFont="1" applyFill="1" applyBorder="1" applyAlignment="1">
      <alignment vertical="center"/>
      <protection/>
    </xf>
    <xf numFmtId="3" fontId="43" fillId="0" borderId="17" xfId="60" applyNumberFormat="1" applyFont="1" applyFill="1" applyBorder="1" applyAlignment="1">
      <alignment horizontal="right" vertical="center" wrapText="1"/>
      <protection/>
    </xf>
    <xf numFmtId="3" fontId="43" fillId="0" borderId="23" xfId="60" applyNumberFormat="1" applyFont="1" applyFill="1" applyBorder="1" applyAlignment="1">
      <alignment horizontal="left" vertical="center" wrapText="1"/>
      <protection/>
    </xf>
    <xf numFmtId="3" fontId="43" fillId="0" borderId="21" xfId="60" applyNumberFormat="1" applyFont="1" applyFill="1" applyBorder="1" applyAlignment="1">
      <alignment vertical="center"/>
      <protection/>
    </xf>
    <xf numFmtId="3" fontId="43" fillId="0" borderId="22" xfId="60" applyNumberFormat="1" applyFont="1" applyFill="1" applyBorder="1" applyAlignment="1">
      <alignment vertical="center"/>
      <protection/>
    </xf>
    <xf numFmtId="3" fontId="43" fillId="0" borderId="17" xfId="60" applyNumberFormat="1" applyFont="1" applyFill="1" applyBorder="1" applyAlignment="1">
      <alignment vertical="center"/>
      <protection/>
    </xf>
    <xf numFmtId="3" fontId="43" fillId="35" borderId="40" xfId="60" applyNumberFormat="1" applyFont="1" applyFill="1" applyBorder="1" applyAlignment="1">
      <alignment vertical="center" wrapText="1"/>
      <protection/>
    </xf>
    <xf numFmtId="0" fontId="20" fillId="0" borderId="14" xfId="60" applyFont="1" applyFill="1" applyBorder="1" applyAlignment="1">
      <alignment horizontal="left" vertical="center" wrapText="1"/>
      <protection/>
    </xf>
    <xf numFmtId="3" fontId="59" fillId="0" borderId="22" xfId="60" applyNumberFormat="1" applyFont="1" applyFill="1" applyBorder="1" applyAlignment="1">
      <alignment vertical="center"/>
      <protection/>
    </xf>
    <xf numFmtId="3" fontId="57" fillId="0" borderId="17" xfId="60" applyNumberFormat="1" applyFont="1" applyFill="1" applyBorder="1" applyAlignment="1">
      <alignment vertical="center"/>
      <protection/>
    </xf>
    <xf numFmtId="3" fontId="59" fillId="0" borderId="17" xfId="60" applyNumberFormat="1" applyFont="1" applyFill="1" applyBorder="1" applyAlignment="1">
      <alignment vertical="center"/>
      <protection/>
    </xf>
    <xf numFmtId="3" fontId="53" fillId="0" borderId="34" xfId="60" applyNumberFormat="1" applyFont="1" applyFill="1" applyBorder="1" applyAlignment="1">
      <alignment vertical="center"/>
      <protection/>
    </xf>
    <xf numFmtId="3" fontId="43" fillId="0" borderId="35" xfId="60" applyNumberFormat="1" applyFont="1" applyFill="1" applyBorder="1" applyAlignment="1">
      <alignment vertical="center" wrapText="1"/>
      <protection/>
    </xf>
    <xf numFmtId="3" fontId="43" fillId="0" borderId="36" xfId="60" applyNumberFormat="1" applyFont="1" applyFill="1" applyBorder="1" applyAlignment="1">
      <alignment vertical="center" wrapText="1"/>
      <protection/>
    </xf>
    <xf numFmtId="0" fontId="20" fillId="0" borderId="22" xfId="60" applyFont="1" applyFill="1" applyBorder="1" applyAlignment="1">
      <alignment vertical="center" wrapText="1"/>
      <protection/>
    </xf>
    <xf numFmtId="3" fontId="43" fillId="0" borderId="11" xfId="60" applyNumberFormat="1" applyFont="1" applyFill="1" applyBorder="1" applyAlignment="1">
      <alignment vertical="center" wrapText="1"/>
      <protection/>
    </xf>
    <xf numFmtId="3" fontId="43" fillId="0" borderId="41" xfId="60" applyNumberFormat="1" applyFont="1" applyFill="1" applyBorder="1" applyAlignment="1">
      <alignment vertical="center" wrapText="1"/>
      <protection/>
    </xf>
    <xf numFmtId="0" fontId="20" fillId="0" borderId="42" xfId="60" applyFont="1" applyFill="1" applyBorder="1" applyAlignment="1">
      <alignment vertical="center" wrapText="1"/>
      <protection/>
    </xf>
    <xf numFmtId="3" fontId="43" fillId="0" borderId="43" xfId="60" applyNumberFormat="1" applyFont="1" applyFill="1" applyBorder="1" applyAlignment="1">
      <alignment vertical="center" wrapText="1"/>
      <protection/>
    </xf>
    <xf numFmtId="3" fontId="43" fillId="0" borderId="42" xfId="60" applyNumberFormat="1" applyFont="1" applyFill="1" applyBorder="1" applyAlignment="1">
      <alignment vertical="center" wrapText="1"/>
      <protection/>
    </xf>
    <xf numFmtId="3" fontId="60" fillId="0" borderId="26" xfId="60" applyNumberFormat="1" applyFont="1" applyFill="1" applyBorder="1" applyAlignment="1">
      <alignment vertical="center"/>
      <protection/>
    </xf>
    <xf numFmtId="3" fontId="60" fillId="0" borderId="33" xfId="60" applyNumberFormat="1" applyFont="1" applyFill="1" applyBorder="1" applyAlignment="1">
      <alignment vertical="center"/>
      <protection/>
    </xf>
    <xf numFmtId="3" fontId="60" fillId="0" borderId="44" xfId="60" applyNumberFormat="1" applyFont="1" applyFill="1" applyBorder="1" applyAlignment="1">
      <alignment vertical="center"/>
      <protection/>
    </xf>
    <xf numFmtId="166" fontId="7" fillId="0" borderId="23" xfId="0" applyNumberFormat="1" applyFont="1" applyFill="1" applyBorder="1" applyAlignment="1">
      <alignment vertical="center"/>
    </xf>
    <xf numFmtId="166" fontId="8" fillId="0" borderId="23" xfId="0" applyNumberFormat="1" applyFont="1" applyFill="1" applyBorder="1" applyAlignment="1">
      <alignment vertical="center"/>
    </xf>
    <xf numFmtId="166" fontId="8" fillId="0" borderId="23" xfId="0" applyNumberFormat="1" applyFont="1" applyFill="1" applyBorder="1" applyAlignment="1">
      <alignment vertical="center"/>
    </xf>
    <xf numFmtId="166" fontId="7" fillId="0" borderId="45" xfId="0" applyNumberFormat="1" applyFont="1" applyFill="1" applyBorder="1" applyAlignment="1">
      <alignment vertical="center"/>
    </xf>
    <xf numFmtId="166" fontId="8" fillId="0" borderId="40" xfId="0" applyNumberFormat="1" applyFont="1" applyFill="1" applyBorder="1" applyAlignment="1">
      <alignment horizontal="right" vertical="center"/>
    </xf>
    <xf numFmtId="166" fontId="7" fillId="0" borderId="46" xfId="0" applyNumberFormat="1" applyFont="1" applyFill="1" applyBorder="1" applyAlignment="1">
      <alignment vertical="center"/>
    </xf>
    <xf numFmtId="166" fontId="7" fillId="0" borderId="13" xfId="0" applyNumberFormat="1" applyFont="1" applyFill="1" applyBorder="1" applyAlignment="1">
      <alignment vertical="center"/>
    </xf>
    <xf numFmtId="3" fontId="43" fillId="0" borderId="41" xfId="60" applyNumberFormat="1" applyFont="1" applyFill="1" applyBorder="1" applyAlignment="1">
      <alignment vertical="center"/>
      <protection/>
    </xf>
    <xf numFmtId="0" fontId="18" fillId="0" borderId="0" xfId="0" applyFont="1" applyBorder="1" applyAlignment="1">
      <alignment/>
    </xf>
    <xf numFmtId="0" fontId="18" fillId="0" borderId="47" xfId="0" applyFont="1" applyBorder="1" applyAlignment="1">
      <alignment/>
    </xf>
    <xf numFmtId="0" fontId="19" fillId="0" borderId="48" xfId="59" applyFont="1" applyBorder="1" applyAlignment="1">
      <alignment horizontal="center"/>
      <protection/>
    </xf>
    <xf numFmtId="0" fontId="19" fillId="0" borderId="49" xfId="60" applyFont="1" applyFill="1" applyBorder="1" applyAlignment="1">
      <alignment horizontal="center" vertical="center" wrapText="1"/>
      <protection/>
    </xf>
    <xf numFmtId="0" fontId="22" fillId="0" borderId="50" xfId="59" applyFont="1" applyBorder="1">
      <alignment/>
      <protection/>
    </xf>
    <xf numFmtId="0" fontId="22" fillId="0" borderId="0" xfId="59" applyFont="1" applyBorder="1">
      <alignment/>
      <protection/>
    </xf>
    <xf numFmtId="0" fontId="22" fillId="0" borderId="51" xfId="59" applyFont="1" applyBorder="1">
      <alignment/>
      <protection/>
    </xf>
    <xf numFmtId="0" fontId="22" fillId="0" borderId="52" xfId="59" applyFont="1" applyBorder="1">
      <alignment/>
      <protection/>
    </xf>
    <xf numFmtId="0" fontId="22" fillId="0" borderId="53" xfId="59" applyFont="1" applyBorder="1">
      <alignment/>
      <protection/>
    </xf>
    <xf numFmtId="3" fontId="22" fillId="0" borderId="0" xfId="59" applyNumberFormat="1" applyFont="1" applyBorder="1">
      <alignment/>
      <protection/>
    </xf>
    <xf numFmtId="3" fontId="22" fillId="0" borderId="54" xfId="59" applyNumberFormat="1" applyFont="1" applyBorder="1">
      <alignment/>
      <protection/>
    </xf>
    <xf numFmtId="0" fontId="22" fillId="0" borderId="0" xfId="59" applyFont="1" applyBorder="1" applyAlignment="1">
      <alignment horizontal="left"/>
      <protection/>
    </xf>
    <xf numFmtId="3" fontId="15" fillId="0" borderId="55" xfId="59" applyNumberFormat="1" applyFont="1" applyBorder="1" applyAlignment="1">
      <alignment horizontal="right" vertical="center"/>
      <protection/>
    </xf>
    <xf numFmtId="3" fontId="15" fillId="0" borderId="32" xfId="59" applyNumberFormat="1" applyFont="1" applyBorder="1" applyAlignment="1">
      <alignment horizontal="right" vertical="center"/>
      <protection/>
    </xf>
    <xf numFmtId="3" fontId="15" fillId="0" borderId="0" xfId="59" applyNumberFormat="1" applyFont="1" applyBorder="1" applyAlignment="1">
      <alignment horizontal="right" vertical="center"/>
      <protection/>
    </xf>
    <xf numFmtId="0" fontId="15" fillId="0" borderId="55" xfId="60" applyFont="1" applyFill="1" applyBorder="1" applyAlignment="1">
      <alignment horizontal="center" vertical="center" wrapText="1"/>
      <protection/>
    </xf>
    <xf numFmtId="0" fontId="15" fillId="0" borderId="32" xfId="60" applyFont="1" applyFill="1" applyBorder="1" applyAlignment="1">
      <alignment horizontal="center" vertical="center" wrapText="1"/>
      <protection/>
    </xf>
    <xf numFmtId="0" fontId="15" fillId="0" borderId="56" xfId="60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/>
    </xf>
    <xf numFmtId="3" fontId="15" fillId="0" borderId="50" xfId="59" applyNumberFormat="1" applyFont="1" applyBorder="1" applyAlignment="1">
      <alignment horizontal="right" vertical="center"/>
      <protection/>
    </xf>
    <xf numFmtId="3" fontId="22" fillId="0" borderId="57" xfId="59" applyNumberFormat="1" applyFont="1" applyBorder="1">
      <alignment/>
      <protection/>
    </xf>
    <xf numFmtId="0" fontId="22" fillId="0" borderId="32" xfId="59" applyFont="1" applyBorder="1">
      <alignment/>
      <protection/>
    </xf>
    <xf numFmtId="0" fontId="60" fillId="0" borderId="53" xfId="59" applyFont="1" applyBorder="1" applyAlignment="1">
      <alignment horizontal="right" vertical="center"/>
      <protection/>
    </xf>
    <xf numFmtId="0" fontId="23" fillId="0" borderId="50" xfId="59" applyFont="1" applyBorder="1" applyAlignment="1">
      <alignment horizontal="right"/>
      <protection/>
    </xf>
    <xf numFmtId="0" fontId="23" fillId="0" borderId="0" xfId="59" applyFont="1" applyBorder="1" applyAlignment="1">
      <alignment horizontal="right"/>
      <protection/>
    </xf>
    <xf numFmtId="0" fontId="23" fillId="0" borderId="52" xfId="59" applyFont="1" applyBorder="1" applyAlignment="1">
      <alignment horizontal="right"/>
      <protection/>
    </xf>
    <xf numFmtId="3" fontId="19" fillId="0" borderId="52" xfId="59" applyNumberFormat="1" applyFont="1" applyBorder="1" applyAlignment="1">
      <alignment horizontal="right"/>
      <protection/>
    </xf>
    <xf numFmtId="3" fontId="19" fillId="0" borderId="0" xfId="59" applyNumberFormat="1" applyFont="1" applyBorder="1">
      <alignment/>
      <protection/>
    </xf>
    <xf numFmtId="3" fontId="19" fillId="0" borderId="53" xfId="59" applyNumberFormat="1" applyFont="1" applyBorder="1">
      <alignment/>
      <protection/>
    </xf>
    <xf numFmtId="3" fontId="60" fillId="0" borderId="50" xfId="59" applyNumberFormat="1" applyFont="1" applyBorder="1" applyAlignment="1">
      <alignment horizontal="right" vertical="center"/>
      <protection/>
    </xf>
    <xf numFmtId="3" fontId="60" fillId="0" borderId="32" xfId="59" applyNumberFormat="1" applyFont="1" applyBorder="1" applyAlignment="1">
      <alignment horizontal="right" vertical="center"/>
      <protection/>
    </xf>
    <xf numFmtId="3" fontId="22" fillId="0" borderId="50" xfId="59" applyNumberFormat="1" applyFont="1" applyBorder="1">
      <alignment/>
      <protection/>
    </xf>
    <xf numFmtId="3" fontId="22" fillId="0" borderId="32" xfId="59" applyNumberFormat="1" applyFont="1" applyBorder="1">
      <alignment/>
      <protection/>
    </xf>
    <xf numFmtId="3" fontId="60" fillId="0" borderId="53" xfId="59" applyNumberFormat="1" applyFont="1" applyBorder="1" applyAlignment="1">
      <alignment horizontal="right" vertical="center"/>
      <protection/>
    </xf>
    <xf numFmtId="0" fontId="22" fillId="0" borderId="50" xfId="59" applyFont="1" applyBorder="1" applyAlignment="1">
      <alignment horizontal="right"/>
      <protection/>
    </xf>
    <xf numFmtId="0" fontId="22" fillId="0" borderId="0" xfId="59" applyFont="1" applyBorder="1" applyAlignment="1">
      <alignment horizontal="right"/>
      <protection/>
    </xf>
    <xf numFmtId="0" fontId="22" fillId="0" borderId="52" xfId="59" applyFont="1" applyBorder="1" applyAlignment="1">
      <alignment horizontal="right"/>
      <protection/>
    </xf>
    <xf numFmtId="0" fontId="60" fillId="0" borderId="53" xfId="59" applyFont="1" applyBorder="1">
      <alignment/>
      <protection/>
    </xf>
    <xf numFmtId="3" fontId="22" fillId="0" borderId="58" xfId="59" applyNumberFormat="1" applyFont="1" applyBorder="1">
      <alignment/>
      <protection/>
    </xf>
    <xf numFmtId="3" fontId="60" fillId="0" borderId="50" xfId="59" applyNumberFormat="1" applyFont="1" applyBorder="1">
      <alignment/>
      <protection/>
    </xf>
    <xf numFmtId="3" fontId="60" fillId="0" borderId="32" xfId="59" applyNumberFormat="1" applyFont="1" applyBorder="1">
      <alignment/>
      <protection/>
    </xf>
    <xf numFmtId="3" fontId="60" fillId="0" borderId="57" xfId="59" applyNumberFormat="1" applyFont="1" applyBorder="1">
      <alignment/>
      <protection/>
    </xf>
    <xf numFmtId="3" fontId="60" fillId="0" borderId="53" xfId="59" applyNumberFormat="1" applyFont="1" applyBorder="1">
      <alignment/>
      <protection/>
    </xf>
    <xf numFmtId="0" fontId="18" fillId="0" borderId="50" xfId="59" applyFont="1" applyBorder="1" applyAlignment="1">
      <alignment horizontal="right"/>
      <protection/>
    </xf>
    <xf numFmtId="0" fontId="18" fillId="0" borderId="0" xfId="59" applyFont="1" applyBorder="1" applyAlignment="1">
      <alignment horizontal="right"/>
      <protection/>
    </xf>
    <xf numFmtId="0" fontId="18" fillId="0" borderId="52" xfId="59" applyFont="1" applyBorder="1" applyAlignment="1">
      <alignment horizontal="right"/>
      <protection/>
    </xf>
    <xf numFmtId="0" fontId="18" fillId="0" borderId="0" xfId="59" applyFont="1" applyBorder="1">
      <alignment/>
      <protection/>
    </xf>
    <xf numFmtId="0" fontId="18" fillId="0" borderId="53" xfId="59" applyFont="1" applyBorder="1">
      <alignment/>
      <protection/>
    </xf>
    <xf numFmtId="3" fontId="61" fillId="0" borderId="0" xfId="59" applyNumberFormat="1" applyFont="1" applyBorder="1">
      <alignment/>
      <protection/>
    </xf>
    <xf numFmtId="0" fontId="61" fillId="0" borderId="50" xfId="59" applyFont="1" applyBorder="1" applyAlignment="1">
      <alignment horizontal="left"/>
      <protection/>
    </xf>
    <xf numFmtId="0" fontId="61" fillId="0" borderId="0" xfId="59" applyFont="1" applyBorder="1" applyAlignment="1">
      <alignment horizontal="left"/>
      <protection/>
    </xf>
    <xf numFmtId="0" fontId="61" fillId="0" borderId="55" xfId="59" applyFont="1" applyBorder="1" applyAlignment="1">
      <alignment horizontal="left"/>
      <protection/>
    </xf>
    <xf numFmtId="0" fontId="61" fillId="0" borderId="54" xfId="59" applyFont="1" applyBorder="1" applyAlignment="1">
      <alignment horizontal="left"/>
      <protection/>
    </xf>
    <xf numFmtId="0" fontId="61" fillId="0" borderId="54" xfId="59" applyFont="1" applyBorder="1">
      <alignment/>
      <protection/>
    </xf>
    <xf numFmtId="3" fontId="22" fillId="0" borderId="59" xfId="59" applyNumberFormat="1" applyFont="1" applyBorder="1">
      <alignment/>
      <protection/>
    </xf>
    <xf numFmtId="0" fontId="61" fillId="0" borderId="0" xfId="59" applyFont="1" applyBorder="1">
      <alignment/>
      <protection/>
    </xf>
    <xf numFmtId="0" fontId="18" fillId="0" borderId="47" xfId="59" applyFont="1" applyBorder="1" applyAlignment="1">
      <alignment horizontal="right"/>
      <protection/>
    </xf>
    <xf numFmtId="0" fontId="18" fillId="0" borderId="60" xfId="59" applyFont="1" applyBorder="1" applyAlignment="1">
      <alignment horizontal="right"/>
      <protection/>
    </xf>
    <xf numFmtId="0" fontId="18" fillId="0" borderId="47" xfId="59" applyFont="1" applyBorder="1">
      <alignment/>
      <protection/>
    </xf>
    <xf numFmtId="0" fontId="18" fillId="0" borderId="61" xfId="59" applyFont="1" applyBorder="1">
      <alignment/>
      <protection/>
    </xf>
    <xf numFmtId="0" fontId="22" fillId="0" borderId="47" xfId="59" applyFont="1" applyBorder="1" applyAlignment="1">
      <alignment horizontal="left"/>
      <protection/>
    </xf>
    <xf numFmtId="0" fontId="61" fillId="0" borderId="62" xfId="59" applyFont="1" applyBorder="1" applyAlignment="1">
      <alignment horizontal="left"/>
      <protection/>
    </xf>
    <xf numFmtId="0" fontId="61" fillId="0" borderId="47" xfId="59" applyFont="1" applyBorder="1" applyAlignment="1">
      <alignment horizontal="left"/>
      <protection/>
    </xf>
    <xf numFmtId="3" fontId="61" fillId="0" borderId="47" xfId="59" applyNumberFormat="1" applyFont="1" applyFill="1" applyBorder="1">
      <alignment/>
      <protection/>
    </xf>
    <xf numFmtId="3" fontId="15" fillId="0" borderId="62" xfId="59" applyNumberFormat="1" applyFont="1" applyBorder="1" applyAlignment="1">
      <alignment horizontal="right" vertical="center"/>
      <protection/>
    </xf>
    <xf numFmtId="3" fontId="60" fillId="0" borderId="63" xfId="59" applyNumberFormat="1" applyFont="1" applyBorder="1" applyAlignment="1">
      <alignment horizontal="right" vertical="center"/>
      <protection/>
    </xf>
    <xf numFmtId="3" fontId="60" fillId="0" borderId="64" xfId="59" applyNumberFormat="1" applyFont="1" applyBorder="1" applyAlignment="1">
      <alignment horizontal="right" vertical="center"/>
      <protection/>
    </xf>
    <xf numFmtId="3" fontId="22" fillId="0" borderId="65" xfId="59" applyNumberFormat="1" applyFont="1" applyBorder="1">
      <alignment/>
      <protection/>
    </xf>
    <xf numFmtId="3" fontId="22" fillId="0" borderId="63" xfId="59" applyNumberFormat="1" applyFont="1" applyBorder="1">
      <alignment/>
      <protection/>
    </xf>
    <xf numFmtId="3" fontId="22" fillId="0" borderId="64" xfId="59" applyNumberFormat="1" applyFont="1" applyBorder="1">
      <alignment/>
      <protection/>
    </xf>
    <xf numFmtId="3" fontId="60" fillId="0" borderId="61" xfId="59" applyNumberFormat="1" applyFont="1" applyBorder="1" applyAlignment="1">
      <alignment horizontal="right" vertical="center"/>
      <protection/>
    </xf>
    <xf numFmtId="3" fontId="60" fillId="0" borderId="66" xfId="59" applyNumberFormat="1" applyFont="1" applyBorder="1" applyAlignment="1">
      <alignment horizontal="right" vertical="center"/>
      <protection/>
    </xf>
    <xf numFmtId="0" fontId="18" fillId="0" borderId="67" xfId="59" applyFont="1" applyBorder="1">
      <alignment/>
      <protection/>
    </xf>
    <xf numFmtId="0" fontId="18" fillId="0" borderId="52" xfId="59" applyFont="1" applyBorder="1">
      <alignment/>
      <protection/>
    </xf>
    <xf numFmtId="0" fontId="18" fillId="0" borderId="32" xfId="59" applyFont="1" applyBorder="1">
      <alignment/>
      <protection/>
    </xf>
    <xf numFmtId="3" fontId="61" fillId="0" borderId="58" xfId="59" applyNumberFormat="1" applyFont="1" applyBorder="1" applyAlignment="1">
      <alignment/>
      <protection/>
    </xf>
    <xf numFmtId="0" fontId="18" fillId="0" borderId="68" xfId="59" applyFont="1" applyBorder="1">
      <alignment/>
      <protection/>
    </xf>
    <xf numFmtId="0" fontId="18" fillId="0" borderId="64" xfId="59" applyFont="1" applyBorder="1">
      <alignment/>
      <protection/>
    </xf>
    <xf numFmtId="0" fontId="18" fillId="0" borderId="69" xfId="59" applyFont="1" applyBorder="1">
      <alignment/>
      <protection/>
    </xf>
    <xf numFmtId="3" fontId="19" fillId="0" borderId="32" xfId="59" applyNumberFormat="1" applyFont="1" applyBorder="1" applyAlignment="1">
      <alignment horizontal="right"/>
      <protection/>
    </xf>
    <xf numFmtId="0" fontId="22" fillId="0" borderId="50" xfId="59" applyFont="1" applyBorder="1" applyAlignment="1">
      <alignment horizontal="left"/>
      <protection/>
    </xf>
    <xf numFmtId="3" fontId="60" fillId="0" borderId="70" xfId="59" applyNumberFormat="1" applyFont="1" applyBorder="1" applyAlignment="1">
      <alignment horizontal="right"/>
      <protection/>
    </xf>
    <xf numFmtId="3" fontId="60" fillId="0" borderId="50" xfId="59" applyNumberFormat="1" applyFont="1" applyBorder="1" applyAlignment="1">
      <alignment horizontal="right"/>
      <protection/>
    </xf>
    <xf numFmtId="0" fontId="18" fillId="0" borderId="71" xfId="0" applyFont="1" applyBorder="1" applyAlignment="1">
      <alignment/>
    </xf>
    <xf numFmtId="0" fontId="15" fillId="0" borderId="0" xfId="59" applyFont="1" applyBorder="1" applyAlignment="1">
      <alignment horizontal="right" vertical="center"/>
      <protection/>
    </xf>
    <xf numFmtId="0" fontId="15" fillId="0" borderId="72" xfId="59" applyFont="1" applyBorder="1" applyAlignment="1">
      <alignment horizontal="right" vertical="center"/>
      <protection/>
    </xf>
    <xf numFmtId="0" fontId="22" fillId="0" borderId="57" xfId="59" applyFont="1" applyBorder="1">
      <alignment/>
      <protection/>
    </xf>
    <xf numFmtId="0" fontId="18" fillId="0" borderId="50" xfId="59" applyFont="1" applyBorder="1">
      <alignment/>
      <protection/>
    </xf>
    <xf numFmtId="0" fontId="18" fillId="0" borderId="32" xfId="59" applyFont="1" applyBorder="1" applyAlignment="1">
      <alignment horizontal="right"/>
      <protection/>
    </xf>
    <xf numFmtId="3" fontId="60" fillId="0" borderId="0" xfId="59" applyNumberFormat="1" applyFont="1" applyBorder="1" applyAlignment="1">
      <alignment horizontal="right" vertical="center"/>
      <protection/>
    </xf>
    <xf numFmtId="3" fontId="18" fillId="0" borderId="32" xfId="59" applyNumberFormat="1" applyFont="1" applyBorder="1" applyAlignment="1">
      <alignment horizontal="right"/>
      <protection/>
    </xf>
    <xf numFmtId="3" fontId="18" fillId="0" borderId="0" xfId="59" applyNumberFormat="1" applyFont="1" applyBorder="1">
      <alignment/>
      <protection/>
    </xf>
    <xf numFmtId="3" fontId="60" fillId="0" borderId="73" xfId="59" applyNumberFormat="1" applyFont="1" applyBorder="1">
      <alignment/>
      <protection/>
    </xf>
    <xf numFmtId="0" fontId="18" fillId="0" borderId="74" xfId="59" applyFont="1" applyBorder="1">
      <alignment/>
      <protection/>
    </xf>
    <xf numFmtId="0" fontId="18" fillId="0" borderId="75" xfId="59" applyFont="1" applyBorder="1" applyAlignment="1">
      <alignment horizontal="right"/>
      <protection/>
    </xf>
    <xf numFmtId="0" fontId="18" fillId="0" borderId="76" xfId="59" applyFont="1" applyBorder="1" applyAlignment="1">
      <alignment horizontal="right"/>
      <protection/>
    </xf>
    <xf numFmtId="0" fontId="18" fillId="0" borderId="75" xfId="59" applyFont="1" applyBorder="1">
      <alignment/>
      <protection/>
    </xf>
    <xf numFmtId="0" fontId="18" fillId="0" borderId="66" xfId="59" applyFont="1" applyBorder="1">
      <alignment/>
      <protection/>
    </xf>
    <xf numFmtId="0" fontId="18" fillId="0" borderId="75" xfId="59" applyFont="1" applyBorder="1" applyAlignment="1">
      <alignment/>
      <protection/>
    </xf>
    <xf numFmtId="0" fontId="15" fillId="0" borderId="77" xfId="59" applyFont="1" applyBorder="1" applyAlignment="1">
      <alignment horizontal="right"/>
      <protection/>
    </xf>
    <xf numFmtId="0" fontId="18" fillId="0" borderId="78" xfId="59" applyFont="1" applyBorder="1">
      <alignment/>
      <protection/>
    </xf>
    <xf numFmtId="3" fontId="15" fillId="0" borderId="79" xfId="59" applyNumberFormat="1" applyFont="1" applyBorder="1" applyAlignment="1">
      <alignment horizontal="right"/>
      <protection/>
    </xf>
    <xf numFmtId="0" fontId="15" fillId="0" borderId="75" xfId="59" applyFont="1" applyBorder="1" applyAlignment="1">
      <alignment horizontal="right"/>
      <protection/>
    </xf>
    <xf numFmtId="0" fontId="15" fillId="0" borderId="76" xfId="59" applyFont="1" applyBorder="1" applyAlignment="1">
      <alignment horizontal="right"/>
      <protection/>
    </xf>
    <xf numFmtId="0" fontId="18" fillId="0" borderId="80" xfId="59" applyFont="1" applyBorder="1">
      <alignment/>
      <protection/>
    </xf>
    <xf numFmtId="0" fontId="18" fillId="0" borderId="76" xfId="59" applyFont="1" applyBorder="1">
      <alignment/>
      <protection/>
    </xf>
    <xf numFmtId="0" fontId="60" fillId="0" borderId="81" xfId="59" applyFont="1" applyBorder="1" applyAlignment="1">
      <alignment horizontal="right" vertical="center"/>
      <protection/>
    </xf>
    <xf numFmtId="0" fontId="18" fillId="0" borderId="0" xfId="59" applyFont="1">
      <alignment/>
      <protection/>
    </xf>
    <xf numFmtId="0" fontId="18" fillId="0" borderId="57" xfId="59" applyFont="1" applyBorder="1">
      <alignment/>
      <protection/>
    </xf>
    <xf numFmtId="0" fontId="22" fillId="0" borderId="58" xfId="59" applyFont="1" applyBorder="1">
      <alignment/>
      <protection/>
    </xf>
    <xf numFmtId="3" fontId="60" fillId="0" borderId="0" xfId="59" applyNumberFormat="1" applyFont="1" applyBorder="1">
      <alignment/>
      <protection/>
    </xf>
    <xf numFmtId="3" fontId="60" fillId="0" borderId="70" xfId="59" applyNumberFormat="1" applyFont="1" applyBorder="1">
      <alignment/>
      <protection/>
    </xf>
    <xf numFmtId="0" fontId="18" fillId="0" borderId="0" xfId="0" applyFont="1" applyBorder="1" applyAlignment="1">
      <alignment horizontal="right"/>
    </xf>
    <xf numFmtId="0" fontId="18" fillId="0" borderId="58" xfId="59" applyFont="1" applyBorder="1">
      <alignment/>
      <protection/>
    </xf>
    <xf numFmtId="0" fontId="23" fillId="0" borderId="55" xfId="59" applyFont="1" applyBorder="1" applyAlignment="1">
      <alignment horizontal="right"/>
      <protection/>
    </xf>
    <xf numFmtId="0" fontId="18" fillId="0" borderId="54" xfId="0" applyFont="1" applyBorder="1" applyAlignment="1">
      <alignment horizontal="right"/>
    </xf>
    <xf numFmtId="3" fontId="19" fillId="0" borderId="72" xfId="59" applyNumberFormat="1" applyFont="1" applyBorder="1" applyAlignment="1">
      <alignment horizontal="right"/>
      <protection/>
    </xf>
    <xf numFmtId="3" fontId="19" fillId="0" borderId="54" xfId="59" applyNumberFormat="1" applyFont="1" applyBorder="1">
      <alignment/>
      <protection/>
    </xf>
    <xf numFmtId="3" fontId="19" fillId="0" borderId="56" xfId="59" applyNumberFormat="1" applyFont="1" applyBorder="1">
      <alignment/>
      <protection/>
    </xf>
    <xf numFmtId="3" fontId="22" fillId="0" borderId="59" xfId="59" applyNumberFormat="1" applyFont="1" applyBorder="1" applyAlignment="1">
      <alignment/>
      <protection/>
    </xf>
    <xf numFmtId="0" fontId="18" fillId="0" borderId="59" xfId="59" applyFont="1" applyBorder="1">
      <alignment/>
      <protection/>
    </xf>
    <xf numFmtId="3" fontId="60" fillId="0" borderId="55" xfId="59" applyNumberFormat="1" applyFont="1" applyBorder="1" applyAlignment="1">
      <alignment horizontal="right" vertical="center"/>
      <protection/>
    </xf>
    <xf numFmtId="3" fontId="60" fillId="0" borderId="72" xfId="59" applyNumberFormat="1" applyFont="1" applyBorder="1" applyAlignment="1">
      <alignment horizontal="right" vertical="center"/>
      <protection/>
    </xf>
    <xf numFmtId="3" fontId="60" fillId="0" borderId="82" xfId="59" applyNumberFormat="1" applyFont="1" applyBorder="1">
      <alignment/>
      <protection/>
    </xf>
    <xf numFmtId="3" fontId="60" fillId="0" borderId="55" xfId="59" applyNumberFormat="1" applyFont="1" applyBorder="1">
      <alignment/>
      <protection/>
    </xf>
    <xf numFmtId="3" fontId="60" fillId="0" borderId="72" xfId="59" applyNumberFormat="1" applyFont="1" applyBorder="1">
      <alignment/>
      <protection/>
    </xf>
    <xf numFmtId="3" fontId="60" fillId="0" borderId="56" xfId="59" applyNumberFormat="1" applyFont="1" applyBorder="1" applyAlignment="1">
      <alignment horizontal="right" vertical="center"/>
      <protection/>
    </xf>
    <xf numFmtId="3" fontId="61" fillId="0" borderId="0" xfId="59" applyNumberFormat="1" applyFont="1" applyBorder="1" applyAlignment="1">
      <alignment/>
      <protection/>
    </xf>
    <xf numFmtId="3" fontId="15" fillId="0" borderId="83" xfId="59" applyNumberFormat="1" applyFont="1" applyBorder="1">
      <alignment/>
      <protection/>
    </xf>
    <xf numFmtId="0" fontId="62" fillId="0" borderId="84" xfId="59" applyFont="1" applyBorder="1">
      <alignment/>
      <protection/>
    </xf>
    <xf numFmtId="0" fontId="62" fillId="0" borderId="33" xfId="59" applyFont="1" applyBorder="1">
      <alignment/>
      <protection/>
    </xf>
    <xf numFmtId="0" fontId="62" fillId="0" borderId="46" xfId="59" applyFont="1" applyBorder="1">
      <alignment/>
      <protection/>
    </xf>
    <xf numFmtId="3" fontId="60" fillId="0" borderId="84" xfId="59" applyNumberFormat="1" applyFont="1" applyBorder="1" applyAlignment="1">
      <alignment horizontal="right" vertical="center"/>
      <protection/>
    </xf>
    <xf numFmtId="3" fontId="60" fillId="0" borderId="85" xfId="59" applyNumberFormat="1" applyFont="1" applyBorder="1" applyAlignment="1">
      <alignment horizontal="right" vertical="center"/>
      <protection/>
    </xf>
    <xf numFmtId="3" fontId="60" fillId="0" borderId="84" xfId="59" applyNumberFormat="1" applyFont="1" applyBorder="1">
      <alignment/>
      <protection/>
    </xf>
    <xf numFmtId="3" fontId="60" fillId="0" borderId="85" xfId="59" applyNumberFormat="1" applyFont="1" applyBorder="1">
      <alignment/>
      <protection/>
    </xf>
    <xf numFmtId="3" fontId="60" fillId="0" borderId="83" xfId="59" applyNumberFormat="1" applyFont="1" applyBorder="1" applyAlignment="1">
      <alignment horizontal="right" vertical="center"/>
      <protection/>
    </xf>
    <xf numFmtId="3" fontId="46" fillId="0" borderId="86" xfId="59" applyNumberFormat="1" applyFont="1" applyBorder="1" applyAlignment="1">
      <alignment horizontal="center"/>
      <protection/>
    </xf>
    <xf numFmtId="3" fontId="46" fillId="0" borderId="87" xfId="59" applyNumberFormat="1" applyFont="1" applyBorder="1">
      <alignment/>
      <protection/>
    </xf>
    <xf numFmtId="0" fontId="22" fillId="0" borderId="88" xfId="59" applyFont="1" applyBorder="1" applyAlignment="1">
      <alignment horizontal="left"/>
      <protection/>
    </xf>
    <xf numFmtId="0" fontId="18" fillId="0" borderId="88" xfId="59" applyFont="1" applyBorder="1">
      <alignment/>
      <protection/>
    </xf>
    <xf numFmtId="3" fontId="15" fillId="0" borderId="89" xfId="59" applyNumberFormat="1" applyFont="1" applyBorder="1">
      <alignment/>
      <protection/>
    </xf>
    <xf numFmtId="0" fontId="18" fillId="0" borderId="71" xfId="59" applyFont="1" applyBorder="1">
      <alignment/>
      <protection/>
    </xf>
    <xf numFmtId="3" fontId="46" fillId="0" borderId="86" xfId="59" applyNumberFormat="1" applyFont="1" applyBorder="1">
      <alignment/>
      <protection/>
    </xf>
    <xf numFmtId="3" fontId="46" fillId="0" borderId="90" xfId="59" applyNumberFormat="1" applyFont="1" applyBorder="1">
      <alignment/>
      <protection/>
    </xf>
    <xf numFmtId="0" fontId="22" fillId="0" borderId="47" xfId="59" applyFont="1" applyBorder="1">
      <alignment/>
      <protection/>
    </xf>
    <xf numFmtId="0" fontId="19" fillId="0" borderId="0" xfId="59" applyFont="1" applyAlignment="1">
      <alignment horizontal="center"/>
      <protection/>
    </xf>
    <xf numFmtId="0" fontId="19" fillId="0" borderId="0" xfId="59" applyFont="1" applyAlignment="1">
      <alignment horizontal="right"/>
      <protection/>
    </xf>
    <xf numFmtId="0" fontId="14" fillId="0" borderId="0" xfId="59" applyFont="1">
      <alignment/>
      <protection/>
    </xf>
    <xf numFmtId="0" fontId="19" fillId="0" borderId="0" xfId="59" applyFont="1" applyAlignment="1">
      <alignment horizontal="left"/>
      <protection/>
    </xf>
    <xf numFmtId="3" fontId="18" fillId="0" borderId="0" xfId="59" applyNumberFormat="1" applyFont="1">
      <alignment/>
      <protection/>
    </xf>
    <xf numFmtId="0" fontId="22" fillId="0" borderId="0" xfId="59" applyFont="1" applyFill="1" applyBorder="1">
      <alignment/>
      <protection/>
    </xf>
    <xf numFmtId="0" fontId="42" fillId="0" borderId="27" xfId="59" applyFont="1" applyBorder="1">
      <alignment/>
      <protection/>
    </xf>
    <xf numFmtId="3" fontId="18" fillId="0" borderId="27" xfId="59" applyNumberFormat="1" applyFont="1" applyBorder="1">
      <alignment/>
      <protection/>
    </xf>
    <xf numFmtId="0" fontId="18" fillId="0" borderId="27" xfId="59" applyFont="1" applyBorder="1">
      <alignment/>
      <protection/>
    </xf>
    <xf numFmtId="0" fontId="18" fillId="0" borderId="0" xfId="59" applyFont="1" applyAlignment="1">
      <alignment horizontal="right"/>
      <protection/>
    </xf>
    <xf numFmtId="0" fontId="18" fillId="0" borderId="0" xfId="59" applyFont="1" applyAlignment="1">
      <alignment/>
      <protection/>
    </xf>
    <xf numFmtId="0" fontId="18" fillId="0" borderId="0" xfId="0" applyFont="1" applyAlignment="1">
      <alignment horizontal="left"/>
    </xf>
    <xf numFmtId="0" fontId="19" fillId="0" borderId="0" xfId="59" applyFont="1">
      <alignment/>
      <protection/>
    </xf>
    <xf numFmtId="3" fontId="19" fillId="0" borderId="0" xfId="59" applyNumberFormat="1" applyFont="1">
      <alignment/>
      <protection/>
    </xf>
    <xf numFmtId="0" fontId="19" fillId="0" borderId="91" xfId="59" applyFont="1" applyBorder="1" applyAlignment="1">
      <alignment horizontal="center"/>
      <protection/>
    </xf>
    <xf numFmtId="0" fontId="19" fillId="0" borderId="84" xfId="59" applyFont="1" applyBorder="1" applyAlignment="1">
      <alignment horizontal="center" vertical="center"/>
      <protection/>
    </xf>
    <xf numFmtId="0" fontId="19" fillId="0" borderId="91" xfId="59" applyFont="1" applyBorder="1" applyAlignment="1">
      <alignment horizontal="center" vertical="center"/>
      <protection/>
    </xf>
    <xf numFmtId="49" fontId="26" fillId="0" borderId="21" xfId="0" applyNumberFormat="1" applyFont="1" applyBorder="1" applyAlignment="1">
      <alignment vertical="center" wrapText="1"/>
    </xf>
    <xf numFmtId="0" fontId="26" fillId="0" borderId="22" xfId="0" applyFont="1" applyBorder="1" applyAlignment="1">
      <alignment vertical="center"/>
    </xf>
    <xf numFmtId="0" fontId="21" fillId="5" borderId="2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2" fillId="0" borderId="67" xfId="59" applyFont="1" applyBorder="1" applyAlignment="1">
      <alignment horizontal="left" wrapText="1"/>
      <protection/>
    </xf>
    <xf numFmtId="0" fontId="61" fillId="0" borderId="67" xfId="59" applyFont="1" applyBorder="1" applyAlignment="1">
      <alignment horizontal="left" wrapText="1"/>
      <protection/>
    </xf>
    <xf numFmtId="0" fontId="61" fillId="0" borderId="0" xfId="59" applyFont="1" applyBorder="1" applyAlignment="1">
      <alignment horizontal="left" wrapText="1"/>
      <protection/>
    </xf>
    <xf numFmtId="3" fontId="22" fillId="0" borderId="59" xfId="0" applyNumberFormat="1" applyFont="1" applyBorder="1" applyAlignment="1">
      <alignment/>
    </xf>
    <xf numFmtId="3" fontId="22" fillId="0" borderId="58" xfId="0" applyNumberFormat="1" applyFont="1" applyBorder="1" applyAlignment="1">
      <alignment/>
    </xf>
    <xf numFmtId="3" fontId="60" fillId="36" borderId="92" xfId="59" applyNumberFormat="1" applyFont="1" applyFill="1" applyBorder="1" applyAlignment="1">
      <alignment horizontal="right" vertical="center"/>
      <protection/>
    </xf>
    <xf numFmtId="0" fontId="18" fillId="0" borderId="51" xfId="0" applyFont="1" applyBorder="1" applyAlignment="1">
      <alignment horizontal="right"/>
    </xf>
    <xf numFmtId="0" fontId="18" fillId="36" borderId="93" xfId="59" applyFont="1" applyFill="1" applyBorder="1" applyAlignment="1">
      <alignment vertical="center"/>
      <protection/>
    </xf>
    <xf numFmtId="3" fontId="15" fillId="36" borderId="94" xfId="59" applyNumberFormat="1" applyFont="1" applyFill="1" applyBorder="1" applyAlignment="1">
      <alignment vertical="center"/>
      <protection/>
    </xf>
    <xf numFmtId="0" fontId="18" fillId="36" borderId="95" xfId="59" applyFont="1" applyFill="1" applyBorder="1" applyAlignment="1">
      <alignment vertical="center"/>
      <protection/>
    </xf>
    <xf numFmtId="3" fontId="60" fillId="36" borderId="96" xfId="59" applyNumberFormat="1" applyFont="1" applyFill="1" applyBorder="1" applyAlignment="1">
      <alignment vertical="center"/>
      <protection/>
    </xf>
    <xf numFmtId="3" fontId="60" fillId="36" borderId="86" xfId="59" applyNumberFormat="1" applyFont="1" applyFill="1" applyBorder="1" applyAlignment="1">
      <alignment vertical="center"/>
      <protection/>
    </xf>
    <xf numFmtId="3" fontId="60" fillId="36" borderId="81" xfId="59" applyNumberFormat="1" applyFont="1" applyFill="1" applyBorder="1" applyAlignment="1">
      <alignment vertical="center"/>
      <protection/>
    </xf>
    <xf numFmtId="3" fontId="60" fillId="36" borderId="97" xfId="59" applyNumberFormat="1" applyFont="1" applyFill="1" applyBorder="1" applyAlignment="1">
      <alignment vertical="center"/>
      <protection/>
    </xf>
    <xf numFmtId="0" fontId="18" fillId="0" borderId="0" xfId="0" applyFont="1" applyBorder="1" applyAlignment="1">
      <alignment vertical="center"/>
    </xf>
    <xf numFmtId="3" fontId="22" fillId="0" borderId="0" xfId="59" applyNumberFormat="1" applyFont="1" applyBorder="1" applyAlignment="1">
      <alignment horizontal="right" vertical="center"/>
      <protection/>
    </xf>
    <xf numFmtId="3" fontId="22" fillId="0" borderId="58" xfId="59" applyNumberFormat="1" applyFont="1" applyBorder="1" applyAlignment="1">
      <alignment/>
      <protection/>
    </xf>
    <xf numFmtId="3" fontId="22" fillId="0" borderId="58" xfId="59" applyNumberFormat="1" applyFont="1" applyBorder="1" applyAlignment="1">
      <alignment vertical="center"/>
      <protection/>
    </xf>
    <xf numFmtId="3" fontId="22" fillId="0" borderId="46" xfId="59" applyNumberFormat="1" applyFont="1" applyFill="1" applyBorder="1" applyAlignment="1">
      <alignment vertical="center"/>
      <protection/>
    </xf>
    <xf numFmtId="3" fontId="22" fillId="0" borderId="58" xfId="59" applyNumberFormat="1" applyFont="1" applyFill="1" applyBorder="1" applyAlignment="1">
      <alignment vertical="center"/>
      <protection/>
    </xf>
    <xf numFmtId="3" fontId="22" fillId="0" borderId="0" xfId="59" applyNumberFormat="1" applyFont="1" applyBorder="1" applyAlignment="1">
      <alignment vertical="center"/>
      <protection/>
    </xf>
    <xf numFmtId="3" fontId="22" fillId="0" borderId="59" xfId="59" applyNumberFormat="1" applyFont="1" applyFill="1" applyBorder="1" applyAlignment="1">
      <alignment vertical="center"/>
      <protection/>
    </xf>
    <xf numFmtId="0" fontId="45" fillId="0" borderId="0" xfId="60" applyFont="1" applyFill="1" applyAlignment="1">
      <alignment vertical="center" wrapText="1"/>
      <protection/>
    </xf>
    <xf numFmtId="0" fontId="45" fillId="0" borderId="75" xfId="60" applyFont="1" applyFill="1" applyBorder="1" applyAlignment="1">
      <alignment vertical="center" wrapText="1"/>
      <protection/>
    </xf>
    <xf numFmtId="0" fontId="18" fillId="0" borderId="63" xfId="59" applyFont="1" applyBorder="1" applyAlignment="1">
      <alignment horizontal="right"/>
      <protection/>
    </xf>
    <xf numFmtId="3" fontId="22" fillId="0" borderId="98" xfId="0" applyNumberFormat="1" applyFont="1" applyBorder="1" applyAlignment="1">
      <alignment/>
    </xf>
    <xf numFmtId="3" fontId="60" fillId="0" borderId="99" xfId="60" applyNumberFormat="1" applyFont="1" applyFill="1" applyBorder="1" applyAlignment="1">
      <alignment vertical="center"/>
      <protection/>
    </xf>
    <xf numFmtId="0" fontId="42" fillId="0" borderId="0" xfId="0" applyFont="1" applyFill="1" applyAlignment="1">
      <alignment vertical="center"/>
    </xf>
    <xf numFmtId="49" fontId="42" fillId="0" borderId="0" xfId="0" applyNumberFormat="1" applyFont="1" applyFill="1" applyAlignment="1">
      <alignment vertical="center"/>
    </xf>
    <xf numFmtId="49" fontId="42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47" fillId="0" borderId="42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49" fontId="42" fillId="0" borderId="27" xfId="0" applyNumberFormat="1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3" fontId="43" fillId="0" borderId="38" xfId="0" applyNumberFormat="1" applyFont="1" applyFill="1" applyBorder="1" applyAlignment="1">
      <alignment horizontal="center" vertical="center"/>
    </xf>
    <xf numFmtId="0" fontId="43" fillId="0" borderId="100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49" fontId="42" fillId="0" borderId="37" xfId="0" applyNumberFormat="1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vertical="center" wrapText="1"/>
    </xf>
    <xf numFmtId="3" fontId="58" fillId="0" borderId="24" xfId="0" applyNumberFormat="1" applyFont="1" applyFill="1" applyBorder="1" applyAlignment="1">
      <alignment vertical="center"/>
    </xf>
    <xf numFmtId="3" fontId="43" fillId="0" borderId="39" xfId="0" applyNumberFormat="1" applyFont="1" applyFill="1" applyBorder="1" applyAlignment="1">
      <alignment vertical="center"/>
    </xf>
    <xf numFmtId="3" fontId="43" fillId="0" borderId="38" xfId="0" applyNumberFormat="1" applyFont="1" applyFill="1" applyBorder="1" applyAlignment="1">
      <alignment vertical="center"/>
    </xf>
    <xf numFmtId="3" fontId="43" fillId="0" borderId="22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49" fontId="42" fillId="0" borderId="21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vertical="center" wrapText="1"/>
    </xf>
    <xf numFmtId="3" fontId="58" fillId="0" borderId="11" xfId="0" applyNumberFormat="1" applyFont="1" applyFill="1" applyBorder="1" applyAlignment="1">
      <alignment vertical="center"/>
    </xf>
    <xf numFmtId="3" fontId="43" fillId="0" borderId="17" xfId="0" applyNumberFormat="1" applyFont="1" applyFill="1" applyBorder="1" applyAlignment="1">
      <alignment vertical="center"/>
    </xf>
    <xf numFmtId="3" fontId="58" fillId="0" borderId="16" xfId="0" applyNumberFormat="1" applyFont="1" applyFill="1" applyBorder="1" applyAlignment="1">
      <alignment vertical="center"/>
    </xf>
    <xf numFmtId="3" fontId="42" fillId="0" borderId="0" xfId="0" applyNumberFormat="1" applyFont="1" applyFill="1" applyAlignment="1">
      <alignment vertical="center"/>
    </xf>
    <xf numFmtId="3" fontId="58" fillId="0" borderId="22" xfId="0" applyNumberFormat="1" applyFont="1" applyFill="1" applyBorder="1" applyAlignment="1">
      <alignment vertical="center"/>
    </xf>
    <xf numFmtId="3" fontId="58" fillId="0" borderId="22" xfId="0" applyNumberFormat="1" applyFont="1" applyFill="1" applyBorder="1" applyAlignment="1">
      <alignment horizontal="right" vertical="center" wrapText="1"/>
    </xf>
    <xf numFmtId="0" fontId="20" fillId="0" borderId="22" xfId="0" applyFont="1" applyFill="1" applyBorder="1" applyAlignment="1">
      <alignment horizontal="left" vertical="center" wrapText="1"/>
    </xf>
    <xf numFmtId="3" fontId="43" fillId="0" borderId="22" xfId="0" applyNumberFormat="1" applyFont="1" applyFill="1" applyBorder="1" applyAlignment="1">
      <alignment horizontal="right" vertical="center"/>
    </xf>
    <xf numFmtId="49" fontId="42" fillId="0" borderId="43" xfId="0" applyNumberFormat="1" applyFont="1" applyFill="1" applyBorder="1" applyAlignment="1">
      <alignment horizontal="center" vertical="center"/>
    </xf>
    <xf numFmtId="3" fontId="43" fillId="0" borderId="42" xfId="0" applyNumberFormat="1" applyFont="1" applyFill="1" applyBorder="1" applyAlignment="1">
      <alignment vertical="center"/>
    </xf>
    <xf numFmtId="3" fontId="58" fillId="0" borderId="15" xfId="0" applyNumberFormat="1" applyFont="1" applyFill="1" applyBorder="1" applyAlignment="1">
      <alignment vertical="center"/>
    </xf>
    <xf numFmtId="3" fontId="43" fillId="0" borderId="25" xfId="0" applyNumberFormat="1" applyFont="1" applyFill="1" applyBorder="1" applyAlignment="1">
      <alignment vertical="center"/>
    </xf>
    <xf numFmtId="49" fontId="19" fillId="0" borderId="0" xfId="0" applyNumberFormat="1" applyFont="1" applyFill="1" applyAlignment="1">
      <alignment vertical="center"/>
    </xf>
    <xf numFmtId="0" fontId="20" fillId="0" borderId="42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49" fontId="19" fillId="0" borderId="29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/>
    </xf>
    <xf numFmtId="3" fontId="65" fillId="0" borderId="34" xfId="0" applyNumberFormat="1" applyFont="1" applyFill="1" applyBorder="1" applyAlignment="1">
      <alignment vertical="center"/>
    </xf>
    <xf numFmtId="3" fontId="19" fillId="0" borderId="20" xfId="0" applyNumberFormat="1" applyFont="1" applyFill="1" applyBorder="1" applyAlignment="1">
      <alignment vertical="center"/>
    </xf>
    <xf numFmtId="3" fontId="19" fillId="0" borderId="34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54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58" fillId="0" borderId="0" xfId="0" applyNumberFormat="1" applyFont="1" applyFill="1" applyAlignment="1">
      <alignment vertical="center"/>
    </xf>
    <xf numFmtId="0" fontId="18" fillId="0" borderId="0" xfId="61" applyFont="1" applyAlignment="1">
      <alignment/>
      <protection/>
    </xf>
    <xf numFmtId="0" fontId="16" fillId="0" borderId="0" xfId="61" applyFont="1" applyAlignment="1">
      <alignment/>
      <protection/>
    </xf>
    <xf numFmtId="0" fontId="12" fillId="0" borderId="37" xfId="0" applyFont="1" applyFill="1" applyBorder="1" applyAlignment="1">
      <alignment horizontal="center" vertical="center"/>
    </xf>
    <xf numFmtId="4" fontId="21" fillId="0" borderId="21" xfId="61" applyNumberFormat="1" applyFont="1" applyBorder="1" applyAlignment="1">
      <alignment vertical="center"/>
      <protection/>
    </xf>
    <xf numFmtId="3" fontId="21" fillId="0" borderId="22" xfId="61" applyNumberFormat="1" applyFont="1" applyBorder="1" applyAlignment="1">
      <alignment vertical="center"/>
      <protection/>
    </xf>
    <xf numFmtId="3" fontId="21" fillId="0" borderId="23" xfId="61" applyNumberFormat="1" applyFont="1" applyBorder="1" applyAlignment="1">
      <alignment vertical="center"/>
      <protection/>
    </xf>
    <xf numFmtId="3" fontId="21" fillId="0" borderId="21" xfId="61" applyNumberFormat="1" applyFont="1" applyBorder="1" applyAlignment="1">
      <alignment vertical="center"/>
      <protection/>
    </xf>
    <xf numFmtId="3" fontId="21" fillId="0" borderId="17" xfId="61" applyNumberFormat="1" applyFont="1" applyBorder="1" applyAlignment="1">
      <alignment vertical="center"/>
      <protection/>
    </xf>
    <xf numFmtId="3" fontId="21" fillId="0" borderId="31" xfId="61" applyNumberFormat="1" applyFont="1" applyBorder="1" applyAlignment="1">
      <alignment vertical="center"/>
      <protection/>
    </xf>
    <xf numFmtId="3" fontId="13" fillId="0" borderId="21" xfId="61" applyNumberFormat="1" applyBorder="1" applyAlignment="1">
      <alignment vertical="center"/>
      <protection/>
    </xf>
    <xf numFmtId="3" fontId="13" fillId="0" borderId="22" xfId="61" applyNumberFormat="1" applyBorder="1" applyAlignment="1">
      <alignment vertical="center"/>
      <protection/>
    </xf>
    <xf numFmtId="3" fontId="13" fillId="0" borderId="23" xfId="61" applyNumberFormat="1" applyBorder="1" applyAlignment="1">
      <alignment vertical="center"/>
      <protection/>
    </xf>
    <xf numFmtId="3" fontId="13" fillId="0" borderId="17" xfId="61" applyNumberFormat="1" applyBorder="1" applyAlignment="1">
      <alignment vertical="center"/>
      <protection/>
    </xf>
    <xf numFmtId="3" fontId="13" fillId="0" borderId="31" xfId="61" applyNumberFormat="1" applyBorder="1" applyAlignment="1">
      <alignment vertical="center"/>
      <protection/>
    </xf>
    <xf numFmtId="3" fontId="13" fillId="33" borderId="21" xfId="61" applyNumberFormat="1" applyFill="1" applyBorder="1" applyAlignment="1">
      <alignment vertical="center"/>
      <protection/>
    </xf>
    <xf numFmtId="3" fontId="13" fillId="33" borderId="22" xfId="61" applyNumberFormat="1" applyFill="1" applyBorder="1" applyAlignment="1">
      <alignment vertical="center"/>
      <protection/>
    </xf>
    <xf numFmtId="3" fontId="13" fillId="33" borderId="17" xfId="61" applyNumberFormat="1" applyFill="1" applyBorder="1" applyAlignment="1">
      <alignment vertical="center"/>
      <protection/>
    </xf>
    <xf numFmtId="171" fontId="13" fillId="0" borderId="21" xfId="61" applyNumberFormat="1" applyBorder="1" applyAlignment="1">
      <alignment vertical="center"/>
      <protection/>
    </xf>
    <xf numFmtId="171" fontId="13" fillId="0" borderId="17" xfId="61" applyNumberFormat="1" applyBorder="1" applyAlignment="1">
      <alignment vertical="center"/>
      <protection/>
    </xf>
    <xf numFmtId="3" fontId="21" fillId="0" borderId="21" xfId="61" applyNumberFormat="1" applyFont="1" applyFill="1" applyBorder="1" applyAlignment="1">
      <alignment vertical="center"/>
      <protection/>
    </xf>
    <xf numFmtId="3" fontId="21" fillId="0" borderId="22" xfId="61" applyNumberFormat="1" applyFont="1" applyFill="1" applyBorder="1" applyAlignment="1">
      <alignment vertical="center"/>
      <protection/>
    </xf>
    <xf numFmtId="171" fontId="21" fillId="0" borderId="21" xfId="61" applyNumberFormat="1" applyFont="1" applyBorder="1" applyAlignment="1">
      <alignment vertical="center"/>
      <protection/>
    </xf>
    <xf numFmtId="171" fontId="21" fillId="0" borderId="17" xfId="61" applyNumberFormat="1" applyFont="1" applyBorder="1" applyAlignment="1">
      <alignment vertical="center"/>
      <protection/>
    </xf>
    <xf numFmtId="3" fontId="21" fillId="0" borderId="21" xfId="61" applyNumberFormat="1" applyFont="1" applyFill="1" applyBorder="1" applyAlignment="1">
      <alignment horizontal="center" vertical="center"/>
      <protection/>
    </xf>
    <xf numFmtId="3" fontId="21" fillId="0" borderId="22" xfId="61" applyNumberFormat="1" applyFont="1" applyFill="1" applyBorder="1" applyAlignment="1">
      <alignment horizontal="center" vertical="center"/>
      <protection/>
    </xf>
    <xf numFmtId="4" fontId="21" fillId="33" borderId="21" xfId="61" applyNumberFormat="1" applyFont="1" applyFill="1" applyBorder="1" applyAlignment="1">
      <alignment vertical="center"/>
      <protection/>
    </xf>
    <xf numFmtId="4" fontId="21" fillId="33" borderId="17" xfId="61" applyNumberFormat="1" applyFont="1" applyFill="1" applyBorder="1" applyAlignment="1">
      <alignment vertical="center"/>
      <protection/>
    </xf>
    <xf numFmtId="2" fontId="13" fillId="0" borderId="21" xfId="61" applyNumberFormat="1" applyBorder="1" applyAlignment="1">
      <alignment vertical="center"/>
      <protection/>
    </xf>
    <xf numFmtId="2" fontId="13" fillId="0" borderId="17" xfId="61" applyNumberFormat="1" applyBorder="1" applyAlignment="1">
      <alignment vertical="center"/>
      <protection/>
    </xf>
    <xf numFmtId="4" fontId="13" fillId="0" borderId="21" xfId="61" applyNumberFormat="1" applyBorder="1" applyAlignment="1">
      <alignment vertical="center"/>
      <protection/>
    </xf>
    <xf numFmtId="3" fontId="13" fillId="0" borderId="22" xfId="61" applyNumberFormat="1" applyFill="1" applyBorder="1" applyAlignment="1">
      <alignment vertical="center"/>
      <protection/>
    </xf>
    <xf numFmtId="3" fontId="13" fillId="0" borderId="31" xfId="61" applyNumberFormat="1" applyFont="1" applyBorder="1" applyAlignment="1">
      <alignment vertical="center"/>
      <protection/>
    </xf>
    <xf numFmtId="4" fontId="13" fillId="0" borderId="21" xfId="61" applyNumberFormat="1" applyFill="1" applyBorder="1" applyAlignment="1">
      <alignment vertical="center"/>
      <protection/>
    </xf>
    <xf numFmtId="3" fontId="13" fillId="0" borderId="17" xfId="61" applyNumberFormat="1" applyFill="1" applyBorder="1" applyAlignment="1">
      <alignment vertical="center"/>
      <protection/>
    </xf>
    <xf numFmtId="3" fontId="2" fillId="33" borderId="21" xfId="61" applyNumberFormat="1" applyFont="1" applyFill="1" applyBorder="1" applyAlignment="1">
      <alignment horizontal="center" vertical="center"/>
      <protection/>
    </xf>
    <xf numFmtId="3" fontId="2" fillId="33" borderId="22" xfId="61" applyNumberFormat="1" applyFont="1" applyFill="1" applyBorder="1" applyAlignment="1">
      <alignment horizontal="center" vertical="center"/>
      <protection/>
    </xf>
    <xf numFmtId="3" fontId="1" fillId="33" borderId="23" xfId="61" applyNumberFormat="1" applyFont="1" applyFill="1" applyBorder="1" applyAlignment="1">
      <alignment vertical="center"/>
      <protection/>
    </xf>
    <xf numFmtId="3" fontId="2" fillId="33" borderId="17" xfId="61" applyNumberFormat="1" applyFont="1" applyFill="1" applyBorder="1" applyAlignment="1">
      <alignment horizontal="center" vertical="center"/>
      <protection/>
    </xf>
    <xf numFmtId="3" fontId="21" fillId="33" borderId="31" xfId="61" applyNumberFormat="1" applyFont="1" applyFill="1" applyBorder="1" applyAlignment="1">
      <alignment vertical="center"/>
      <protection/>
    </xf>
    <xf numFmtId="0" fontId="42" fillId="0" borderId="22" xfId="0" applyFont="1" applyBorder="1" applyAlignment="1">
      <alignment horizontal="left"/>
    </xf>
    <xf numFmtId="49" fontId="66" fillId="34" borderId="21" xfId="0" applyNumberFormat="1" applyFont="1" applyFill="1" applyBorder="1" applyAlignment="1">
      <alignment vertical="center" wrapText="1"/>
    </xf>
    <xf numFmtId="0" fontId="66" fillId="34" borderId="22" xfId="0" applyFont="1" applyFill="1" applyBorder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Alignment="1">
      <alignment/>
    </xf>
    <xf numFmtId="0" fontId="16" fillId="0" borderId="0" xfId="0" applyFont="1" applyBorder="1" applyAlignment="1">
      <alignment/>
    </xf>
    <xf numFmtId="3" fontId="49" fillId="0" borderId="101" xfId="0" applyNumberFormat="1" applyFont="1" applyBorder="1" applyAlignment="1">
      <alignment/>
    </xf>
    <xf numFmtId="3" fontId="20" fillId="0" borderId="101" xfId="0" applyNumberFormat="1" applyFont="1" applyBorder="1" applyAlignment="1">
      <alignment/>
    </xf>
    <xf numFmtId="3" fontId="47" fillId="0" borderId="101" xfId="0" applyNumberFormat="1" applyFont="1" applyBorder="1" applyAlignment="1">
      <alignment/>
    </xf>
    <xf numFmtId="3" fontId="52" fillId="0" borderId="101" xfId="0" applyNumberFormat="1" applyFont="1" applyBorder="1" applyAlignment="1">
      <alignment/>
    </xf>
    <xf numFmtId="3" fontId="54" fillId="0" borderId="101" xfId="0" applyNumberFormat="1" applyFont="1" applyBorder="1" applyAlignment="1">
      <alignment/>
    </xf>
    <xf numFmtId="3" fontId="56" fillId="0" borderId="101" xfId="0" applyNumberFormat="1" applyFont="1" applyBorder="1" applyAlignment="1">
      <alignment/>
    </xf>
    <xf numFmtId="3" fontId="19" fillId="0" borderId="101" xfId="0" applyNumberFormat="1" applyFont="1" applyBorder="1" applyAlignment="1">
      <alignment/>
    </xf>
    <xf numFmtId="3" fontId="15" fillId="0" borderId="101" xfId="0" applyNumberFormat="1" applyFont="1" applyBorder="1" applyAlignment="1">
      <alignment/>
    </xf>
    <xf numFmtId="0" fontId="16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22" fillId="0" borderId="0" xfId="59" applyFont="1" applyBorder="1" applyAlignment="1">
      <alignment horizontal="left" wrapText="1"/>
      <protection/>
    </xf>
    <xf numFmtId="0" fontId="22" fillId="0" borderId="55" xfId="59" applyFont="1" applyBorder="1" applyAlignment="1">
      <alignment horizontal="left"/>
      <protection/>
    </xf>
    <xf numFmtId="0" fontId="22" fillId="0" borderId="54" xfId="59" applyFont="1" applyBorder="1" applyAlignment="1">
      <alignment horizontal="left"/>
      <protection/>
    </xf>
    <xf numFmtId="0" fontId="18" fillId="0" borderId="52" xfId="0" applyFont="1" applyBorder="1" applyAlignment="1">
      <alignment horizontal="right"/>
    </xf>
    <xf numFmtId="0" fontId="48" fillId="0" borderId="17" xfId="58" applyFont="1" applyBorder="1" applyAlignment="1">
      <alignment horizontal="left" wrapText="1"/>
      <protection/>
    </xf>
    <xf numFmtId="3" fontId="19" fillId="0" borderId="101" xfId="58" applyNumberFormat="1" applyFont="1" applyBorder="1">
      <alignment/>
      <protection/>
    </xf>
    <xf numFmtId="3" fontId="47" fillId="0" borderId="101" xfId="58" applyNumberFormat="1" applyFont="1" applyBorder="1">
      <alignment/>
      <protection/>
    </xf>
    <xf numFmtId="0" fontId="42" fillId="0" borderId="0" xfId="0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/>
    </xf>
    <xf numFmtId="0" fontId="43" fillId="0" borderId="52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49" fontId="42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6" fillId="0" borderId="0" xfId="0" applyNumberFormat="1" applyFont="1" applyFill="1" applyAlignment="1">
      <alignment vertical="center"/>
    </xf>
    <xf numFmtId="49" fontId="16" fillId="0" borderId="21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vertical="center" wrapText="1"/>
    </xf>
    <xf numFmtId="3" fontId="16" fillId="0" borderId="17" xfId="0" applyNumberFormat="1" applyFont="1" applyFill="1" applyBorder="1" applyAlignment="1">
      <alignment vertical="center"/>
    </xf>
    <xf numFmtId="3" fontId="16" fillId="0" borderId="22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vertical="center"/>
    </xf>
    <xf numFmtId="49" fontId="16" fillId="0" borderId="43" xfId="0" applyNumberFormat="1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vertical="center" wrapText="1"/>
    </xf>
    <xf numFmtId="3" fontId="16" fillId="0" borderId="25" xfId="0" applyNumberFormat="1" applyFont="1" applyFill="1" applyBorder="1" applyAlignment="1">
      <alignment vertical="center"/>
    </xf>
    <xf numFmtId="3" fontId="17" fillId="0" borderId="41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9" fontId="17" fillId="0" borderId="0" xfId="0" applyNumberFormat="1" applyFont="1" applyFill="1" applyAlignment="1">
      <alignment vertical="center"/>
    </xf>
    <xf numFmtId="49" fontId="17" fillId="0" borderId="99" xfId="0" applyNumberFormat="1" applyFont="1" applyFill="1" applyBorder="1" applyAlignment="1">
      <alignment horizontal="center" vertical="center"/>
    </xf>
    <xf numFmtId="0" fontId="17" fillId="0" borderId="91" xfId="0" applyFont="1" applyFill="1" applyBorder="1" applyAlignment="1">
      <alignment vertical="center"/>
    </xf>
    <xf numFmtId="3" fontId="17" fillId="0" borderId="102" xfId="0" applyNumberFormat="1" applyFont="1" applyFill="1" applyBorder="1" applyAlignment="1">
      <alignment vertical="center"/>
    </xf>
    <xf numFmtId="3" fontId="17" fillId="0" borderId="103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" fontId="108" fillId="0" borderId="37" xfId="60" applyNumberFormat="1" applyFont="1" applyFill="1" applyBorder="1" applyAlignment="1">
      <alignment vertical="center" wrapText="1"/>
      <protection/>
    </xf>
    <xf numFmtId="3" fontId="108" fillId="0" borderId="38" xfId="60" applyNumberFormat="1" applyFont="1" applyFill="1" applyBorder="1" applyAlignment="1">
      <alignment vertical="center" wrapText="1"/>
      <protection/>
    </xf>
    <xf numFmtId="3" fontId="108" fillId="0" borderId="21" xfId="60" applyNumberFormat="1" applyFont="1" applyFill="1" applyBorder="1" applyAlignment="1">
      <alignment vertical="center" wrapText="1"/>
      <protection/>
    </xf>
    <xf numFmtId="3" fontId="108" fillId="0" borderId="22" xfId="60" applyNumberFormat="1" applyFont="1" applyFill="1" applyBorder="1" applyAlignment="1">
      <alignment vertical="center" wrapText="1"/>
      <protection/>
    </xf>
    <xf numFmtId="3" fontId="108" fillId="0" borderId="21" xfId="60" applyNumberFormat="1" applyFont="1" applyFill="1" applyBorder="1" applyAlignment="1">
      <alignment vertical="center"/>
      <protection/>
    </xf>
    <xf numFmtId="3" fontId="108" fillId="0" borderId="22" xfId="60" applyNumberFormat="1" applyFont="1" applyFill="1" applyBorder="1" applyAlignment="1">
      <alignment vertical="center"/>
      <protection/>
    </xf>
    <xf numFmtId="3" fontId="108" fillId="0" borderId="39" xfId="60" applyNumberFormat="1" applyFont="1" applyFill="1" applyBorder="1" applyAlignment="1">
      <alignment vertical="center" wrapText="1"/>
      <protection/>
    </xf>
    <xf numFmtId="3" fontId="108" fillId="0" borderId="17" xfId="60" applyNumberFormat="1" applyFont="1" applyFill="1" applyBorder="1" applyAlignment="1">
      <alignment vertical="center" wrapText="1"/>
      <protection/>
    </xf>
    <xf numFmtId="3" fontId="108" fillId="35" borderId="17" xfId="60" applyNumberFormat="1" applyFont="1" applyFill="1" applyBorder="1" applyAlignment="1">
      <alignment horizontal="right" vertical="center" wrapText="1"/>
      <protection/>
    </xf>
    <xf numFmtId="3" fontId="108" fillId="0" borderId="17" xfId="60" applyNumberFormat="1" applyFont="1" applyFill="1" applyBorder="1" applyAlignment="1">
      <alignment vertical="center"/>
      <protection/>
    </xf>
    <xf numFmtId="3" fontId="60" fillId="0" borderId="103" xfId="60" applyNumberFormat="1" applyFont="1" applyFill="1" applyBorder="1" applyAlignment="1">
      <alignment vertical="center"/>
      <protection/>
    </xf>
    <xf numFmtId="3" fontId="60" fillId="0" borderId="102" xfId="60" applyNumberFormat="1" applyFont="1" applyFill="1" applyBorder="1" applyAlignment="1">
      <alignment vertical="center"/>
      <protection/>
    </xf>
    <xf numFmtId="3" fontId="60" fillId="0" borderId="104" xfId="60" applyNumberFormat="1" applyFont="1" applyFill="1" applyBorder="1" applyAlignment="1">
      <alignment vertical="center"/>
      <protection/>
    </xf>
    <xf numFmtId="3" fontId="108" fillId="0" borderId="43" xfId="60" applyNumberFormat="1" applyFont="1" applyFill="1" applyBorder="1" applyAlignment="1">
      <alignment vertical="center"/>
      <protection/>
    </xf>
    <xf numFmtId="3" fontId="108" fillId="0" borderId="42" xfId="60" applyNumberFormat="1" applyFont="1" applyFill="1" applyBorder="1" applyAlignment="1">
      <alignment vertical="center"/>
      <protection/>
    </xf>
    <xf numFmtId="3" fontId="43" fillId="0" borderId="25" xfId="60" applyNumberFormat="1" applyFont="1" applyFill="1" applyBorder="1" applyAlignment="1">
      <alignment vertical="center"/>
      <protection/>
    </xf>
    <xf numFmtId="3" fontId="42" fillId="0" borderId="25" xfId="60" applyNumberFormat="1" applyFont="1" applyFill="1" applyBorder="1" applyAlignment="1">
      <alignment vertical="center"/>
      <protection/>
    </xf>
    <xf numFmtId="3" fontId="20" fillId="0" borderId="105" xfId="60" applyNumberFormat="1" applyFont="1" applyFill="1" applyBorder="1" applyAlignment="1">
      <alignment vertical="center"/>
      <protection/>
    </xf>
    <xf numFmtId="3" fontId="22" fillId="0" borderId="46" xfId="59" applyNumberFormat="1" applyFont="1" applyBorder="1" applyAlignment="1">
      <alignment vertical="center"/>
      <protection/>
    </xf>
    <xf numFmtId="3" fontId="46" fillId="0" borderId="81" xfId="59" applyNumberFormat="1" applyFont="1" applyBorder="1">
      <alignment/>
      <protection/>
    </xf>
    <xf numFmtId="166" fontId="6" fillId="0" borderId="40" xfId="0" applyNumberFormat="1" applyFont="1" applyFill="1" applyBorder="1" applyAlignment="1">
      <alignment vertical="center"/>
    </xf>
    <xf numFmtId="166" fontId="6" fillId="0" borderId="23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14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3" fontId="22" fillId="0" borderId="59" xfId="59" applyNumberFormat="1" applyFont="1" applyBorder="1" applyAlignment="1">
      <alignment vertical="center"/>
      <protection/>
    </xf>
    <xf numFmtId="3" fontId="22" fillId="0" borderId="98" xfId="59" applyNumberFormat="1" applyFont="1" applyBorder="1" applyAlignment="1">
      <alignment vertical="center"/>
      <protection/>
    </xf>
    <xf numFmtId="3" fontId="22" fillId="0" borderId="106" xfId="59" applyNumberFormat="1" applyFont="1" applyBorder="1" applyAlignment="1">
      <alignment vertical="center"/>
      <protection/>
    </xf>
    <xf numFmtId="3" fontId="22" fillId="0" borderId="0" xfId="59" applyNumberFormat="1" applyFont="1" applyFill="1" applyBorder="1" applyAlignment="1">
      <alignment vertical="center"/>
      <protection/>
    </xf>
    <xf numFmtId="0" fontId="22" fillId="36" borderId="93" xfId="59" applyFont="1" applyFill="1" applyBorder="1" applyAlignment="1">
      <alignment horizontal="left" vertical="center" wrapText="1"/>
      <protection/>
    </xf>
    <xf numFmtId="3" fontId="19" fillId="36" borderId="107" xfId="59" applyNumberFormat="1" applyFont="1" applyFill="1" applyBorder="1" applyAlignment="1">
      <alignment horizontal="right" vertical="center"/>
      <protection/>
    </xf>
    <xf numFmtId="3" fontId="19" fillId="36" borderId="95" xfId="59" applyNumberFormat="1" applyFont="1" applyFill="1" applyBorder="1" applyAlignment="1">
      <alignment vertical="center"/>
      <protection/>
    </xf>
    <xf numFmtId="3" fontId="19" fillId="36" borderId="92" xfId="59" applyNumberFormat="1" applyFont="1" applyFill="1" applyBorder="1" applyAlignment="1">
      <alignment vertical="center"/>
      <protection/>
    </xf>
    <xf numFmtId="0" fontId="22" fillId="36" borderId="108" xfId="59" applyFont="1" applyFill="1" applyBorder="1" applyAlignment="1">
      <alignment horizontal="left" vertical="center"/>
      <protection/>
    </xf>
    <xf numFmtId="3" fontId="15" fillId="36" borderId="94" xfId="59" applyNumberFormat="1" applyFont="1" applyFill="1" applyBorder="1" applyAlignment="1">
      <alignment horizontal="right" vertical="center"/>
      <protection/>
    </xf>
    <xf numFmtId="3" fontId="15" fillId="36" borderId="109" xfId="59" applyNumberFormat="1" applyFont="1" applyFill="1" applyBorder="1" applyAlignment="1">
      <alignment horizontal="right" vertical="center"/>
      <protection/>
    </xf>
    <xf numFmtId="3" fontId="60" fillId="36" borderId="95" xfId="59" applyNumberFormat="1" applyFont="1" applyFill="1" applyBorder="1" applyAlignment="1">
      <alignment horizontal="right" vertical="center"/>
      <protection/>
    </xf>
    <xf numFmtId="3" fontId="60" fillId="36" borderId="107" xfId="59" applyNumberFormat="1" applyFont="1" applyFill="1" applyBorder="1" applyAlignment="1">
      <alignment horizontal="right" vertical="center"/>
      <protection/>
    </xf>
    <xf numFmtId="3" fontId="60" fillId="36" borderId="110" xfId="59" applyNumberFormat="1" applyFont="1" applyFill="1" applyBorder="1" applyAlignment="1">
      <alignment vertical="center"/>
      <protection/>
    </xf>
    <xf numFmtId="3" fontId="60" fillId="36" borderId="108" xfId="59" applyNumberFormat="1" applyFont="1" applyFill="1" applyBorder="1" applyAlignment="1">
      <alignment vertical="center"/>
      <protection/>
    </xf>
    <xf numFmtId="3" fontId="60" fillId="36" borderId="107" xfId="59" applyNumberFormat="1" applyFont="1" applyFill="1" applyBorder="1" applyAlignment="1">
      <alignment vertical="center"/>
      <protection/>
    </xf>
    <xf numFmtId="0" fontId="18" fillId="0" borderId="0" xfId="0" applyFont="1" applyBorder="1" applyAlignment="1">
      <alignment horizontal="center"/>
    </xf>
    <xf numFmtId="0" fontId="19" fillId="0" borderId="111" xfId="59" applyFont="1" applyBorder="1" applyAlignment="1">
      <alignment horizontal="center" vertical="center"/>
      <protection/>
    </xf>
    <xf numFmtId="3" fontId="15" fillId="0" borderId="88" xfId="59" applyNumberFormat="1" applyFont="1" applyBorder="1">
      <alignment/>
      <protection/>
    </xf>
    <xf numFmtId="3" fontId="46" fillId="0" borderId="96" xfId="59" applyNumberFormat="1" applyFont="1" applyBorder="1">
      <alignment/>
      <protection/>
    </xf>
    <xf numFmtId="3" fontId="60" fillId="0" borderId="70" xfId="59" applyNumberFormat="1" applyFont="1" applyBorder="1" applyAlignment="1">
      <alignment horizontal="right" vertical="center"/>
      <protection/>
    </xf>
    <xf numFmtId="0" fontId="15" fillId="0" borderId="112" xfId="59" applyFont="1" applyBorder="1" applyAlignment="1">
      <alignment horizontal="right" vertical="center"/>
      <protection/>
    </xf>
    <xf numFmtId="0" fontId="19" fillId="0" borderId="48" xfId="59" applyFont="1" applyBorder="1" applyAlignment="1">
      <alignment horizontal="center" vertical="center"/>
      <protection/>
    </xf>
    <xf numFmtId="0" fontId="19" fillId="0" borderId="113" xfId="60" applyFont="1" applyFill="1" applyBorder="1" applyAlignment="1">
      <alignment horizontal="center" vertical="center" wrapText="1"/>
      <protection/>
    </xf>
    <xf numFmtId="0" fontId="19" fillId="0" borderId="114" xfId="59" applyFont="1" applyBorder="1" applyAlignment="1">
      <alignment horizontal="center" vertical="center"/>
      <protection/>
    </xf>
    <xf numFmtId="0" fontId="19" fillId="0" borderId="115" xfId="59" applyFont="1" applyBorder="1" applyAlignment="1">
      <alignment horizontal="center" vertical="center"/>
      <protection/>
    </xf>
    <xf numFmtId="0" fontId="23" fillId="0" borderId="74" xfId="59" applyFont="1" applyBorder="1" applyAlignment="1">
      <alignment horizontal="right" vertical="center"/>
      <protection/>
    </xf>
    <xf numFmtId="3" fontId="19" fillId="0" borderId="76" xfId="59" applyNumberFormat="1" applyFont="1" applyBorder="1" applyAlignment="1">
      <alignment horizontal="right" vertical="center"/>
      <protection/>
    </xf>
    <xf numFmtId="3" fontId="19" fillId="0" borderId="75" xfId="59" applyNumberFormat="1" applyFont="1" applyBorder="1" applyAlignment="1">
      <alignment vertical="center"/>
      <protection/>
    </xf>
    <xf numFmtId="3" fontId="19" fillId="0" borderId="66" xfId="59" applyNumberFormat="1" applyFont="1" applyBorder="1" applyAlignment="1">
      <alignment vertical="center"/>
      <protection/>
    </xf>
    <xf numFmtId="3" fontId="61" fillId="0" borderId="75" xfId="59" applyNumberFormat="1" applyFont="1" applyBorder="1" applyAlignment="1">
      <alignment vertical="center"/>
      <protection/>
    </xf>
    <xf numFmtId="3" fontId="23" fillId="0" borderId="75" xfId="59" applyNumberFormat="1" applyFont="1" applyFill="1" applyBorder="1" applyAlignment="1">
      <alignment vertical="center"/>
      <protection/>
    </xf>
    <xf numFmtId="3" fontId="15" fillId="0" borderId="78" xfId="59" applyNumberFormat="1" applyFont="1" applyBorder="1" applyAlignment="1">
      <alignment vertical="center"/>
      <protection/>
    </xf>
    <xf numFmtId="3" fontId="60" fillId="0" borderId="74" xfId="59" applyNumberFormat="1" applyFont="1" applyBorder="1" applyAlignment="1">
      <alignment vertical="center"/>
      <protection/>
    </xf>
    <xf numFmtId="3" fontId="60" fillId="0" borderId="76" xfId="59" applyNumberFormat="1" applyFont="1" applyBorder="1" applyAlignment="1">
      <alignment vertical="center"/>
      <protection/>
    </xf>
    <xf numFmtId="3" fontId="60" fillId="0" borderId="80" xfId="59" applyNumberFormat="1" applyFont="1" applyBorder="1" applyAlignment="1">
      <alignment vertical="center"/>
      <protection/>
    </xf>
    <xf numFmtId="0" fontId="19" fillId="0" borderId="116" xfId="59" applyFont="1" applyBorder="1" applyAlignment="1">
      <alignment horizontal="center"/>
      <protection/>
    </xf>
    <xf numFmtId="0" fontId="19" fillId="0" borderId="116" xfId="59" applyFont="1" applyBorder="1" applyAlignment="1">
      <alignment horizontal="center" vertical="center"/>
      <protection/>
    </xf>
    <xf numFmtId="3" fontId="13" fillId="0" borderId="21" xfId="61" applyNumberFormat="1" applyFont="1" applyFill="1" applyBorder="1" applyAlignment="1">
      <alignment vertical="center"/>
      <protection/>
    </xf>
    <xf numFmtId="3" fontId="13" fillId="0" borderId="22" xfId="61" applyNumberFormat="1" applyFont="1" applyFill="1" applyBorder="1" applyAlignment="1">
      <alignment vertical="center"/>
      <protection/>
    </xf>
    <xf numFmtId="3" fontId="13" fillId="0" borderId="23" xfId="61" applyNumberFormat="1" applyFont="1" applyBorder="1" applyAlignment="1">
      <alignment vertical="center"/>
      <protection/>
    </xf>
    <xf numFmtId="0" fontId="22" fillId="0" borderId="67" xfId="59" applyFont="1" applyBorder="1" applyAlignment="1">
      <alignment horizontal="left" vertical="center"/>
      <protection/>
    </xf>
    <xf numFmtId="0" fontId="22" fillId="0" borderId="0" xfId="59" applyFont="1" applyBorder="1" applyAlignment="1">
      <alignment horizontal="left" vertical="center"/>
      <protection/>
    </xf>
    <xf numFmtId="3" fontId="13" fillId="35" borderId="23" xfId="61" applyNumberFormat="1" applyFill="1" applyBorder="1" applyAlignment="1">
      <alignment vertical="center"/>
      <protection/>
    </xf>
    <xf numFmtId="3" fontId="17" fillId="0" borderId="104" xfId="0" applyNumberFormat="1" applyFont="1" applyFill="1" applyBorder="1" applyAlignment="1">
      <alignment vertical="center"/>
    </xf>
    <xf numFmtId="0" fontId="22" fillId="0" borderId="0" xfId="59" applyFont="1" applyBorder="1" applyAlignment="1">
      <alignment horizontal="left" vertical="center" wrapText="1"/>
      <protection/>
    </xf>
    <xf numFmtId="3" fontId="15" fillId="0" borderId="117" xfId="59" applyNumberFormat="1" applyFont="1" applyBorder="1" applyAlignment="1">
      <alignment horizontal="right" vertical="center"/>
      <protection/>
    </xf>
    <xf numFmtId="3" fontId="15" fillId="0" borderId="118" xfId="59" applyNumberFormat="1" applyFont="1" applyBorder="1" applyAlignment="1">
      <alignment horizontal="right" vertical="center"/>
      <protection/>
    </xf>
    <xf numFmtId="3" fontId="43" fillId="35" borderId="17" xfId="60" applyNumberFormat="1" applyFont="1" applyFill="1" applyBorder="1" applyAlignment="1">
      <alignment horizontal="right" vertical="center" wrapText="1"/>
      <protection/>
    </xf>
    <xf numFmtId="3" fontId="43" fillId="0" borderId="43" xfId="60" applyNumberFormat="1" applyFont="1" applyFill="1" applyBorder="1" applyAlignment="1">
      <alignment vertical="center"/>
      <protection/>
    </xf>
    <xf numFmtId="3" fontId="43" fillId="0" borderId="42" xfId="60" applyNumberFormat="1" applyFont="1" applyFill="1" applyBorder="1" applyAlignment="1">
      <alignment vertical="center"/>
      <protection/>
    </xf>
    <xf numFmtId="49" fontId="42" fillId="0" borderId="29" xfId="60" applyNumberFormat="1" applyFont="1" applyFill="1" applyBorder="1" applyAlignment="1">
      <alignment horizontal="center" vertical="center"/>
      <protection/>
    </xf>
    <xf numFmtId="0" fontId="18" fillId="0" borderId="70" xfId="59" applyFont="1" applyBorder="1">
      <alignment/>
      <protection/>
    </xf>
    <xf numFmtId="0" fontId="0" fillId="0" borderId="0" xfId="0" applyFont="1" applyAlignment="1">
      <alignment/>
    </xf>
    <xf numFmtId="3" fontId="15" fillId="0" borderId="119" xfId="59" applyNumberFormat="1" applyFont="1" applyBorder="1" applyAlignment="1">
      <alignment horizontal="right" vertical="center"/>
      <protection/>
    </xf>
    <xf numFmtId="3" fontId="15" fillId="0" borderId="120" xfId="59" applyNumberFormat="1" applyFont="1" applyBorder="1" applyAlignment="1">
      <alignment horizontal="right" vertical="center"/>
      <protection/>
    </xf>
    <xf numFmtId="3" fontId="19" fillId="36" borderId="107" xfId="59" applyNumberFormat="1" applyFont="1" applyFill="1" applyBorder="1" applyAlignment="1">
      <alignment vertical="center"/>
      <protection/>
    </xf>
    <xf numFmtId="3" fontId="19" fillId="36" borderId="121" xfId="59" applyNumberFormat="1" applyFont="1" applyFill="1" applyBorder="1" applyAlignment="1">
      <alignment vertical="center"/>
      <protection/>
    </xf>
    <xf numFmtId="3" fontId="19" fillId="36" borderId="122" xfId="59" applyNumberFormat="1" applyFont="1" applyFill="1" applyBorder="1" applyAlignment="1">
      <alignment vertical="center"/>
      <protection/>
    </xf>
    <xf numFmtId="3" fontId="109" fillId="0" borderId="22" xfId="58" applyNumberFormat="1" applyFont="1" applyBorder="1">
      <alignment/>
      <protection/>
    </xf>
    <xf numFmtId="0" fontId="43" fillId="0" borderId="22" xfId="0" applyFont="1" applyBorder="1" applyAlignment="1">
      <alignment vertical="center"/>
    </xf>
    <xf numFmtId="3" fontId="110" fillId="0" borderId="22" xfId="0" applyNumberFormat="1" applyFont="1" applyBorder="1" applyAlignment="1">
      <alignment/>
    </xf>
    <xf numFmtId="49" fontId="26" fillId="35" borderId="21" xfId="0" applyNumberFormat="1" applyFont="1" applyFill="1" applyBorder="1" applyAlignment="1">
      <alignment/>
    </xf>
    <xf numFmtId="0" fontId="26" fillId="35" borderId="22" xfId="0" applyFont="1" applyFill="1" applyBorder="1" applyAlignment="1">
      <alignment/>
    </xf>
    <xf numFmtId="0" fontId="0" fillId="35" borderId="0" xfId="0" applyFill="1" applyAlignment="1">
      <alignment/>
    </xf>
    <xf numFmtId="49" fontId="21" fillId="33" borderId="21" xfId="61" applyNumberFormat="1" applyFont="1" applyFill="1" applyBorder="1" applyAlignment="1">
      <alignment horizontal="center" vertical="center"/>
      <protection/>
    </xf>
    <xf numFmtId="49" fontId="21" fillId="0" borderId="21" xfId="61" applyNumberFormat="1" applyFont="1" applyBorder="1" applyAlignment="1">
      <alignment vertical="center"/>
      <protection/>
    </xf>
    <xf numFmtId="49" fontId="13" fillId="0" borderId="21" xfId="61" applyNumberFormat="1" applyBorder="1" applyAlignment="1">
      <alignment vertical="center"/>
      <protection/>
    </xf>
    <xf numFmtId="49" fontId="21" fillId="0" borderId="21" xfId="61" applyNumberFormat="1" applyFont="1" applyBorder="1" applyAlignment="1">
      <alignment horizontal="center" vertical="center"/>
      <protection/>
    </xf>
    <xf numFmtId="3" fontId="39" fillId="33" borderId="29" xfId="61" applyNumberFormat="1" applyFont="1" applyFill="1" applyBorder="1" applyAlignment="1">
      <alignment horizontal="center" vertical="center"/>
      <protection/>
    </xf>
    <xf numFmtId="3" fontId="39" fillId="33" borderId="18" xfId="61" applyNumberFormat="1" applyFont="1" applyFill="1" applyBorder="1" applyAlignment="1">
      <alignment horizontal="center" vertical="center"/>
      <protection/>
    </xf>
    <xf numFmtId="3" fontId="39" fillId="33" borderId="34" xfId="61" applyNumberFormat="1" applyFont="1" applyFill="1" applyBorder="1" applyAlignment="1">
      <alignment vertical="center"/>
      <protection/>
    </xf>
    <xf numFmtId="3" fontId="39" fillId="33" borderId="20" xfId="61" applyNumberFormat="1" applyFont="1" applyFill="1" applyBorder="1" applyAlignment="1">
      <alignment horizontal="center" vertical="center"/>
      <protection/>
    </xf>
    <xf numFmtId="3" fontId="40" fillId="33" borderId="123" xfId="61" applyNumberFormat="1" applyFont="1" applyFill="1" applyBorder="1" applyAlignment="1">
      <alignment vertical="center"/>
      <protection/>
    </xf>
    <xf numFmtId="166" fontId="6" fillId="35" borderId="40" xfId="0" applyNumberFormat="1" applyFont="1" applyFill="1" applyBorder="1" applyAlignment="1">
      <alignment vertical="center"/>
    </xf>
    <xf numFmtId="0" fontId="6" fillId="35" borderId="0" xfId="0" applyFont="1" applyFill="1" applyAlignment="1">
      <alignment vertical="center"/>
    </xf>
    <xf numFmtId="3" fontId="22" fillId="35" borderId="58" xfId="59" applyNumberFormat="1" applyFont="1" applyFill="1" applyBorder="1" applyAlignment="1">
      <alignment vertical="center"/>
      <protection/>
    </xf>
    <xf numFmtId="3" fontId="22" fillId="35" borderId="58" xfId="59" applyNumberFormat="1" applyFont="1" applyFill="1" applyBorder="1" applyAlignment="1">
      <alignment horizontal="right" vertical="center"/>
      <protection/>
    </xf>
    <xf numFmtId="0" fontId="18" fillId="0" borderId="114" xfId="59" applyFont="1" applyBorder="1">
      <alignment/>
      <protection/>
    </xf>
    <xf numFmtId="0" fontId="18" fillId="0" borderId="116" xfId="59" applyFont="1" applyBorder="1">
      <alignment/>
      <protection/>
    </xf>
    <xf numFmtId="0" fontId="18" fillId="0" borderId="104" xfId="59" applyFont="1" applyBorder="1">
      <alignment/>
      <protection/>
    </xf>
    <xf numFmtId="3" fontId="22" fillId="35" borderId="59" xfId="59" applyNumberFormat="1" applyFont="1" applyFill="1" applyBorder="1" applyAlignment="1">
      <alignment/>
      <protection/>
    </xf>
    <xf numFmtId="3" fontId="22" fillId="35" borderId="58" xfId="59" applyNumberFormat="1" applyFont="1" applyFill="1" applyBorder="1" applyAlignment="1">
      <alignment/>
      <protection/>
    </xf>
    <xf numFmtId="3" fontId="22" fillId="35" borderId="0" xfId="59" applyNumberFormat="1" applyFont="1" applyFill="1" applyBorder="1" applyAlignment="1">
      <alignment vertical="center"/>
      <protection/>
    </xf>
    <xf numFmtId="3" fontId="48" fillId="0" borderId="22" xfId="58" applyNumberFormat="1" applyFont="1" applyBorder="1" applyAlignment="1">
      <alignment vertical="center"/>
      <protection/>
    </xf>
    <xf numFmtId="3" fontId="47" fillId="0" borderId="22" xfId="58" applyNumberFormat="1" applyFont="1" applyBorder="1" applyAlignment="1">
      <alignment vertical="center"/>
      <protection/>
    </xf>
    <xf numFmtId="3" fontId="18" fillId="0" borderId="22" xfId="58" applyNumberFormat="1" applyFont="1" applyBorder="1">
      <alignment/>
      <protection/>
    </xf>
    <xf numFmtId="3" fontId="43" fillId="0" borderId="22" xfId="0" applyNumberFormat="1" applyFont="1" applyBorder="1" applyAlignment="1">
      <alignment vertical="center"/>
    </xf>
    <xf numFmtId="3" fontId="47" fillId="0" borderId="22" xfId="0" applyNumberFormat="1" applyFont="1" applyBorder="1" applyAlignment="1">
      <alignment vertical="center"/>
    </xf>
    <xf numFmtId="0" fontId="18" fillId="0" borderId="14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6" xfId="0" applyFont="1" applyBorder="1" applyAlignment="1">
      <alignment/>
    </xf>
    <xf numFmtId="3" fontId="29" fillId="0" borderId="22" xfId="42" applyNumberFormat="1" applyFont="1" applyBorder="1" applyAlignment="1">
      <alignment horizontal="right" vertical="center"/>
    </xf>
    <xf numFmtId="0" fontId="29" fillId="0" borderId="22" xfId="57" applyFont="1" applyBorder="1" applyAlignment="1">
      <alignment vertical="center"/>
      <protection/>
    </xf>
    <xf numFmtId="3" fontId="53" fillId="0" borderId="23" xfId="60" applyNumberFormat="1" applyFont="1" applyFill="1" applyBorder="1" applyAlignment="1">
      <alignment horizontal="left" vertical="center" wrapText="1"/>
      <protection/>
    </xf>
    <xf numFmtId="0" fontId="20" fillId="0" borderId="18" xfId="60" applyFont="1" applyFill="1" applyBorder="1" applyAlignment="1">
      <alignment vertical="center" wrapText="1"/>
      <protection/>
    </xf>
    <xf numFmtId="3" fontId="111" fillId="0" borderId="99" xfId="60" applyNumberFormat="1" applyFont="1" applyFill="1" applyBorder="1" applyAlignment="1">
      <alignment vertical="center"/>
      <protection/>
    </xf>
    <xf numFmtId="3" fontId="111" fillId="0" borderId="102" xfId="60" applyNumberFormat="1" applyFont="1" applyFill="1" applyBorder="1" applyAlignment="1">
      <alignment vertical="center"/>
      <protection/>
    </xf>
    <xf numFmtId="3" fontId="111" fillId="0" borderId="103" xfId="60" applyNumberFormat="1" applyFont="1" applyFill="1" applyBorder="1" applyAlignment="1">
      <alignment vertical="center"/>
      <protection/>
    </xf>
    <xf numFmtId="0" fontId="112" fillId="0" borderId="0" xfId="0" applyFont="1" applyAlignment="1">
      <alignment/>
    </xf>
    <xf numFmtId="3" fontId="112" fillId="0" borderId="0" xfId="0" applyNumberFormat="1" applyFont="1" applyAlignment="1">
      <alignment/>
    </xf>
    <xf numFmtId="3" fontId="111" fillId="0" borderId="114" xfId="60" applyNumberFormat="1" applyFont="1" applyFill="1" applyBorder="1" applyAlignment="1">
      <alignment horizontal="right" vertical="center"/>
      <protection/>
    </xf>
    <xf numFmtId="3" fontId="111" fillId="0" borderId="91" xfId="60" applyNumberFormat="1" applyFont="1" applyFill="1" applyBorder="1" applyAlignment="1">
      <alignment horizontal="right" vertical="center"/>
      <protection/>
    </xf>
    <xf numFmtId="3" fontId="111" fillId="0" borderId="116" xfId="60" applyNumberFormat="1" applyFont="1" applyFill="1" applyBorder="1" applyAlignment="1">
      <alignment horizontal="right" vertical="center"/>
      <protection/>
    </xf>
    <xf numFmtId="3" fontId="111" fillId="0" borderId="44" xfId="60" applyNumberFormat="1" applyFont="1" applyFill="1" applyBorder="1" applyAlignment="1">
      <alignment vertical="center"/>
      <protection/>
    </xf>
    <xf numFmtId="0" fontId="113" fillId="0" borderId="0" xfId="0" applyFont="1" applyAlignment="1">
      <alignment/>
    </xf>
    <xf numFmtId="3" fontId="112" fillId="0" borderId="0" xfId="0" applyNumberFormat="1" applyFont="1" applyAlignment="1">
      <alignment vertical="center"/>
    </xf>
    <xf numFmtId="0" fontId="21" fillId="5" borderId="21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3" fontId="15" fillId="0" borderId="67" xfId="59" applyNumberFormat="1" applyFont="1" applyBorder="1" applyAlignment="1">
      <alignment horizontal="right" vertical="center"/>
      <protection/>
    </xf>
    <xf numFmtId="0" fontId="22" fillId="0" borderId="119" xfId="59" applyFont="1" applyBorder="1" applyAlignment="1">
      <alignment horizontal="left" wrapText="1"/>
      <protection/>
    </xf>
    <xf numFmtId="0" fontId="22" fillId="0" borderId="54" xfId="59" applyFont="1" applyBorder="1" applyAlignment="1">
      <alignment horizontal="left" wrapText="1"/>
      <protection/>
    </xf>
    <xf numFmtId="3" fontId="15" fillId="0" borderId="124" xfId="59" applyNumberFormat="1" applyFont="1" applyBorder="1" applyAlignment="1">
      <alignment horizontal="right" vertical="center"/>
      <protection/>
    </xf>
    <xf numFmtId="0" fontId="22" fillId="0" borderId="54" xfId="59" applyFont="1" applyBorder="1" applyAlignment="1">
      <alignment horizontal="left" vertical="center" wrapText="1"/>
      <protection/>
    </xf>
    <xf numFmtId="0" fontId="22" fillId="0" borderId="55" xfId="59" applyFont="1" applyBorder="1" applyAlignment="1">
      <alignment horizontal="left" vertical="center" wrapText="1"/>
      <protection/>
    </xf>
    <xf numFmtId="3" fontId="19" fillId="0" borderId="32" xfId="59" applyNumberFormat="1" applyFont="1" applyBorder="1" applyAlignment="1">
      <alignment horizontal="right" vertical="center"/>
      <protection/>
    </xf>
    <xf numFmtId="3" fontId="19" fillId="0" borderId="53" xfId="59" applyNumberFormat="1" applyFont="1" applyBorder="1" applyAlignment="1">
      <alignment horizontal="right" vertical="center"/>
      <protection/>
    </xf>
    <xf numFmtId="3" fontId="60" fillId="0" borderId="70" xfId="59" applyNumberFormat="1" applyFont="1" applyBorder="1" applyAlignment="1">
      <alignment horizontal="center" vertical="center"/>
      <protection/>
    </xf>
    <xf numFmtId="0" fontId="22" fillId="0" borderId="59" xfId="59" applyFont="1" applyBorder="1">
      <alignment/>
      <protection/>
    </xf>
    <xf numFmtId="3" fontId="60" fillId="0" borderId="54" xfId="59" applyNumberFormat="1" applyFont="1" applyBorder="1" applyAlignment="1">
      <alignment horizontal="right" vertical="center"/>
      <protection/>
    </xf>
    <xf numFmtId="3" fontId="22" fillId="0" borderId="58" xfId="59" applyNumberFormat="1" applyFont="1" applyBorder="1" applyAlignment="1">
      <alignment horizontal="right" vertical="center"/>
      <protection/>
    </xf>
    <xf numFmtId="0" fontId="22" fillId="0" borderId="67" xfId="59" applyFont="1" applyBorder="1" applyAlignment="1">
      <alignment horizontal="left" vertical="center" wrapText="1"/>
      <protection/>
    </xf>
    <xf numFmtId="0" fontId="22" fillId="0" borderId="50" xfId="59" applyFont="1" applyBorder="1" applyAlignment="1">
      <alignment horizontal="center" vertical="center"/>
      <protection/>
    </xf>
    <xf numFmtId="0" fontId="22" fillId="0" borderId="0" xfId="59" applyFont="1" applyBorder="1" applyAlignment="1">
      <alignment horizontal="center" vertical="center"/>
      <protection/>
    </xf>
    <xf numFmtId="3" fontId="22" fillId="0" borderId="58" xfId="0" applyNumberFormat="1" applyFont="1" applyBorder="1" applyAlignment="1">
      <alignment horizontal="center" vertical="center"/>
    </xf>
    <xf numFmtId="3" fontId="19" fillId="0" borderId="91" xfId="59" applyNumberFormat="1" applyFont="1" applyBorder="1" applyAlignment="1">
      <alignment horizontal="right"/>
      <protection/>
    </xf>
    <xf numFmtId="3" fontId="18" fillId="0" borderId="116" xfId="59" applyNumberFormat="1" applyFont="1" applyBorder="1">
      <alignment/>
      <protection/>
    </xf>
    <xf numFmtId="3" fontId="19" fillId="0" borderId="49" xfId="59" applyNumberFormat="1" applyFont="1" applyBorder="1">
      <alignment/>
      <protection/>
    </xf>
    <xf numFmtId="0" fontId="22" fillId="0" borderId="116" xfId="59" applyFont="1" applyBorder="1" applyAlignment="1">
      <alignment horizontal="left"/>
      <protection/>
    </xf>
    <xf numFmtId="0" fontId="22" fillId="0" borderId="116" xfId="0" applyFont="1" applyFill="1" applyBorder="1" applyAlignment="1">
      <alignment/>
    </xf>
    <xf numFmtId="3" fontId="15" fillId="0" borderId="44" xfId="59" applyNumberFormat="1" applyFont="1" applyBorder="1" applyAlignment="1">
      <alignment horizontal="right" vertical="center"/>
      <protection/>
    </xf>
    <xf numFmtId="0" fontId="22" fillId="0" borderId="114" xfId="59" applyFont="1" applyBorder="1" applyAlignment="1">
      <alignment horizontal="left" vertical="center" wrapText="1"/>
      <protection/>
    </xf>
    <xf numFmtId="0" fontId="22" fillId="0" borderId="116" xfId="59" applyFont="1" applyBorder="1" applyAlignment="1">
      <alignment horizontal="left" vertical="center" wrapText="1"/>
      <protection/>
    </xf>
    <xf numFmtId="3" fontId="22" fillId="0" borderId="104" xfId="59" applyNumberFormat="1" applyFont="1" applyBorder="1" applyAlignment="1">
      <alignment vertical="center"/>
      <protection/>
    </xf>
    <xf numFmtId="3" fontId="22" fillId="0" borderId="116" xfId="59" applyNumberFormat="1" applyFont="1" applyBorder="1" applyAlignment="1">
      <alignment vertical="center"/>
      <protection/>
    </xf>
    <xf numFmtId="3" fontId="15" fillId="0" borderId="125" xfId="59" applyNumberFormat="1" applyFont="1" applyBorder="1" applyAlignment="1">
      <alignment horizontal="right" vertical="center"/>
      <protection/>
    </xf>
    <xf numFmtId="3" fontId="60" fillId="0" borderId="116" xfId="59" applyNumberFormat="1" applyFont="1" applyBorder="1" applyAlignment="1">
      <alignment horizontal="right" vertical="center"/>
      <protection/>
    </xf>
    <xf numFmtId="3" fontId="60" fillId="0" borderId="91" xfId="59" applyNumberFormat="1" applyFont="1" applyBorder="1" applyAlignment="1">
      <alignment horizontal="right" vertical="center"/>
      <protection/>
    </xf>
    <xf numFmtId="3" fontId="60" fillId="0" borderId="49" xfId="59" applyNumberFormat="1" applyFont="1" applyBorder="1" applyAlignment="1">
      <alignment horizontal="right" vertical="center"/>
      <protection/>
    </xf>
    <xf numFmtId="3" fontId="22" fillId="0" borderId="48" xfId="59" applyNumberFormat="1" applyFont="1" applyBorder="1">
      <alignment/>
      <protection/>
    </xf>
    <xf numFmtId="3" fontId="22" fillId="0" borderId="91" xfId="59" applyNumberFormat="1" applyFont="1" applyBorder="1">
      <alignment/>
      <protection/>
    </xf>
    <xf numFmtId="0" fontId="42" fillId="0" borderId="22" xfId="0" applyFont="1" applyBorder="1" applyAlignment="1">
      <alignment horizontal="left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left"/>
    </xf>
    <xf numFmtId="0" fontId="49" fillId="0" borderId="22" xfId="0" applyFont="1" applyBorder="1" applyAlignment="1">
      <alignment horizontal="left"/>
    </xf>
    <xf numFmtId="0" fontId="42" fillId="0" borderId="22" xfId="0" applyFont="1" applyBorder="1" applyAlignment="1">
      <alignment horizontal="left" wrapText="1"/>
    </xf>
    <xf numFmtId="0" fontId="43" fillId="0" borderId="22" xfId="0" applyFont="1" applyBorder="1" applyAlignment="1">
      <alignment horizontal="left" wrapText="1"/>
    </xf>
    <xf numFmtId="0" fontId="43" fillId="0" borderId="14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46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42" fillId="0" borderId="14" xfId="58" applyFont="1" applyBorder="1" applyAlignment="1">
      <alignment horizontal="left" wrapText="1"/>
      <protection/>
    </xf>
    <xf numFmtId="0" fontId="42" fillId="0" borderId="17" xfId="58" applyFont="1" applyBorder="1" applyAlignment="1">
      <alignment horizontal="left" wrapText="1"/>
      <protection/>
    </xf>
    <xf numFmtId="0" fontId="42" fillId="0" borderId="14" xfId="58" applyFont="1" applyBorder="1" applyAlignment="1">
      <alignment horizontal="left"/>
      <protection/>
    </xf>
    <xf numFmtId="0" fontId="42" fillId="0" borderId="17" xfId="58" applyFont="1" applyBorder="1" applyAlignment="1">
      <alignment horizontal="left"/>
      <protection/>
    </xf>
    <xf numFmtId="0" fontId="42" fillId="0" borderId="16" xfId="58" applyFont="1" applyBorder="1" applyAlignment="1">
      <alignment horizontal="left"/>
      <protection/>
    </xf>
    <xf numFmtId="0" fontId="42" fillId="0" borderId="22" xfId="58" applyFont="1" applyBorder="1" applyAlignment="1">
      <alignment horizontal="left"/>
      <protection/>
    </xf>
    <xf numFmtId="0" fontId="19" fillId="0" borderId="14" xfId="58" applyFont="1" applyBorder="1" applyAlignment="1">
      <alignment horizontal="left"/>
      <protection/>
    </xf>
    <xf numFmtId="0" fontId="19" fillId="0" borderId="16" xfId="58" applyFont="1" applyBorder="1" applyAlignment="1">
      <alignment horizontal="left"/>
      <protection/>
    </xf>
    <xf numFmtId="0" fontId="19" fillId="0" borderId="17" xfId="58" applyFont="1" applyBorder="1" applyAlignment="1">
      <alignment horizontal="left"/>
      <protection/>
    </xf>
    <xf numFmtId="0" fontId="43" fillId="0" borderId="14" xfId="58" applyFont="1" applyBorder="1" applyAlignment="1">
      <alignment horizontal="left" wrapText="1"/>
      <protection/>
    </xf>
    <xf numFmtId="0" fontId="43" fillId="0" borderId="17" xfId="58" applyFont="1" applyBorder="1" applyAlignment="1">
      <alignment horizontal="left" wrapText="1"/>
      <protection/>
    </xf>
    <xf numFmtId="0" fontId="18" fillId="0" borderId="0" xfId="58" applyFont="1" applyAlignment="1">
      <alignment horizontal="right" vertical="center"/>
      <protection/>
    </xf>
    <xf numFmtId="0" fontId="45" fillId="0" borderId="0" xfId="58" applyFont="1" applyFill="1" applyAlignment="1">
      <alignment horizontal="center" vertical="center"/>
      <protection/>
    </xf>
    <xf numFmtId="0" fontId="46" fillId="0" borderId="14" xfId="58" applyFont="1" applyFill="1" applyBorder="1" applyAlignment="1">
      <alignment horizontal="center" vertical="center" wrapText="1"/>
      <protection/>
    </xf>
    <xf numFmtId="0" fontId="19" fillId="0" borderId="16" xfId="58" applyFont="1" applyFill="1" applyBorder="1" applyAlignment="1">
      <alignment horizontal="center" vertical="center" wrapText="1"/>
      <protection/>
    </xf>
    <xf numFmtId="0" fontId="19" fillId="0" borderId="17" xfId="58" applyFont="1" applyFill="1" applyBorder="1" applyAlignment="1">
      <alignment horizontal="center" vertical="center" wrapText="1"/>
      <protection/>
    </xf>
    <xf numFmtId="0" fontId="16" fillId="0" borderId="14" xfId="58" applyFont="1" applyFill="1" applyBorder="1" applyAlignment="1">
      <alignment horizontal="center" vertical="center" wrapText="1"/>
      <protection/>
    </xf>
    <xf numFmtId="0" fontId="16" fillId="0" borderId="16" xfId="58" applyFont="1" applyBorder="1" applyAlignment="1">
      <alignment horizontal="center" vertical="center" wrapText="1"/>
      <protection/>
    </xf>
    <xf numFmtId="0" fontId="16" fillId="0" borderId="17" xfId="58" applyFont="1" applyBorder="1" applyAlignment="1">
      <alignment horizontal="center" vertical="center" wrapText="1"/>
      <protection/>
    </xf>
    <xf numFmtId="0" fontId="19" fillId="0" borderId="22" xfId="58" applyFont="1" applyBorder="1" applyAlignment="1">
      <alignment horizontal="left"/>
      <protection/>
    </xf>
    <xf numFmtId="0" fontId="42" fillId="0" borderId="14" xfId="58" applyFont="1" applyBorder="1" applyAlignment="1">
      <alignment horizontal="left" vertical="center" wrapText="1"/>
      <protection/>
    </xf>
    <xf numFmtId="0" fontId="42" fillId="0" borderId="17" xfId="58" applyFont="1" applyBorder="1" applyAlignment="1">
      <alignment horizontal="left" vertical="center" wrapText="1"/>
      <protection/>
    </xf>
    <xf numFmtId="0" fontId="15" fillId="0" borderId="14" xfId="58" applyFont="1" applyBorder="1" applyAlignment="1">
      <alignment horizontal="left"/>
      <protection/>
    </xf>
    <xf numFmtId="0" fontId="15" fillId="0" borderId="16" xfId="58" applyFont="1" applyBorder="1" applyAlignment="1">
      <alignment horizontal="left"/>
      <protection/>
    </xf>
    <xf numFmtId="0" fontId="15" fillId="0" borderId="17" xfId="58" applyFont="1" applyBorder="1" applyAlignment="1">
      <alignment horizontal="left"/>
      <protection/>
    </xf>
    <xf numFmtId="0" fontId="20" fillId="0" borderId="14" xfId="57" applyFont="1" applyBorder="1" applyAlignment="1">
      <alignment horizontal="center" vertical="center" wrapText="1"/>
      <protection/>
    </xf>
    <xf numFmtId="0" fontId="20" fillId="0" borderId="16" xfId="57" applyFont="1" applyBorder="1" applyAlignment="1">
      <alignment horizontal="center" vertical="center" wrapText="1"/>
      <protection/>
    </xf>
    <xf numFmtId="0" fontId="20" fillId="0" borderId="17" xfId="57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right" vertical="center"/>
    </xf>
    <xf numFmtId="0" fontId="41" fillId="0" borderId="0" xfId="0" applyFont="1" applyAlignment="1">
      <alignment horizontal="right"/>
    </xf>
    <xf numFmtId="0" fontId="15" fillId="0" borderId="0" xfId="57" applyFont="1" applyAlignment="1">
      <alignment horizontal="center"/>
      <protection/>
    </xf>
    <xf numFmtId="0" fontId="15" fillId="0" borderId="22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0" fontId="17" fillId="0" borderId="14" xfId="57" applyFont="1" applyBorder="1" applyAlignment="1">
      <alignment horizontal="right" vertical="center"/>
      <protection/>
    </xf>
    <xf numFmtId="0" fontId="17" fillId="0" borderId="16" xfId="57" applyFont="1" applyBorder="1" applyAlignment="1">
      <alignment horizontal="right" vertical="center"/>
      <protection/>
    </xf>
    <xf numFmtId="49" fontId="43" fillId="0" borderId="21" xfId="0" applyNumberFormat="1" applyFont="1" applyFill="1" applyBorder="1" applyAlignment="1">
      <alignment horizontal="center" textRotation="90"/>
    </xf>
    <xf numFmtId="0" fontId="47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Fill="1" applyAlignment="1">
      <alignment horizontal="center" vertical="center"/>
    </xf>
    <xf numFmtId="49" fontId="20" fillId="0" borderId="126" xfId="0" applyNumberFormat="1" applyFont="1" applyFill="1" applyBorder="1" applyAlignment="1">
      <alignment horizontal="center" vertical="center"/>
    </xf>
    <xf numFmtId="49" fontId="20" fillId="0" borderId="127" xfId="0" applyNumberFormat="1" applyFont="1" applyFill="1" applyBorder="1" applyAlignment="1">
      <alignment horizontal="center" vertical="center"/>
    </xf>
    <xf numFmtId="49" fontId="20" fillId="0" borderId="37" xfId="0" applyNumberFormat="1" applyFont="1" applyFill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64" fillId="0" borderId="128" xfId="0" applyFont="1" applyFill="1" applyBorder="1" applyAlignment="1">
      <alignment horizontal="center" vertical="center" wrapText="1"/>
    </xf>
    <xf numFmtId="0" fontId="64" fillId="0" borderId="101" xfId="0" applyFont="1" applyFill="1" applyBorder="1" applyAlignment="1">
      <alignment horizontal="center" vertical="center" wrapText="1"/>
    </xf>
    <xf numFmtId="0" fontId="64" fillId="0" borderId="100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20" fillId="0" borderId="129" xfId="0" applyFont="1" applyFill="1" applyBorder="1" applyAlignment="1">
      <alignment horizontal="center" vertical="center"/>
    </xf>
    <xf numFmtId="0" fontId="20" fillId="0" borderId="130" xfId="0" applyFont="1" applyFill="1" applyBorder="1" applyAlignment="1">
      <alignment horizontal="center" vertical="center"/>
    </xf>
    <xf numFmtId="0" fontId="20" fillId="0" borderId="131" xfId="0" applyFont="1" applyFill="1" applyBorder="1" applyAlignment="1">
      <alignment horizontal="center" vertical="center"/>
    </xf>
    <xf numFmtId="0" fontId="20" fillId="0" borderId="132" xfId="0" applyFont="1" applyFill="1" applyBorder="1" applyAlignment="1">
      <alignment horizontal="center" vertical="center" wrapText="1"/>
    </xf>
    <xf numFmtId="0" fontId="20" fillId="0" borderId="133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46" fillId="0" borderId="134" xfId="0" applyNumberFormat="1" applyFont="1" applyFill="1" applyBorder="1" applyAlignment="1">
      <alignment horizontal="left" vertical="center"/>
    </xf>
    <xf numFmtId="49" fontId="46" fillId="0" borderId="16" xfId="0" applyNumberFormat="1" applyFont="1" applyFill="1" applyBorder="1" applyAlignment="1">
      <alignment horizontal="left" vertical="center"/>
    </xf>
    <xf numFmtId="49" fontId="46" fillId="0" borderId="11" xfId="0" applyNumberFormat="1" applyFont="1" applyFill="1" applyBorder="1" applyAlignment="1">
      <alignment horizontal="left" vertical="center"/>
    </xf>
    <xf numFmtId="49" fontId="46" fillId="0" borderId="135" xfId="0" applyNumberFormat="1" applyFont="1" applyFill="1" applyBorder="1" applyAlignment="1">
      <alignment horizontal="left" vertical="center"/>
    </xf>
    <xf numFmtId="49" fontId="46" fillId="0" borderId="27" xfId="0" applyNumberFormat="1" applyFont="1" applyFill="1" applyBorder="1" applyAlignment="1">
      <alignment horizontal="left" vertical="center"/>
    </xf>
    <xf numFmtId="49" fontId="46" fillId="0" borderId="24" xfId="0" applyNumberFormat="1" applyFont="1" applyFill="1" applyBorder="1" applyAlignment="1">
      <alignment horizontal="left" vertical="center"/>
    </xf>
    <xf numFmtId="49" fontId="46" fillId="0" borderId="136" xfId="0" applyNumberFormat="1" applyFont="1" applyFill="1" applyBorder="1" applyAlignment="1">
      <alignment horizontal="left" vertical="center"/>
    </xf>
    <xf numFmtId="49" fontId="46" fillId="0" borderId="130" xfId="0" applyNumberFormat="1" applyFont="1" applyFill="1" applyBorder="1" applyAlignment="1">
      <alignment horizontal="left" vertical="center"/>
    </xf>
    <xf numFmtId="49" fontId="46" fillId="0" borderId="137" xfId="0" applyNumberFormat="1" applyFont="1" applyFill="1" applyBorder="1" applyAlignment="1">
      <alignment horizontal="left" vertical="center"/>
    </xf>
    <xf numFmtId="0" fontId="60" fillId="0" borderId="138" xfId="60" applyFont="1" applyFill="1" applyBorder="1" applyAlignment="1">
      <alignment horizontal="left" vertical="center"/>
      <protection/>
    </xf>
    <xf numFmtId="0" fontId="60" fillId="0" borderId="28" xfId="60" applyFont="1" applyFill="1" applyBorder="1" applyAlignment="1">
      <alignment horizontal="left" vertical="center"/>
      <protection/>
    </xf>
    <xf numFmtId="0" fontId="60" fillId="0" borderId="13" xfId="60" applyFont="1" applyFill="1" applyBorder="1" applyAlignment="1">
      <alignment horizontal="left" vertical="center"/>
      <protection/>
    </xf>
    <xf numFmtId="0" fontId="111" fillId="0" borderId="114" xfId="60" applyFont="1" applyFill="1" applyBorder="1" applyAlignment="1">
      <alignment horizontal="left" vertical="center"/>
      <protection/>
    </xf>
    <xf numFmtId="0" fontId="111" fillId="0" borderId="116" xfId="60" applyFont="1" applyFill="1" applyBorder="1" applyAlignment="1">
      <alignment horizontal="left" vertical="center"/>
      <protection/>
    </xf>
    <xf numFmtId="0" fontId="111" fillId="0" borderId="104" xfId="60" applyFont="1" applyFill="1" applyBorder="1" applyAlignment="1">
      <alignment horizontal="left" vertical="center"/>
      <protection/>
    </xf>
    <xf numFmtId="0" fontId="20" fillId="0" borderId="39" xfId="60" applyFont="1" applyFill="1" applyBorder="1" applyAlignment="1">
      <alignment horizontal="center" vertical="center" wrapText="1"/>
      <protection/>
    </xf>
    <xf numFmtId="0" fontId="20" fillId="0" borderId="38" xfId="60" applyFont="1" applyFill="1" applyBorder="1" applyAlignment="1">
      <alignment horizontal="center" vertical="center" wrapText="1"/>
      <protection/>
    </xf>
    <xf numFmtId="0" fontId="20" fillId="0" borderId="40" xfId="60" applyFont="1" applyFill="1" applyBorder="1" applyAlignment="1">
      <alignment horizontal="center" vertical="center" wrapText="1"/>
      <protection/>
    </xf>
    <xf numFmtId="0" fontId="20" fillId="0" borderId="17" xfId="60" applyFont="1" applyFill="1" applyBorder="1" applyAlignment="1">
      <alignment horizontal="center" vertical="center" wrapText="1"/>
      <protection/>
    </xf>
    <xf numFmtId="0" fontId="20" fillId="0" borderId="22" xfId="60" applyFont="1" applyFill="1" applyBorder="1" applyAlignment="1">
      <alignment horizontal="center" vertical="center" wrapText="1"/>
      <protection/>
    </xf>
    <xf numFmtId="0" fontId="20" fillId="0" borderId="23" xfId="60" applyFont="1" applyFill="1" applyBorder="1" applyAlignment="1">
      <alignment horizontal="center" vertical="center" wrapText="1"/>
      <protection/>
    </xf>
    <xf numFmtId="0" fontId="111" fillId="0" borderId="114" xfId="60" applyFont="1" applyFill="1" applyBorder="1" applyAlignment="1">
      <alignment horizontal="left" vertical="center" wrapText="1"/>
      <protection/>
    </xf>
    <xf numFmtId="0" fontId="111" fillId="0" borderId="116" xfId="60" applyFont="1" applyFill="1" applyBorder="1" applyAlignment="1">
      <alignment horizontal="left" vertical="center" wrapText="1"/>
      <protection/>
    </xf>
    <xf numFmtId="0" fontId="111" fillId="0" borderId="104" xfId="60" applyFont="1" applyFill="1" applyBorder="1" applyAlignment="1">
      <alignment horizontal="left" vertical="center" wrapText="1"/>
      <protection/>
    </xf>
    <xf numFmtId="0" fontId="20" fillId="0" borderId="72" xfId="60" applyFont="1" applyFill="1" applyBorder="1" applyAlignment="1">
      <alignment horizontal="center" vertical="center"/>
      <protection/>
    </xf>
    <xf numFmtId="0" fontId="20" fillId="0" borderId="32" xfId="60" applyFont="1" applyFill="1" applyBorder="1" applyAlignment="1">
      <alignment horizontal="center" vertical="center"/>
      <protection/>
    </xf>
    <xf numFmtId="0" fontId="20" fillId="0" borderId="85" xfId="60" applyFont="1" applyFill="1" applyBorder="1" applyAlignment="1">
      <alignment horizontal="center" vertical="center"/>
      <protection/>
    </xf>
    <xf numFmtId="49" fontId="20" fillId="0" borderId="126" xfId="60" applyNumberFormat="1" applyFont="1" applyFill="1" applyBorder="1" applyAlignment="1">
      <alignment horizontal="center" vertical="center"/>
      <protection/>
    </xf>
    <xf numFmtId="49" fontId="20" fillId="0" borderId="127" xfId="60" applyNumberFormat="1" applyFont="1" applyFill="1" applyBorder="1" applyAlignment="1">
      <alignment horizontal="center" vertical="center"/>
      <protection/>
    </xf>
    <xf numFmtId="49" fontId="20" fillId="0" borderId="139" xfId="60" applyNumberFormat="1" applyFont="1" applyFill="1" applyBorder="1" applyAlignment="1">
      <alignment horizontal="center" vertical="center"/>
      <protection/>
    </xf>
    <xf numFmtId="0" fontId="15" fillId="0" borderId="116" xfId="60" applyFont="1" applyFill="1" applyBorder="1" applyAlignment="1">
      <alignment horizontal="center" vertical="center"/>
      <protection/>
    </xf>
    <xf numFmtId="0" fontId="15" fillId="0" borderId="104" xfId="60" applyFont="1" applyFill="1" applyBorder="1" applyAlignment="1">
      <alignment horizontal="center" vertical="center"/>
      <protection/>
    </xf>
    <xf numFmtId="3" fontId="43" fillId="0" borderId="41" xfId="60" applyNumberFormat="1" applyFont="1" applyFill="1" applyBorder="1" applyAlignment="1">
      <alignment horizontal="center" vertical="center"/>
      <protection/>
    </xf>
    <xf numFmtId="3" fontId="43" fillId="0" borderId="40" xfId="60" applyNumberFormat="1" applyFont="1" applyFill="1" applyBorder="1" applyAlignment="1">
      <alignment horizontal="center" vertical="center"/>
      <protection/>
    </xf>
    <xf numFmtId="0" fontId="18" fillId="0" borderId="0" xfId="60" applyFont="1" applyFill="1" applyAlignment="1">
      <alignment horizontal="right" vertical="center"/>
      <protection/>
    </xf>
    <xf numFmtId="0" fontId="18" fillId="0" borderId="0" xfId="60" applyFont="1" applyAlignment="1">
      <alignment horizontal="right"/>
      <protection/>
    </xf>
    <xf numFmtId="0" fontId="17" fillId="0" borderId="118" xfId="60" applyFont="1" applyFill="1" applyBorder="1" applyAlignment="1">
      <alignment horizontal="center" vertical="center" wrapText="1"/>
      <protection/>
    </xf>
    <xf numFmtId="0" fontId="17" fillId="0" borderId="140" xfId="60" applyFont="1" applyFill="1" applyBorder="1" applyAlignment="1">
      <alignment horizontal="center" vertical="center" wrapText="1"/>
      <protection/>
    </xf>
    <xf numFmtId="0" fontId="17" fillId="0" borderId="117" xfId="60" applyFont="1" applyFill="1" applyBorder="1" applyAlignment="1">
      <alignment horizontal="center" vertical="center" wrapText="1"/>
      <protection/>
    </xf>
    <xf numFmtId="0" fontId="15" fillId="0" borderId="0" xfId="60" applyFont="1" applyFill="1" applyAlignment="1">
      <alignment horizontal="center" vertical="center" wrapText="1"/>
      <protection/>
    </xf>
    <xf numFmtId="0" fontId="20" fillId="0" borderId="59" xfId="60" applyFont="1" applyFill="1" applyBorder="1" applyAlignment="1">
      <alignment horizontal="center" vertical="center" wrapText="1"/>
      <protection/>
    </xf>
    <xf numFmtId="0" fontId="20" fillId="0" borderId="58" xfId="60" applyFont="1" applyFill="1" applyBorder="1" applyAlignment="1">
      <alignment horizontal="center" vertical="center" wrapText="1"/>
      <protection/>
    </xf>
    <xf numFmtId="0" fontId="20" fillId="0" borderId="46" xfId="60" applyFont="1" applyFill="1" applyBorder="1" applyAlignment="1">
      <alignment horizontal="center" vertical="center" wrapText="1"/>
      <protection/>
    </xf>
    <xf numFmtId="3" fontId="15" fillId="0" borderId="141" xfId="59" applyNumberFormat="1" applyFont="1" applyBorder="1" applyAlignment="1">
      <alignment horizontal="right" vertical="center"/>
      <protection/>
    </xf>
    <xf numFmtId="3" fontId="15" fillId="0" borderId="140" xfId="59" applyNumberFormat="1" applyFont="1" applyBorder="1" applyAlignment="1">
      <alignment horizontal="right" vertical="center"/>
      <protection/>
    </xf>
    <xf numFmtId="3" fontId="15" fillId="0" borderId="117" xfId="59" applyNumberFormat="1" applyFont="1" applyBorder="1" applyAlignment="1">
      <alignment horizontal="right" vertical="center"/>
      <protection/>
    </xf>
    <xf numFmtId="0" fontId="22" fillId="0" borderId="67" xfId="59" applyFont="1" applyBorder="1" applyAlignment="1">
      <alignment horizontal="left" vertical="center"/>
      <protection/>
    </xf>
    <xf numFmtId="0" fontId="22" fillId="0" borderId="0" xfId="59" applyFont="1" applyBorder="1" applyAlignment="1">
      <alignment horizontal="left" vertical="center"/>
      <protection/>
    </xf>
    <xf numFmtId="3" fontId="15" fillId="0" borderId="118" xfId="59" applyNumberFormat="1" applyFont="1" applyBorder="1" applyAlignment="1">
      <alignment horizontal="right" vertical="center"/>
      <protection/>
    </xf>
    <xf numFmtId="0" fontId="22" fillId="0" borderId="67" xfId="59" applyFont="1" applyBorder="1" applyAlignment="1">
      <alignment horizontal="left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2" fillId="0" borderId="142" xfId="59" applyFont="1" applyBorder="1" applyAlignment="1">
      <alignment horizontal="left" wrapText="1"/>
      <protection/>
    </xf>
    <xf numFmtId="0" fontId="22" fillId="0" borderId="33" xfId="59" applyFont="1" applyBorder="1" applyAlignment="1">
      <alignment horizontal="left" wrapText="1"/>
      <protection/>
    </xf>
    <xf numFmtId="0" fontId="22" fillId="0" borderId="119" xfId="59" applyFont="1" applyBorder="1" applyAlignment="1">
      <alignment horizontal="left" vertical="center" wrapText="1"/>
      <protection/>
    </xf>
    <xf numFmtId="0" fontId="22" fillId="0" borderId="54" xfId="59" applyFont="1" applyBorder="1" applyAlignment="1">
      <alignment horizontal="left" vertical="center" wrapText="1"/>
      <protection/>
    </xf>
    <xf numFmtId="3" fontId="15" fillId="0" borderId="120" xfId="59" applyNumberFormat="1" applyFont="1" applyBorder="1" applyAlignment="1">
      <alignment horizontal="right" vertical="center"/>
      <protection/>
    </xf>
    <xf numFmtId="3" fontId="15" fillId="0" borderId="124" xfId="59" applyNumberFormat="1" applyFont="1" applyBorder="1" applyAlignment="1">
      <alignment horizontal="right" vertical="center"/>
      <protection/>
    </xf>
    <xf numFmtId="0" fontId="22" fillId="0" borderId="114" xfId="59" applyFont="1" applyBorder="1" applyAlignment="1">
      <alignment horizontal="left" vertical="center"/>
      <protection/>
    </xf>
    <xf numFmtId="0" fontId="22" fillId="0" borderId="116" xfId="59" applyFont="1" applyBorder="1" applyAlignment="1">
      <alignment horizontal="left" vertical="center"/>
      <protection/>
    </xf>
    <xf numFmtId="0" fontId="22" fillId="0" borderId="67" xfId="59" applyFont="1" applyBorder="1" applyAlignment="1">
      <alignment horizontal="left" wrapText="1"/>
      <protection/>
    </xf>
    <xf numFmtId="0" fontId="22" fillId="0" borderId="0" xfId="59" applyFont="1" applyBorder="1" applyAlignment="1">
      <alignment horizontal="left" wrapText="1"/>
      <protection/>
    </xf>
    <xf numFmtId="3" fontId="22" fillId="0" borderId="59" xfId="59" applyNumberFormat="1" applyFont="1" applyBorder="1" applyAlignment="1">
      <alignment horizontal="right" vertical="center"/>
      <protection/>
    </xf>
    <xf numFmtId="3" fontId="22" fillId="0" borderId="58" xfId="59" applyNumberFormat="1" applyFont="1" applyBorder="1" applyAlignment="1">
      <alignment horizontal="right" vertical="center"/>
      <protection/>
    </xf>
    <xf numFmtId="0" fontId="22" fillId="0" borderId="119" xfId="59" applyFont="1" applyBorder="1" applyAlignment="1">
      <alignment horizontal="left" vertical="center"/>
      <protection/>
    </xf>
    <xf numFmtId="0" fontId="22" fillId="0" borderId="54" xfId="59" applyFont="1" applyBorder="1" applyAlignment="1">
      <alignment horizontal="left" vertical="center"/>
      <protection/>
    </xf>
    <xf numFmtId="0" fontId="22" fillId="0" borderId="67" xfId="59" applyFont="1" applyBorder="1" applyAlignment="1">
      <alignment horizontal="left"/>
      <protection/>
    </xf>
    <xf numFmtId="0" fontId="22" fillId="0" borderId="0" xfId="59" applyFont="1" applyBorder="1" applyAlignment="1">
      <alignment horizontal="left"/>
      <protection/>
    </xf>
    <xf numFmtId="0" fontId="22" fillId="0" borderId="119" xfId="59" applyFont="1" applyBorder="1" applyAlignment="1">
      <alignment horizontal="left" wrapText="1"/>
      <protection/>
    </xf>
    <xf numFmtId="0" fontId="22" fillId="0" borderId="54" xfId="59" applyFont="1" applyBorder="1" applyAlignment="1">
      <alignment horizontal="left" wrapText="1"/>
      <protection/>
    </xf>
    <xf numFmtId="0" fontId="22" fillId="0" borderId="78" xfId="59" applyFont="1" applyBorder="1" applyAlignment="1">
      <alignment horizontal="left" vertical="center"/>
      <protection/>
    </xf>
    <xf numFmtId="0" fontId="22" fillId="0" borderId="75" xfId="59" applyFont="1" applyBorder="1" applyAlignment="1">
      <alignment horizontal="left" vertical="center"/>
      <protection/>
    </xf>
    <xf numFmtId="0" fontId="61" fillId="0" borderId="74" xfId="59" applyFont="1" applyBorder="1" applyAlignment="1">
      <alignment horizontal="left" vertical="center"/>
      <protection/>
    </xf>
    <xf numFmtId="0" fontId="61" fillId="0" borderId="75" xfId="59" applyFont="1" applyBorder="1" applyAlignment="1">
      <alignment horizontal="left" vertical="center"/>
      <protection/>
    </xf>
    <xf numFmtId="0" fontId="60" fillId="36" borderId="95" xfId="59" applyFont="1" applyFill="1" applyBorder="1" applyAlignment="1">
      <alignment vertical="center"/>
      <protection/>
    </xf>
    <xf numFmtId="0" fontId="60" fillId="36" borderId="143" xfId="59" applyFont="1" applyFill="1" applyBorder="1" applyAlignment="1">
      <alignment vertical="center"/>
      <protection/>
    </xf>
    <xf numFmtId="0" fontId="60" fillId="0" borderId="63" xfId="59" applyFont="1" applyBorder="1" applyAlignment="1">
      <alignment horizontal="center" wrapText="1"/>
      <protection/>
    </xf>
    <xf numFmtId="0" fontId="60" fillId="0" borderId="47" xfId="59" applyFont="1" applyBorder="1" applyAlignment="1">
      <alignment horizontal="center" wrapText="1"/>
      <protection/>
    </xf>
    <xf numFmtId="0" fontId="60" fillId="0" borderId="84" xfId="59" applyFont="1" applyBorder="1" applyAlignment="1">
      <alignment horizontal="center" wrapText="1"/>
      <protection/>
    </xf>
    <xf numFmtId="0" fontId="60" fillId="0" borderId="33" xfId="59" applyFont="1" applyBorder="1" applyAlignment="1">
      <alignment horizontal="center" wrapText="1"/>
      <protection/>
    </xf>
    <xf numFmtId="3" fontId="15" fillId="0" borderId="77" xfId="59" applyNumberFormat="1" applyFont="1" applyBorder="1" applyAlignment="1">
      <alignment horizontal="right" vertical="center"/>
      <protection/>
    </xf>
    <xf numFmtId="3" fontId="15" fillId="0" borderId="119" xfId="59" applyNumberFormat="1" applyFont="1" applyBorder="1" applyAlignment="1">
      <alignment horizontal="right" vertical="center"/>
      <protection/>
    </xf>
    <xf numFmtId="3" fontId="15" fillId="0" borderId="67" xfId="59" applyNumberFormat="1" applyFont="1" applyBorder="1" applyAlignment="1">
      <alignment horizontal="right" vertical="center"/>
      <protection/>
    </xf>
    <xf numFmtId="0" fontId="22" fillId="0" borderId="55" xfId="59" applyFont="1" applyBorder="1" applyAlignment="1">
      <alignment horizontal="left" wrapText="1"/>
      <protection/>
    </xf>
    <xf numFmtId="0" fontId="22" fillId="0" borderId="50" xfId="59" applyFont="1" applyBorder="1" applyAlignment="1">
      <alignment horizontal="left" wrapText="1"/>
      <protection/>
    </xf>
    <xf numFmtId="0" fontId="22" fillId="0" borderId="119" xfId="59" applyFont="1" applyBorder="1" applyAlignment="1">
      <alignment horizontal="left"/>
      <protection/>
    </xf>
    <xf numFmtId="0" fontId="22" fillId="0" borderId="54" xfId="59" applyFont="1" applyBorder="1" applyAlignment="1">
      <alignment horizontal="left"/>
      <protection/>
    </xf>
    <xf numFmtId="3" fontId="15" fillId="0" borderId="118" xfId="59" applyNumberFormat="1" applyFont="1" applyBorder="1" applyAlignment="1">
      <alignment horizontal="right" vertical="center" wrapText="1"/>
      <protection/>
    </xf>
    <xf numFmtId="3" fontId="15" fillId="0" borderId="140" xfId="59" applyNumberFormat="1" applyFont="1" applyBorder="1" applyAlignment="1">
      <alignment horizontal="right" vertical="center" wrapText="1"/>
      <protection/>
    </xf>
    <xf numFmtId="0" fontId="60" fillId="0" borderId="62" xfId="60" applyFont="1" applyFill="1" applyBorder="1" applyAlignment="1">
      <alignment horizontal="center" vertical="center" wrapText="1"/>
      <protection/>
    </xf>
    <xf numFmtId="0" fontId="60" fillId="0" borderId="47" xfId="60" applyFont="1" applyFill="1" applyBorder="1" applyAlignment="1">
      <alignment horizontal="center" vertical="center" wrapText="1"/>
      <protection/>
    </xf>
    <xf numFmtId="0" fontId="60" fillId="0" borderId="98" xfId="60" applyFont="1" applyFill="1" applyBorder="1" applyAlignment="1">
      <alignment horizontal="center" vertical="center" wrapText="1"/>
      <protection/>
    </xf>
    <xf numFmtId="0" fontId="60" fillId="0" borderId="142" xfId="60" applyFont="1" applyFill="1" applyBorder="1" applyAlignment="1">
      <alignment horizontal="center" vertical="center" wrapText="1"/>
      <protection/>
    </xf>
    <xf numFmtId="0" fontId="60" fillId="0" borderId="33" xfId="60" applyFont="1" applyFill="1" applyBorder="1" applyAlignment="1">
      <alignment horizontal="center" vertical="center" wrapText="1"/>
      <protection/>
    </xf>
    <xf numFmtId="0" fontId="60" fillId="0" borderId="46" xfId="60" applyFont="1" applyFill="1" applyBorder="1" applyAlignment="1">
      <alignment horizontal="center" vertical="center" wrapText="1"/>
      <protection/>
    </xf>
    <xf numFmtId="0" fontId="15" fillId="0" borderId="69" xfId="60" applyFont="1" applyFill="1" applyBorder="1" applyAlignment="1">
      <alignment horizontal="center" vertical="center" wrapText="1"/>
      <protection/>
    </xf>
    <xf numFmtId="0" fontId="18" fillId="0" borderId="47" xfId="0" applyFont="1" applyBorder="1" applyAlignment="1">
      <alignment/>
    </xf>
    <xf numFmtId="0" fontId="18" fillId="0" borderId="65" xfId="0" applyFont="1" applyBorder="1" applyAlignment="1">
      <alignment/>
    </xf>
    <xf numFmtId="0" fontId="60" fillId="0" borderId="63" xfId="59" applyFont="1" applyBorder="1" applyAlignment="1">
      <alignment horizontal="center" vertical="center"/>
      <protection/>
    </xf>
    <xf numFmtId="0" fontId="18" fillId="0" borderId="47" xfId="59" applyFont="1" applyBorder="1" applyAlignment="1">
      <alignment horizontal="center" vertical="center"/>
      <protection/>
    </xf>
    <xf numFmtId="0" fontId="18" fillId="0" borderId="98" xfId="59" applyFont="1" applyBorder="1" applyAlignment="1">
      <alignment horizontal="center" vertical="center"/>
      <protection/>
    </xf>
    <xf numFmtId="0" fontId="18" fillId="0" borderId="84" xfId="59" applyFont="1" applyBorder="1" applyAlignment="1">
      <alignment horizontal="center" vertical="center"/>
      <protection/>
    </xf>
    <xf numFmtId="0" fontId="18" fillId="0" borderId="33" xfId="59" applyFont="1" applyBorder="1" applyAlignment="1">
      <alignment horizontal="center" vertical="center"/>
      <protection/>
    </xf>
    <xf numFmtId="0" fontId="18" fillId="0" borderId="46" xfId="59" applyFont="1" applyBorder="1" applyAlignment="1">
      <alignment horizontal="center" vertical="center"/>
      <protection/>
    </xf>
    <xf numFmtId="0" fontId="16" fillId="0" borderId="0" xfId="60" applyFont="1" applyFill="1" applyAlignment="1">
      <alignment horizontal="right" vertical="center"/>
      <protection/>
    </xf>
    <xf numFmtId="0" fontId="16" fillId="0" borderId="0" xfId="60" applyFont="1" applyAlignment="1">
      <alignment horizontal="right"/>
      <protection/>
    </xf>
    <xf numFmtId="0" fontId="16" fillId="0" borderId="0" xfId="0" applyFont="1" applyAlignment="1">
      <alignment/>
    </xf>
    <xf numFmtId="0" fontId="15" fillId="0" borderId="63" xfId="60" applyFont="1" applyFill="1" applyBorder="1" applyAlignment="1">
      <alignment horizontal="center" vertical="center" wrapText="1"/>
      <protection/>
    </xf>
    <xf numFmtId="0" fontId="18" fillId="0" borderId="47" xfId="0" applyFont="1" applyBorder="1" applyAlignment="1">
      <alignment horizontal="center" vertical="center" wrapText="1"/>
    </xf>
    <xf numFmtId="0" fontId="15" fillId="0" borderId="144" xfId="60" applyFont="1" applyFill="1" applyBorder="1" applyAlignment="1">
      <alignment horizontal="center" vertical="center" wrapText="1"/>
      <protection/>
    </xf>
    <xf numFmtId="0" fontId="18" fillId="0" borderId="145" xfId="0" applyFont="1" applyBorder="1" applyAlignment="1">
      <alignment horizontal="center" vertical="center" wrapText="1"/>
    </xf>
    <xf numFmtId="0" fontId="18" fillId="0" borderId="146" xfId="0" applyFont="1" applyBorder="1" applyAlignment="1">
      <alignment horizontal="center" vertical="center" wrapText="1"/>
    </xf>
    <xf numFmtId="0" fontId="45" fillId="0" borderId="0" xfId="60" applyFont="1" applyFill="1" applyAlignment="1">
      <alignment horizontal="center" vertical="center" wrapText="1"/>
      <protection/>
    </xf>
    <xf numFmtId="3" fontId="15" fillId="0" borderId="120" xfId="59" applyNumberFormat="1" applyFont="1" applyBorder="1" applyAlignment="1">
      <alignment horizontal="center" vertical="center"/>
      <protection/>
    </xf>
    <xf numFmtId="3" fontId="15" fillId="0" borderId="124" xfId="59" applyNumberFormat="1" applyFont="1" applyBorder="1" applyAlignment="1">
      <alignment horizontal="center" vertical="center"/>
      <protection/>
    </xf>
    <xf numFmtId="0" fontId="22" fillId="0" borderId="55" xfId="59" applyFont="1" applyBorder="1" applyAlignment="1">
      <alignment horizontal="center" vertical="center"/>
      <protection/>
    </xf>
    <xf numFmtId="0" fontId="22" fillId="0" borderId="54" xfId="59" applyFont="1" applyBorder="1" applyAlignment="1">
      <alignment horizontal="center" vertical="center"/>
      <protection/>
    </xf>
    <xf numFmtId="0" fontId="22" fillId="0" borderId="50" xfId="59" applyFont="1" applyBorder="1" applyAlignment="1">
      <alignment horizontal="center" vertical="center"/>
      <protection/>
    </xf>
    <xf numFmtId="0" fontId="22" fillId="0" borderId="0" xfId="59" applyFont="1" applyBorder="1" applyAlignment="1">
      <alignment horizontal="center" vertical="center"/>
      <protection/>
    </xf>
    <xf numFmtId="3" fontId="22" fillId="0" borderId="59" xfId="0" applyNumberFormat="1" applyFont="1" applyBorder="1" applyAlignment="1">
      <alignment horizontal="center" vertical="center"/>
    </xf>
    <xf numFmtId="3" fontId="22" fillId="0" borderId="58" xfId="0" applyNumberFormat="1" applyFont="1" applyBorder="1" applyAlignment="1">
      <alignment horizontal="center" vertical="center"/>
    </xf>
    <xf numFmtId="0" fontId="18" fillId="0" borderId="98" xfId="0" applyFont="1" applyBorder="1" applyAlignment="1">
      <alignment/>
    </xf>
    <xf numFmtId="0" fontId="18" fillId="0" borderId="14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46" xfId="0" applyFont="1" applyBorder="1" applyAlignment="1">
      <alignment/>
    </xf>
    <xf numFmtId="0" fontId="23" fillId="0" borderId="50" xfId="59" applyFont="1" applyBorder="1" applyAlignment="1">
      <alignment horizontal="right"/>
      <protection/>
    </xf>
    <xf numFmtId="0" fontId="23" fillId="0" borderId="0" xfId="59" applyFont="1" applyBorder="1" applyAlignment="1">
      <alignment horizontal="right"/>
      <protection/>
    </xf>
    <xf numFmtId="0" fontId="23" fillId="0" borderId="52" xfId="59" applyFont="1" applyBorder="1" applyAlignment="1">
      <alignment horizontal="right"/>
      <protection/>
    </xf>
    <xf numFmtId="0" fontId="22" fillId="0" borderId="62" xfId="59" applyFont="1" applyBorder="1" applyAlignment="1">
      <alignment horizontal="left" vertical="center"/>
      <protection/>
    </xf>
    <xf numFmtId="0" fontId="22" fillId="0" borderId="47" xfId="59" applyFont="1" applyBorder="1" applyAlignment="1">
      <alignment horizontal="left" vertical="center"/>
      <protection/>
    </xf>
    <xf numFmtId="0" fontId="15" fillId="36" borderId="108" xfId="59" applyFont="1" applyFill="1" applyBorder="1" applyAlignment="1">
      <alignment horizontal="right" vertical="center" wrapText="1"/>
      <protection/>
    </xf>
    <xf numFmtId="0" fontId="18" fillId="36" borderId="95" xfId="0" applyFont="1" applyFill="1" applyBorder="1" applyAlignment="1">
      <alignment horizontal="right" vertical="center" wrapText="1"/>
    </xf>
    <xf numFmtId="0" fontId="18" fillId="36" borderId="121" xfId="0" applyFont="1" applyFill="1" applyBorder="1" applyAlignment="1">
      <alignment horizontal="right" vertical="center" wrapText="1"/>
    </xf>
    <xf numFmtId="0" fontId="15" fillId="36" borderId="95" xfId="59" applyFont="1" applyFill="1" applyBorder="1" applyAlignment="1">
      <alignment vertical="center"/>
      <protection/>
    </xf>
    <xf numFmtId="0" fontId="15" fillId="36" borderId="95" xfId="0" applyFont="1" applyFill="1" applyBorder="1" applyAlignment="1">
      <alignment vertical="center"/>
    </xf>
    <xf numFmtId="0" fontId="15" fillId="36" borderId="143" xfId="0" applyFont="1" applyFill="1" applyBorder="1" applyAlignment="1">
      <alignment vertical="center"/>
    </xf>
    <xf numFmtId="0" fontId="22" fillId="0" borderId="63" xfId="59" applyFont="1" applyBorder="1" applyAlignment="1">
      <alignment horizontal="left"/>
      <protection/>
    </xf>
    <xf numFmtId="0" fontId="22" fillId="0" borderId="47" xfId="59" applyFont="1" applyBorder="1" applyAlignment="1">
      <alignment horizontal="left"/>
      <protection/>
    </xf>
    <xf numFmtId="0" fontId="18" fillId="0" borderId="73" xfId="0" applyFont="1" applyBorder="1" applyAlignment="1">
      <alignment/>
    </xf>
    <xf numFmtId="0" fontId="15" fillId="0" borderId="62" xfId="60" applyFont="1" applyFill="1" applyBorder="1" applyAlignment="1">
      <alignment horizontal="center" vertical="center" wrapText="1"/>
      <protection/>
    </xf>
    <xf numFmtId="0" fontId="23" fillId="0" borderId="75" xfId="59" applyFont="1" applyBorder="1" applyAlignment="1">
      <alignment horizontal="right" vertical="center"/>
      <protection/>
    </xf>
    <xf numFmtId="0" fontId="23" fillId="0" borderId="147" xfId="59" applyFont="1" applyBorder="1" applyAlignment="1">
      <alignment horizontal="right" vertical="center"/>
      <protection/>
    </xf>
    <xf numFmtId="3" fontId="15" fillId="0" borderId="62" xfId="59" applyNumberFormat="1" applyFont="1" applyBorder="1" applyAlignment="1">
      <alignment horizontal="right" vertical="center"/>
      <protection/>
    </xf>
    <xf numFmtId="3" fontId="15" fillId="0" borderId="142" xfId="59" applyNumberFormat="1" applyFont="1" applyBorder="1" applyAlignment="1">
      <alignment horizontal="right" vertical="center"/>
      <protection/>
    </xf>
    <xf numFmtId="0" fontId="22" fillId="0" borderId="50" xfId="59" applyFont="1" applyBorder="1" applyAlignment="1">
      <alignment horizontal="left" vertical="center" wrapText="1"/>
      <protection/>
    </xf>
    <xf numFmtId="0" fontId="60" fillId="0" borderId="63" xfId="59" applyFont="1" applyBorder="1" applyAlignment="1">
      <alignment horizontal="center" vertical="center" wrapText="1"/>
      <protection/>
    </xf>
    <xf numFmtId="0" fontId="18" fillId="0" borderId="47" xfId="0" applyFont="1" applyBorder="1" applyAlignment="1">
      <alignment vertical="center"/>
    </xf>
    <xf numFmtId="0" fontId="18" fillId="0" borderId="60" xfId="0" applyFont="1" applyBorder="1" applyAlignment="1">
      <alignment vertical="center"/>
    </xf>
    <xf numFmtId="0" fontId="18" fillId="0" borderId="84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84" xfId="0" applyFont="1" applyBorder="1" applyAlignment="1">
      <alignment/>
    </xf>
    <xf numFmtId="0" fontId="18" fillId="0" borderId="0" xfId="0" applyFont="1" applyBorder="1" applyAlignment="1">
      <alignment/>
    </xf>
    <xf numFmtId="3" fontId="15" fillId="0" borderId="59" xfId="59" applyNumberFormat="1" applyFont="1" applyBorder="1" applyAlignment="1">
      <alignment horizontal="right" vertical="center"/>
      <protection/>
    </xf>
    <xf numFmtId="0" fontId="23" fillId="0" borderId="50" xfId="59" applyFont="1" applyBorder="1" applyAlignment="1">
      <alignment horizontal="right" vertical="center"/>
      <protection/>
    </xf>
    <xf numFmtId="0" fontId="23" fillId="0" borderId="0" xfId="59" applyFont="1" applyBorder="1" applyAlignment="1">
      <alignment horizontal="right" vertical="center"/>
      <protection/>
    </xf>
    <xf numFmtId="0" fontId="23" fillId="0" borderId="52" xfId="59" applyFont="1" applyBorder="1" applyAlignment="1">
      <alignment horizontal="right" vertical="center"/>
      <protection/>
    </xf>
    <xf numFmtId="0" fontId="22" fillId="0" borderId="50" xfId="59" applyFont="1" applyBorder="1" applyAlignment="1">
      <alignment horizontal="left" vertical="center"/>
      <protection/>
    </xf>
    <xf numFmtId="0" fontId="60" fillId="0" borderId="47" xfId="59" applyFont="1" applyBorder="1" applyAlignment="1">
      <alignment horizontal="center" vertical="center"/>
      <protection/>
    </xf>
    <xf numFmtId="0" fontId="60" fillId="0" borderId="98" xfId="59" applyFont="1" applyBorder="1" applyAlignment="1">
      <alignment horizontal="center" vertical="center"/>
      <protection/>
    </xf>
    <xf numFmtId="0" fontId="60" fillId="0" borderId="84" xfId="59" applyFont="1" applyBorder="1" applyAlignment="1">
      <alignment horizontal="center" vertical="center"/>
      <protection/>
    </xf>
    <xf numFmtId="0" fontId="60" fillId="0" borderId="33" xfId="59" applyFont="1" applyBorder="1" applyAlignment="1">
      <alignment horizontal="center" vertical="center"/>
      <protection/>
    </xf>
    <xf numFmtId="0" fontId="60" fillId="0" borderId="46" xfId="59" applyFont="1" applyBorder="1" applyAlignment="1">
      <alignment horizontal="center" vertical="center"/>
      <protection/>
    </xf>
    <xf numFmtId="0" fontId="46" fillId="0" borderId="148" xfId="59" applyFont="1" applyBorder="1" applyAlignment="1">
      <alignment horizontal="center"/>
      <protection/>
    </xf>
    <xf numFmtId="0" fontId="18" fillId="0" borderId="71" xfId="0" applyFont="1" applyBorder="1" applyAlignment="1">
      <alignment horizontal="center"/>
    </xf>
    <xf numFmtId="0" fontId="18" fillId="0" borderId="97" xfId="0" applyFont="1" applyBorder="1" applyAlignment="1">
      <alignment horizontal="center"/>
    </xf>
    <xf numFmtId="0" fontId="46" fillId="0" borderId="47" xfId="59" applyFont="1" applyBorder="1" applyAlignment="1">
      <alignment horizontal="center"/>
      <protection/>
    </xf>
    <xf numFmtId="0" fontId="18" fillId="0" borderId="47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0" borderId="52" xfId="0" applyFont="1" applyBorder="1" applyAlignment="1">
      <alignment horizontal="right"/>
    </xf>
    <xf numFmtId="0" fontId="60" fillId="36" borderId="108" xfId="59" applyFont="1" applyFill="1" applyBorder="1" applyAlignment="1">
      <alignment vertical="center" wrapText="1"/>
      <protection/>
    </xf>
    <xf numFmtId="0" fontId="14" fillId="36" borderId="95" xfId="0" applyFont="1" applyFill="1" applyBorder="1" applyAlignment="1">
      <alignment vertical="center" wrapText="1"/>
    </xf>
    <xf numFmtId="0" fontId="14" fillId="36" borderId="121" xfId="0" applyFont="1" applyFill="1" applyBorder="1" applyAlignment="1">
      <alignment vertical="center" wrapText="1"/>
    </xf>
    <xf numFmtId="0" fontId="15" fillId="0" borderId="75" xfId="59" applyFont="1" applyBorder="1" applyAlignment="1">
      <alignment/>
      <protection/>
    </xf>
    <xf numFmtId="0" fontId="15" fillId="0" borderId="75" xfId="0" applyFont="1" applyBorder="1" applyAlignment="1">
      <alignment/>
    </xf>
    <xf numFmtId="0" fontId="15" fillId="0" borderId="106" xfId="0" applyFont="1" applyBorder="1" applyAlignment="1">
      <alignment/>
    </xf>
    <xf numFmtId="0" fontId="22" fillId="0" borderId="50" xfId="59" applyFont="1" applyBorder="1" applyAlignment="1">
      <alignment horizontal="left"/>
      <protection/>
    </xf>
    <xf numFmtId="0" fontId="19" fillId="0" borderId="0" xfId="59" applyFont="1" applyAlignment="1">
      <alignment horizontal="center"/>
      <protection/>
    </xf>
    <xf numFmtId="0" fontId="18" fillId="0" borderId="0" xfId="0" applyFont="1" applyAlignment="1">
      <alignment/>
    </xf>
    <xf numFmtId="0" fontId="60" fillId="0" borderId="75" xfId="59" applyFont="1" applyBorder="1" applyAlignment="1">
      <alignment/>
      <protection/>
    </xf>
    <xf numFmtId="0" fontId="60" fillId="0" borderId="106" xfId="59" applyFont="1" applyBorder="1" applyAlignment="1">
      <alignment/>
      <protection/>
    </xf>
    <xf numFmtId="0" fontId="18" fillId="0" borderId="0" xfId="59" applyFont="1" applyAlignment="1">
      <alignment horizontal="center"/>
      <protection/>
    </xf>
    <xf numFmtId="0" fontId="60" fillId="0" borderId="65" xfId="60" applyFont="1" applyFill="1" applyBorder="1" applyAlignment="1">
      <alignment horizontal="center" vertical="center" wrapText="1"/>
      <protection/>
    </xf>
    <xf numFmtId="0" fontId="60" fillId="0" borderId="73" xfId="60" applyFont="1" applyFill="1" applyBorder="1" applyAlignment="1">
      <alignment horizontal="center" vertical="center" wrapText="1"/>
      <protection/>
    </xf>
    <xf numFmtId="0" fontId="61" fillId="0" borderId="67" xfId="59" applyFont="1" applyBorder="1" applyAlignment="1">
      <alignment horizontal="left" wrapText="1"/>
      <protection/>
    </xf>
    <xf numFmtId="0" fontId="61" fillId="0" borderId="0" xfId="59" applyFont="1" applyBorder="1" applyAlignment="1">
      <alignment horizontal="left" wrapText="1"/>
      <protection/>
    </xf>
    <xf numFmtId="3" fontId="15" fillId="0" borderId="118" xfId="59" applyNumberFormat="1" applyFont="1" applyBorder="1" applyAlignment="1">
      <alignment horizontal="center" vertical="center"/>
      <protection/>
    </xf>
    <xf numFmtId="3" fontId="15" fillId="0" borderId="140" xfId="59" applyNumberFormat="1" applyFont="1" applyBorder="1" applyAlignment="1">
      <alignment horizontal="center" vertical="center"/>
      <protection/>
    </xf>
    <xf numFmtId="3" fontId="15" fillId="0" borderId="119" xfId="59" applyNumberFormat="1" applyFont="1" applyBorder="1" applyAlignment="1">
      <alignment horizontal="center" vertical="center"/>
      <protection/>
    </xf>
    <xf numFmtId="3" fontId="15" fillId="0" borderId="142" xfId="59" applyNumberFormat="1" applyFont="1" applyBorder="1" applyAlignment="1">
      <alignment horizontal="center" vertical="center"/>
      <protection/>
    </xf>
    <xf numFmtId="0" fontId="23" fillId="0" borderId="48" xfId="59" applyFont="1" applyBorder="1" applyAlignment="1">
      <alignment horizontal="right"/>
      <protection/>
    </xf>
    <xf numFmtId="0" fontId="23" fillId="0" borderId="116" xfId="59" applyFont="1" applyBorder="1" applyAlignment="1">
      <alignment horizontal="right"/>
      <protection/>
    </xf>
    <xf numFmtId="0" fontId="23" fillId="0" borderId="102" xfId="59" applyFont="1" applyBorder="1" applyAlignment="1">
      <alignment horizontal="right"/>
      <protection/>
    </xf>
    <xf numFmtId="0" fontId="22" fillId="0" borderId="55" xfId="59" applyFont="1" applyBorder="1" applyAlignment="1">
      <alignment horizontal="left"/>
      <protection/>
    </xf>
    <xf numFmtId="0" fontId="21" fillId="0" borderId="0" xfId="0" applyFont="1" applyAlignment="1">
      <alignment horizontal="center"/>
    </xf>
    <xf numFmtId="0" fontId="7" fillId="0" borderId="27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41" fillId="0" borderId="0" xfId="0" applyFont="1" applyAlignment="1">
      <alignment/>
    </xf>
    <xf numFmtId="0" fontId="63" fillId="0" borderId="0" xfId="0" applyFont="1" applyFill="1" applyAlignment="1">
      <alignment horizontal="center" vertical="center"/>
    </xf>
    <xf numFmtId="0" fontId="7" fillId="0" borderId="131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" fillId="0" borderId="0" xfId="61" applyFont="1" applyAlignment="1">
      <alignment horizontal="center" wrapText="1"/>
      <protection/>
    </xf>
    <xf numFmtId="0" fontId="1" fillId="0" borderId="0" xfId="61" applyFont="1" applyAlignment="1">
      <alignment horizontal="center"/>
      <protection/>
    </xf>
    <xf numFmtId="0" fontId="1" fillId="0" borderId="35" xfId="61" applyFont="1" applyBorder="1" applyAlignment="1">
      <alignment horizontal="center" vertical="center"/>
      <protection/>
    </xf>
    <xf numFmtId="0" fontId="1" fillId="0" borderId="36" xfId="61" applyFont="1" applyBorder="1" applyAlignment="1">
      <alignment horizontal="center" vertical="center"/>
      <protection/>
    </xf>
    <xf numFmtId="0" fontId="1" fillId="0" borderId="129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35" xfId="61" applyFont="1" applyBorder="1" applyAlignment="1">
      <alignment horizontal="center" vertical="center" wrapText="1"/>
      <protection/>
    </xf>
    <xf numFmtId="0" fontId="1" fillId="0" borderId="131" xfId="61" applyFont="1" applyBorder="1" applyAlignment="1">
      <alignment horizontal="center" vertical="center" wrapText="1"/>
      <protection/>
    </xf>
    <xf numFmtId="0" fontId="1" fillId="0" borderId="36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2" fillId="33" borderId="21" xfId="61" applyFont="1" applyFill="1" applyBorder="1" applyAlignment="1">
      <alignment horizontal="right"/>
      <protection/>
    </xf>
    <xf numFmtId="0" fontId="2" fillId="33" borderId="22" xfId="61" applyFont="1" applyFill="1" applyBorder="1" applyAlignment="1">
      <alignment horizontal="right"/>
      <protection/>
    </xf>
    <xf numFmtId="0" fontId="2" fillId="33" borderId="14" xfId="61" applyFont="1" applyFill="1" applyBorder="1" applyAlignment="1">
      <alignment horizontal="right"/>
      <protection/>
    </xf>
    <xf numFmtId="0" fontId="39" fillId="33" borderId="29" xfId="61" applyFont="1" applyFill="1" applyBorder="1" applyAlignment="1">
      <alignment horizontal="left"/>
      <protection/>
    </xf>
    <xf numFmtId="0" fontId="39" fillId="33" borderId="18" xfId="61" applyFont="1" applyFill="1" applyBorder="1" applyAlignment="1">
      <alignment horizontal="left"/>
      <protection/>
    </xf>
    <xf numFmtId="0" fontId="39" fillId="33" borderId="149" xfId="61" applyFont="1" applyFill="1" applyBorder="1" applyAlignment="1">
      <alignment horizontal="left"/>
      <protection/>
    </xf>
    <xf numFmtId="0" fontId="1" fillId="0" borderId="118" xfId="61" applyFont="1" applyBorder="1" applyAlignment="1">
      <alignment horizontal="center" vertical="center" wrapText="1"/>
      <protection/>
    </xf>
    <xf numFmtId="0" fontId="13" fillId="0" borderId="30" xfId="61" applyBorder="1" applyAlignment="1">
      <alignment horizontal="center" vertical="center" wrapText="1"/>
      <protection/>
    </xf>
    <xf numFmtId="0" fontId="1" fillId="0" borderId="150" xfId="61" applyFont="1" applyBorder="1" applyAlignment="1">
      <alignment horizontal="center" vertical="center"/>
      <protection/>
    </xf>
    <xf numFmtId="0" fontId="1" fillId="0" borderId="25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/>
      <protection/>
    </xf>
    <xf numFmtId="0" fontId="1" fillId="0" borderId="22" xfId="61" applyFont="1" applyBorder="1" applyAlignment="1">
      <alignment horizontal="center" vertical="center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Normál_NORM09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0"/>
  <sheetViews>
    <sheetView tabSelected="1" zoomScale="120" zoomScaleNormal="120" zoomScalePageLayoutView="0" workbookViewId="0" topLeftCell="A1">
      <selection activeCell="A2" sqref="A2:J2"/>
    </sheetView>
  </sheetViews>
  <sheetFormatPr defaultColWidth="9.00390625" defaultRowHeight="12.75"/>
  <cols>
    <col min="1" max="1" width="5.125" style="168" customWidth="1"/>
    <col min="2" max="3" width="9.125" style="168" customWidth="1"/>
    <col min="4" max="4" width="5.875" style="168" customWidth="1"/>
    <col min="5" max="5" width="49.875" style="168" customWidth="1"/>
    <col min="6" max="6" width="16.125" style="168" bestFit="1" customWidth="1"/>
    <col min="7" max="7" width="13.625" style="168" customWidth="1"/>
    <col min="8" max="9" width="15.125" style="168" customWidth="1"/>
    <col min="10" max="10" width="15.875" style="168" bestFit="1" customWidth="1"/>
    <col min="11" max="11" width="9.125" style="298" customWidth="1"/>
    <col min="12" max="16384" width="9.125" style="168" customWidth="1"/>
  </cols>
  <sheetData>
    <row r="1" spans="1:10" ht="12.75">
      <c r="A1" s="85"/>
      <c r="B1" s="194"/>
      <c r="C1" s="194"/>
      <c r="D1" s="194"/>
      <c r="E1" s="195"/>
      <c r="F1" s="809" t="s">
        <v>1011</v>
      </c>
      <c r="G1" s="810"/>
      <c r="H1" s="810"/>
      <c r="I1" s="810"/>
      <c r="J1" s="810"/>
    </row>
    <row r="2" spans="1:10" ht="15.75">
      <c r="A2" s="814" t="s">
        <v>864</v>
      </c>
      <c r="B2" s="814"/>
      <c r="C2" s="814"/>
      <c r="D2" s="814"/>
      <c r="E2" s="814"/>
      <c r="F2" s="814"/>
      <c r="G2" s="814"/>
      <c r="H2" s="814"/>
      <c r="I2" s="814"/>
      <c r="J2" s="814"/>
    </row>
    <row r="3" spans="1:10" ht="12.75">
      <c r="A3" s="85"/>
      <c r="B3" s="85"/>
      <c r="C3" s="85"/>
      <c r="D3" s="85"/>
      <c r="E3" s="85"/>
      <c r="F3" s="194"/>
      <c r="G3" s="194"/>
      <c r="H3" s="194"/>
      <c r="I3" s="194"/>
      <c r="J3" s="194"/>
    </row>
    <row r="4" spans="1:10" ht="12.75">
      <c r="A4" s="85"/>
      <c r="B4" s="194"/>
      <c r="C4" s="194"/>
      <c r="D4" s="194"/>
      <c r="E4" s="194"/>
      <c r="F4" s="194"/>
      <c r="G4" s="194"/>
      <c r="H4" s="194"/>
      <c r="I4" s="194"/>
      <c r="J4" s="195" t="s">
        <v>622</v>
      </c>
    </row>
    <row r="5" spans="1:10" ht="60">
      <c r="A5" s="821" t="s">
        <v>0</v>
      </c>
      <c r="B5" s="822"/>
      <c r="C5" s="822"/>
      <c r="D5" s="822"/>
      <c r="E5" s="823"/>
      <c r="F5" s="175" t="s">
        <v>86</v>
      </c>
      <c r="G5" s="175" t="s">
        <v>373</v>
      </c>
      <c r="H5" s="175" t="s">
        <v>744</v>
      </c>
      <c r="I5" s="175" t="s">
        <v>785</v>
      </c>
      <c r="J5" s="175" t="s">
        <v>367</v>
      </c>
    </row>
    <row r="6" spans="1:11" s="179" customFormat="1" ht="15">
      <c r="A6" s="196" t="s">
        <v>428</v>
      </c>
      <c r="B6" s="811" t="s">
        <v>429</v>
      </c>
      <c r="C6" s="812"/>
      <c r="D6" s="812"/>
      <c r="E6" s="813"/>
      <c r="F6" s="197" t="s">
        <v>430</v>
      </c>
      <c r="G6" s="197" t="s">
        <v>431</v>
      </c>
      <c r="H6" s="197" t="s">
        <v>432</v>
      </c>
      <c r="I6" s="197" t="s">
        <v>433</v>
      </c>
      <c r="J6" s="197" t="s">
        <v>435</v>
      </c>
      <c r="K6" s="595"/>
    </row>
    <row r="7" spans="1:11" s="200" customFormat="1" ht="12.75">
      <c r="A7" s="198" t="s">
        <v>210</v>
      </c>
      <c r="B7" s="816" t="s">
        <v>211</v>
      </c>
      <c r="C7" s="816"/>
      <c r="D7" s="816"/>
      <c r="E7" s="816"/>
      <c r="F7" s="199">
        <f>SUM(F8+F15+F16+F17+F28+F29)</f>
        <v>667652227</v>
      </c>
      <c r="G7" s="199">
        <f>SUM(G8+G15+G16+G17+G28+G29)</f>
        <v>0</v>
      </c>
      <c r="H7" s="199">
        <f>SUM(H8+H15+H16+H17+H28+H29)</f>
        <v>5354163</v>
      </c>
      <c r="I7" s="199">
        <f>SUM(I8+I15+I16+I17+I28+I29)</f>
        <v>2576000</v>
      </c>
      <c r="J7" s="199">
        <f>SUM(F7:I7)</f>
        <v>675582390</v>
      </c>
      <c r="K7" s="596"/>
    </row>
    <row r="8" spans="1:11" ht="12.75">
      <c r="A8" s="201"/>
      <c r="B8" s="201" t="s">
        <v>212</v>
      </c>
      <c r="C8" s="808" t="s">
        <v>213</v>
      </c>
      <c r="D8" s="808"/>
      <c r="E8" s="808"/>
      <c r="F8" s="202">
        <f>SUM(F9:F14)</f>
        <v>516736518</v>
      </c>
      <c r="G8" s="202">
        <f>SUM(G9:G14)</f>
        <v>0</v>
      </c>
      <c r="H8" s="202">
        <f>SUM(H9:H14)</f>
        <v>0</v>
      </c>
      <c r="I8" s="202">
        <f>SUM(I9:I14)</f>
        <v>0</v>
      </c>
      <c r="J8" s="203">
        <f aca="true" t="shared" si="0" ref="J8:J72">SUM(F8:I8)</f>
        <v>516736518</v>
      </c>
      <c r="K8" s="597"/>
    </row>
    <row r="9" spans="1:11" ht="12.75">
      <c r="A9" s="204"/>
      <c r="B9" s="204"/>
      <c r="C9" s="204" t="s">
        <v>214</v>
      </c>
      <c r="D9" s="204"/>
      <c r="E9" s="204" t="s">
        <v>643</v>
      </c>
      <c r="F9" s="205">
        <f>186857281+22486700</f>
        <v>209343981</v>
      </c>
      <c r="G9" s="205">
        <v>0</v>
      </c>
      <c r="H9" s="205">
        <v>0</v>
      </c>
      <c r="I9" s="205">
        <v>0</v>
      </c>
      <c r="J9" s="206">
        <f t="shared" si="0"/>
        <v>209343981</v>
      </c>
      <c r="K9" s="598"/>
    </row>
    <row r="10" spans="1:11" ht="12.75">
      <c r="A10" s="204"/>
      <c r="B10" s="207"/>
      <c r="C10" s="204" t="s">
        <v>215</v>
      </c>
      <c r="D10" s="204"/>
      <c r="E10" s="204" t="s">
        <v>649</v>
      </c>
      <c r="F10" s="205">
        <v>118098200</v>
      </c>
      <c r="G10" s="205">
        <v>0</v>
      </c>
      <c r="H10" s="205">
        <v>0</v>
      </c>
      <c r="I10" s="205">
        <v>0</v>
      </c>
      <c r="J10" s="206">
        <f t="shared" si="0"/>
        <v>118098200</v>
      </c>
      <c r="K10" s="598"/>
    </row>
    <row r="11" spans="1:11" ht="12.75">
      <c r="A11" s="204"/>
      <c r="B11" s="204"/>
      <c r="C11" s="204" t="s">
        <v>216</v>
      </c>
      <c r="D11" s="204"/>
      <c r="E11" s="204" t="s">
        <v>623</v>
      </c>
      <c r="F11" s="205">
        <f>166711803+418000</f>
        <v>167129803</v>
      </c>
      <c r="G11" s="205">
        <v>0</v>
      </c>
      <c r="H11" s="205">
        <v>0</v>
      </c>
      <c r="I11" s="205">
        <v>0</v>
      </c>
      <c r="J11" s="206">
        <f t="shared" si="0"/>
        <v>167129803</v>
      </c>
      <c r="K11" s="598"/>
    </row>
    <row r="12" spans="1:11" ht="12.75">
      <c r="A12" s="204"/>
      <c r="B12" s="204"/>
      <c r="C12" s="204" t="s">
        <v>217</v>
      </c>
      <c r="D12" s="204"/>
      <c r="E12" s="204" t="s">
        <v>650</v>
      </c>
      <c r="F12" s="205">
        <v>10821150</v>
      </c>
      <c r="G12" s="205">
        <v>0</v>
      </c>
      <c r="H12" s="205">
        <v>0</v>
      </c>
      <c r="I12" s="205">
        <v>0</v>
      </c>
      <c r="J12" s="206">
        <f t="shared" si="0"/>
        <v>10821150</v>
      </c>
      <c r="K12" s="598"/>
    </row>
    <row r="13" spans="1:11" ht="12.75">
      <c r="A13" s="204"/>
      <c r="B13" s="204"/>
      <c r="C13" s="204" t="s">
        <v>218</v>
      </c>
      <c r="D13" s="204"/>
      <c r="E13" s="204" t="s">
        <v>644</v>
      </c>
      <c r="F13" s="205">
        <f>383873+10959511</f>
        <v>11343384</v>
      </c>
      <c r="G13" s="205">
        <v>0</v>
      </c>
      <c r="H13" s="205">
        <v>0</v>
      </c>
      <c r="I13" s="205">
        <v>0</v>
      </c>
      <c r="J13" s="206">
        <f t="shared" si="0"/>
        <v>11343384</v>
      </c>
      <c r="K13" s="598"/>
    </row>
    <row r="14" spans="1:11" ht="0.75" customHeight="1">
      <c r="A14" s="208"/>
      <c r="B14" s="208"/>
      <c r="C14" s="204" t="s">
        <v>219</v>
      </c>
      <c r="D14" s="208"/>
      <c r="E14" s="204" t="s">
        <v>537</v>
      </c>
      <c r="F14" s="205">
        <v>0</v>
      </c>
      <c r="G14" s="205">
        <v>0</v>
      </c>
      <c r="H14" s="205">
        <v>0</v>
      </c>
      <c r="I14" s="205">
        <v>0</v>
      </c>
      <c r="J14" s="206">
        <f t="shared" si="0"/>
        <v>0</v>
      </c>
      <c r="K14" s="598"/>
    </row>
    <row r="15" spans="1:11" ht="12.75">
      <c r="A15" s="201"/>
      <c r="B15" s="201" t="s">
        <v>220</v>
      </c>
      <c r="C15" s="808" t="s">
        <v>221</v>
      </c>
      <c r="D15" s="808"/>
      <c r="E15" s="808"/>
      <c r="F15" s="202">
        <v>0</v>
      </c>
      <c r="G15" s="202">
        <v>0</v>
      </c>
      <c r="H15" s="202">
        <v>0</v>
      </c>
      <c r="I15" s="202">
        <v>0</v>
      </c>
      <c r="J15" s="203">
        <f t="shared" si="0"/>
        <v>0</v>
      </c>
      <c r="K15" s="597"/>
    </row>
    <row r="16" spans="1:11" ht="12.75">
      <c r="A16" s="201"/>
      <c r="B16" s="201" t="s">
        <v>222</v>
      </c>
      <c r="C16" s="808" t="s">
        <v>645</v>
      </c>
      <c r="D16" s="808"/>
      <c r="E16" s="808"/>
      <c r="F16" s="202">
        <v>0</v>
      </c>
      <c r="G16" s="202">
        <v>0</v>
      </c>
      <c r="H16" s="202">
        <v>0</v>
      </c>
      <c r="I16" s="202">
        <v>0</v>
      </c>
      <c r="J16" s="203">
        <f t="shared" si="0"/>
        <v>0</v>
      </c>
      <c r="K16" s="597"/>
    </row>
    <row r="17" spans="1:11" ht="12.75">
      <c r="A17" s="201"/>
      <c r="B17" s="201" t="s">
        <v>223</v>
      </c>
      <c r="C17" s="808" t="s">
        <v>646</v>
      </c>
      <c r="D17" s="808"/>
      <c r="E17" s="808"/>
      <c r="F17" s="202">
        <f>SUM(F18:F27)</f>
        <v>0</v>
      </c>
      <c r="G17" s="202">
        <f>SUM(G18:G27)</f>
        <v>0</v>
      </c>
      <c r="H17" s="202">
        <f>SUM(H18:H27)</f>
        <v>0</v>
      </c>
      <c r="I17" s="202">
        <f>SUM(I18:I27)</f>
        <v>0</v>
      </c>
      <c r="J17" s="203">
        <f t="shared" si="0"/>
        <v>0</v>
      </c>
      <c r="K17" s="597"/>
    </row>
    <row r="18" spans="1:11" ht="12.75" hidden="1">
      <c r="A18" s="209"/>
      <c r="B18" s="209"/>
      <c r="C18" s="210" t="s">
        <v>2</v>
      </c>
      <c r="D18" s="210" t="s">
        <v>148</v>
      </c>
      <c r="E18" s="210" t="s">
        <v>149</v>
      </c>
      <c r="F18" s="211">
        <v>0</v>
      </c>
      <c r="G18" s="211">
        <v>0</v>
      </c>
      <c r="H18" s="211">
        <v>0</v>
      </c>
      <c r="I18" s="211">
        <v>0</v>
      </c>
      <c r="J18" s="212">
        <f t="shared" si="0"/>
        <v>0</v>
      </c>
      <c r="K18" s="599"/>
    </row>
    <row r="19" spans="1:11" ht="12.75" hidden="1">
      <c r="A19" s="209"/>
      <c r="B19" s="209"/>
      <c r="C19" s="210"/>
      <c r="D19" s="210" t="s">
        <v>150</v>
      </c>
      <c r="E19" s="210" t="s">
        <v>151</v>
      </c>
      <c r="F19" s="211">
        <v>0</v>
      </c>
      <c r="G19" s="211">
        <v>0</v>
      </c>
      <c r="H19" s="211">
        <v>0</v>
      </c>
      <c r="I19" s="211">
        <v>0</v>
      </c>
      <c r="J19" s="212">
        <f t="shared" si="0"/>
        <v>0</v>
      </c>
      <c r="K19" s="599"/>
    </row>
    <row r="20" spans="1:11" ht="12.75" hidden="1">
      <c r="A20" s="209"/>
      <c r="B20" s="209"/>
      <c r="C20" s="210"/>
      <c r="D20" s="210" t="s">
        <v>152</v>
      </c>
      <c r="E20" s="210" t="s">
        <v>224</v>
      </c>
      <c r="F20" s="211">
        <v>0</v>
      </c>
      <c r="G20" s="211">
        <v>0</v>
      </c>
      <c r="H20" s="211">
        <v>0</v>
      </c>
      <c r="I20" s="211">
        <v>0</v>
      </c>
      <c r="J20" s="212">
        <f t="shared" si="0"/>
        <v>0</v>
      </c>
      <c r="K20" s="599"/>
    </row>
    <row r="21" spans="1:11" ht="12.75" hidden="1">
      <c r="A21" s="209"/>
      <c r="B21" s="209"/>
      <c r="C21" s="210"/>
      <c r="D21" s="210" t="s">
        <v>154</v>
      </c>
      <c r="E21" s="210" t="s">
        <v>155</v>
      </c>
      <c r="F21" s="211">
        <v>0</v>
      </c>
      <c r="G21" s="211">
        <v>0</v>
      </c>
      <c r="H21" s="211">
        <v>0</v>
      </c>
      <c r="I21" s="211">
        <v>0</v>
      </c>
      <c r="J21" s="212">
        <f t="shared" si="0"/>
        <v>0</v>
      </c>
      <c r="K21" s="599"/>
    </row>
    <row r="22" spans="1:11" ht="12.75" hidden="1">
      <c r="A22" s="209"/>
      <c r="B22" s="209"/>
      <c r="C22" s="210"/>
      <c r="D22" s="210" t="s">
        <v>156</v>
      </c>
      <c r="E22" s="210" t="s">
        <v>157</v>
      </c>
      <c r="F22" s="211">
        <v>0</v>
      </c>
      <c r="G22" s="211">
        <v>0</v>
      </c>
      <c r="H22" s="211">
        <v>0</v>
      </c>
      <c r="I22" s="211">
        <v>0</v>
      </c>
      <c r="J22" s="212">
        <f t="shared" si="0"/>
        <v>0</v>
      </c>
      <c r="K22" s="599"/>
    </row>
    <row r="23" spans="1:11" ht="12.75" hidden="1">
      <c r="A23" s="209"/>
      <c r="B23" s="209"/>
      <c r="C23" s="210"/>
      <c r="D23" s="210" t="s">
        <v>158</v>
      </c>
      <c r="E23" s="210" t="s">
        <v>159</v>
      </c>
      <c r="F23" s="211">
        <v>0</v>
      </c>
      <c r="G23" s="211">
        <v>0</v>
      </c>
      <c r="H23" s="211">
        <v>0</v>
      </c>
      <c r="I23" s="211">
        <v>0</v>
      </c>
      <c r="J23" s="212">
        <f t="shared" si="0"/>
        <v>0</v>
      </c>
      <c r="K23" s="599"/>
    </row>
    <row r="24" spans="1:11" ht="12.75" hidden="1">
      <c r="A24" s="209"/>
      <c r="B24" s="209"/>
      <c r="C24" s="210"/>
      <c r="D24" s="210" t="s">
        <v>160</v>
      </c>
      <c r="E24" s="210" t="s">
        <v>161</v>
      </c>
      <c r="F24" s="211">
        <v>0</v>
      </c>
      <c r="G24" s="211">
        <v>0</v>
      </c>
      <c r="H24" s="211">
        <v>0</v>
      </c>
      <c r="I24" s="211">
        <v>0</v>
      </c>
      <c r="J24" s="212">
        <f t="shared" si="0"/>
        <v>0</v>
      </c>
      <c r="K24" s="599"/>
    </row>
    <row r="25" spans="1:11" ht="12.75" hidden="1">
      <c r="A25" s="209"/>
      <c r="B25" s="209"/>
      <c r="C25" s="210"/>
      <c r="D25" s="210" t="s">
        <v>162</v>
      </c>
      <c r="E25" s="210" t="s">
        <v>163</v>
      </c>
      <c r="F25" s="211"/>
      <c r="G25" s="211">
        <v>0</v>
      </c>
      <c r="H25" s="211">
        <v>0</v>
      </c>
      <c r="I25" s="211">
        <v>0</v>
      </c>
      <c r="J25" s="212">
        <f t="shared" si="0"/>
        <v>0</v>
      </c>
      <c r="K25" s="599"/>
    </row>
    <row r="26" spans="1:11" ht="12.75" hidden="1">
      <c r="A26" s="209"/>
      <c r="B26" s="209"/>
      <c r="C26" s="210"/>
      <c r="D26" s="210" t="s">
        <v>164</v>
      </c>
      <c r="E26" s="210" t="s">
        <v>165</v>
      </c>
      <c r="F26" s="211">
        <v>0</v>
      </c>
      <c r="G26" s="211">
        <v>0</v>
      </c>
      <c r="H26" s="211">
        <v>0</v>
      </c>
      <c r="I26" s="211">
        <v>0</v>
      </c>
      <c r="J26" s="212">
        <f t="shared" si="0"/>
        <v>0</v>
      </c>
      <c r="K26" s="599"/>
    </row>
    <row r="27" spans="1:11" ht="12.75" hidden="1">
      <c r="A27" s="209"/>
      <c r="B27" s="209"/>
      <c r="C27" s="210"/>
      <c r="D27" s="210" t="s">
        <v>166</v>
      </c>
      <c r="E27" s="210" t="s">
        <v>167</v>
      </c>
      <c r="F27" s="211">
        <v>0</v>
      </c>
      <c r="G27" s="211">
        <v>0</v>
      </c>
      <c r="H27" s="211">
        <v>0</v>
      </c>
      <c r="I27" s="211">
        <v>0</v>
      </c>
      <c r="J27" s="212">
        <f t="shared" si="0"/>
        <v>0</v>
      </c>
      <c r="K27" s="599"/>
    </row>
    <row r="28" spans="1:11" ht="12.75">
      <c r="A28" s="201"/>
      <c r="B28" s="201" t="s">
        <v>225</v>
      </c>
      <c r="C28" s="808" t="s">
        <v>647</v>
      </c>
      <c r="D28" s="808"/>
      <c r="E28" s="808"/>
      <c r="F28" s="202">
        <v>0</v>
      </c>
      <c r="G28" s="202">
        <v>0</v>
      </c>
      <c r="H28" s="202">
        <v>0</v>
      </c>
      <c r="I28" s="202">
        <v>0</v>
      </c>
      <c r="J28" s="203">
        <f t="shared" si="0"/>
        <v>0</v>
      </c>
      <c r="K28" s="597"/>
    </row>
    <row r="29" spans="1:11" ht="12.75">
      <c r="A29" s="201"/>
      <c r="B29" s="201" t="s">
        <v>226</v>
      </c>
      <c r="C29" s="808" t="s">
        <v>648</v>
      </c>
      <c r="D29" s="808"/>
      <c r="E29" s="808"/>
      <c r="F29" s="202">
        <f>SUM(F30:F39)</f>
        <v>150915709</v>
      </c>
      <c r="G29" s="202">
        <f>SUM(G30:G39)</f>
        <v>0</v>
      </c>
      <c r="H29" s="202">
        <f>SUM(H30:H39)</f>
        <v>5354163</v>
      </c>
      <c r="I29" s="202">
        <f>SUM(I30:I39)</f>
        <v>2576000</v>
      </c>
      <c r="J29" s="203">
        <f t="shared" si="0"/>
        <v>158845872</v>
      </c>
      <c r="K29" s="597"/>
    </row>
    <row r="30" spans="1:11" ht="12.75" hidden="1">
      <c r="A30" s="209"/>
      <c r="B30" s="209"/>
      <c r="C30" s="210" t="s">
        <v>2</v>
      </c>
      <c r="D30" s="210" t="s">
        <v>148</v>
      </c>
      <c r="E30" s="210" t="s">
        <v>149</v>
      </c>
      <c r="F30" s="211">
        <v>0</v>
      </c>
      <c r="G30" s="211">
        <v>0</v>
      </c>
      <c r="H30" s="211">
        <v>0</v>
      </c>
      <c r="I30" s="211">
        <v>0</v>
      </c>
      <c r="J30" s="212">
        <f t="shared" si="0"/>
        <v>0</v>
      </c>
      <c r="K30" s="599"/>
    </row>
    <row r="31" spans="1:11" ht="12.75" hidden="1">
      <c r="A31" s="209"/>
      <c r="B31" s="209"/>
      <c r="C31" s="210"/>
      <c r="D31" s="210" t="s">
        <v>150</v>
      </c>
      <c r="E31" s="210" t="s">
        <v>151</v>
      </c>
      <c r="F31" s="211">
        <v>0</v>
      </c>
      <c r="G31" s="211">
        <v>0</v>
      </c>
      <c r="H31" s="211">
        <v>0</v>
      </c>
      <c r="I31" s="211">
        <v>0</v>
      </c>
      <c r="J31" s="212">
        <f t="shared" si="0"/>
        <v>0</v>
      </c>
      <c r="K31" s="599"/>
    </row>
    <row r="32" spans="1:11" ht="12.75">
      <c r="A32" s="213"/>
      <c r="B32" s="213"/>
      <c r="C32" s="210" t="s">
        <v>2</v>
      </c>
      <c r="D32" s="214"/>
      <c r="E32" s="214" t="s">
        <v>651</v>
      </c>
      <c r="F32" s="211">
        <f>2100000+40118910+5788759+1092680</f>
        <v>49100349</v>
      </c>
      <c r="G32" s="211">
        <v>0</v>
      </c>
      <c r="H32" s="211">
        <v>5354163</v>
      </c>
      <c r="I32" s="211"/>
      <c r="J32" s="212">
        <f t="shared" si="0"/>
        <v>54454512</v>
      </c>
      <c r="K32" s="599"/>
    </row>
    <row r="33" spans="1:11" ht="12.75">
      <c r="A33" s="209"/>
      <c r="B33" s="209"/>
      <c r="C33" s="210"/>
      <c r="D33" s="210"/>
      <c r="E33" s="210" t="s">
        <v>155</v>
      </c>
      <c r="F33" s="211">
        <v>7411115</v>
      </c>
      <c r="G33" s="211">
        <v>0</v>
      </c>
      <c r="H33" s="211">
        <v>0</v>
      </c>
      <c r="I33" s="211">
        <v>0</v>
      </c>
      <c r="J33" s="212">
        <f t="shared" si="0"/>
        <v>7411115</v>
      </c>
      <c r="K33" s="599"/>
    </row>
    <row r="34" spans="1:11" ht="12.75">
      <c r="A34" s="209"/>
      <c r="B34" s="209"/>
      <c r="C34" s="210"/>
      <c r="D34" s="210"/>
      <c r="E34" s="210" t="s">
        <v>157</v>
      </c>
      <c r="F34" s="211">
        <f>21600000+7959000</f>
        <v>29559000</v>
      </c>
      <c r="G34" s="211">
        <v>0</v>
      </c>
      <c r="H34" s="211">
        <v>0</v>
      </c>
      <c r="I34" s="211">
        <v>0</v>
      </c>
      <c r="J34" s="212">
        <f t="shared" si="0"/>
        <v>29559000</v>
      </c>
      <c r="K34" s="599"/>
    </row>
    <row r="35" spans="1:11" ht="12.75">
      <c r="A35" s="209"/>
      <c r="B35" s="209"/>
      <c r="C35" s="210"/>
      <c r="D35" s="210"/>
      <c r="E35" s="210" t="s">
        <v>159</v>
      </c>
      <c r="F35" s="211">
        <f>13227888+4016545+26537427+16490993</f>
        <v>60272853</v>
      </c>
      <c r="G35" s="211"/>
      <c r="H35" s="211">
        <v>0</v>
      </c>
      <c r="I35" s="211">
        <v>2576000</v>
      </c>
      <c r="J35" s="212">
        <f t="shared" si="0"/>
        <v>62848853</v>
      </c>
      <c r="K35" s="599"/>
    </row>
    <row r="36" spans="1:11" ht="12.75">
      <c r="A36" s="209"/>
      <c r="B36" s="209"/>
      <c r="C36" s="210"/>
      <c r="D36" s="210"/>
      <c r="E36" s="210" t="s">
        <v>161</v>
      </c>
      <c r="F36" s="211">
        <f>3386445+1185947</f>
        <v>4572392</v>
      </c>
      <c r="G36" s="211">
        <v>0</v>
      </c>
      <c r="H36" s="211">
        <v>0</v>
      </c>
      <c r="I36" s="211">
        <v>0</v>
      </c>
      <c r="J36" s="212">
        <f t="shared" si="0"/>
        <v>4572392</v>
      </c>
      <c r="K36" s="599"/>
    </row>
    <row r="37" spans="1:11" ht="12.75" hidden="1">
      <c r="A37" s="209"/>
      <c r="B37" s="209"/>
      <c r="C37" s="210"/>
      <c r="D37" s="210"/>
      <c r="E37" s="210" t="s">
        <v>163</v>
      </c>
      <c r="F37" s="211">
        <v>0</v>
      </c>
      <c r="G37" s="211">
        <v>0</v>
      </c>
      <c r="H37" s="211">
        <v>0</v>
      </c>
      <c r="I37" s="211">
        <v>0</v>
      </c>
      <c r="J37" s="212">
        <f t="shared" si="0"/>
        <v>0</v>
      </c>
      <c r="K37" s="599"/>
    </row>
    <row r="38" spans="1:11" ht="12.75" hidden="1">
      <c r="A38" s="209"/>
      <c r="B38" s="209"/>
      <c r="C38" s="210"/>
      <c r="D38" s="210"/>
      <c r="E38" s="210" t="s">
        <v>652</v>
      </c>
      <c r="F38" s="211">
        <v>0</v>
      </c>
      <c r="G38" s="211">
        <v>0</v>
      </c>
      <c r="H38" s="211">
        <v>0</v>
      </c>
      <c r="I38" s="211">
        <v>0</v>
      </c>
      <c r="J38" s="212">
        <f t="shared" si="0"/>
        <v>0</v>
      </c>
      <c r="K38" s="599"/>
    </row>
    <row r="39" spans="1:11" ht="12.75" hidden="1">
      <c r="A39" s="209"/>
      <c r="B39" s="209"/>
      <c r="C39" s="210"/>
      <c r="D39" s="210"/>
      <c r="E39" s="210" t="s">
        <v>653</v>
      </c>
      <c r="F39" s="211">
        <v>0</v>
      </c>
      <c r="G39" s="211">
        <v>0</v>
      </c>
      <c r="H39" s="211">
        <v>0</v>
      </c>
      <c r="I39" s="211">
        <v>0</v>
      </c>
      <c r="J39" s="212">
        <f t="shared" si="0"/>
        <v>0</v>
      </c>
      <c r="K39" s="599"/>
    </row>
    <row r="40" spans="1:11" s="200" customFormat="1" ht="12.75">
      <c r="A40" s="198" t="s">
        <v>227</v>
      </c>
      <c r="B40" s="816" t="s">
        <v>659</v>
      </c>
      <c r="C40" s="816"/>
      <c r="D40" s="816"/>
      <c r="E40" s="816"/>
      <c r="F40" s="199">
        <f>SUM(F41:F45)</f>
        <v>6264795</v>
      </c>
      <c r="G40" s="199">
        <f>SUM(G41:G45)</f>
        <v>0</v>
      </c>
      <c r="H40" s="199">
        <f>SUM(H41:H45)</f>
        <v>0</v>
      </c>
      <c r="I40" s="199">
        <f>SUM(I41:I45)</f>
        <v>0</v>
      </c>
      <c r="J40" s="199">
        <f t="shared" si="0"/>
        <v>6264795</v>
      </c>
      <c r="K40" s="596"/>
    </row>
    <row r="41" spans="1:11" ht="12.75" hidden="1">
      <c r="A41" s="201"/>
      <c r="B41" s="201" t="s">
        <v>228</v>
      </c>
      <c r="C41" s="808" t="s">
        <v>654</v>
      </c>
      <c r="D41" s="808"/>
      <c r="E41" s="808"/>
      <c r="F41" s="202">
        <v>0</v>
      </c>
      <c r="G41" s="202">
        <v>0</v>
      </c>
      <c r="H41" s="202">
        <v>0</v>
      </c>
      <c r="I41" s="202">
        <v>0</v>
      </c>
      <c r="J41" s="203">
        <f t="shared" si="0"/>
        <v>0</v>
      </c>
      <c r="K41" s="597"/>
    </row>
    <row r="42" spans="1:11" ht="12.75" hidden="1">
      <c r="A42" s="201"/>
      <c r="B42" s="201" t="s">
        <v>229</v>
      </c>
      <c r="C42" s="808" t="s">
        <v>655</v>
      </c>
      <c r="D42" s="808"/>
      <c r="E42" s="808"/>
      <c r="F42" s="202">
        <v>0</v>
      </c>
      <c r="G42" s="202">
        <v>0</v>
      </c>
      <c r="H42" s="202">
        <v>0</v>
      </c>
      <c r="I42" s="202">
        <v>0</v>
      </c>
      <c r="J42" s="203">
        <f t="shared" si="0"/>
        <v>0</v>
      </c>
      <c r="K42" s="597"/>
    </row>
    <row r="43" spans="1:11" ht="12.75" hidden="1">
      <c r="A43" s="201"/>
      <c r="B43" s="201" t="s">
        <v>230</v>
      </c>
      <c r="C43" s="808" t="s">
        <v>656</v>
      </c>
      <c r="D43" s="808"/>
      <c r="E43" s="808"/>
      <c r="F43" s="202">
        <v>0</v>
      </c>
      <c r="G43" s="202">
        <v>0</v>
      </c>
      <c r="H43" s="202">
        <v>0</v>
      </c>
      <c r="I43" s="202">
        <v>0</v>
      </c>
      <c r="J43" s="203">
        <f t="shared" si="0"/>
        <v>0</v>
      </c>
      <c r="K43" s="597"/>
    </row>
    <row r="44" spans="1:11" ht="12.75" hidden="1">
      <c r="A44" s="201"/>
      <c r="B44" s="201" t="s">
        <v>231</v>
      </c>
      <c r="C44" s="808" t="s">
        <v>657</v>
      </c>
      <c r="D44" s="808"/>
      <c r="E44" s="808"/>
      <c r="F44" s="202">
        <v>0</v>
      </c>
      <c r="G44" s="202">
        <v>0</v>
      </c>
      <c r="H44" s="202">
        <v>0</v>
      </c>
      <c r="I44" s="202">
        <v>0</v>
      </c>
      <c r="J44" s="203">
        <f t="shared" si="0"/>
        <v>0</v>
      </c>
      <c r="K44" s="597"/>
    </row>
    <row r="45" spans="1:11" ht="12.75">
      <c r="A45" s="201"/>
      <c r="B45" s="201" t="s">
        <v>232</v>
      </c>
      <c r="C45" s="808" t="s">
        <v>658</v>
      </c>
      <c r="D45" s="808"/>
      <c r="E45" s="808"/>
      <c r="F45" s="202">
        <f>SUM(F46:F56)</f>
        <v>6264795</v>
      </c>
      <c r="G45" s="202">
        <f>SUM(G46:G56)</f>
        <v>0</v>
      </c>
      <c r="H45" s="202">
        <f>SUM(H46:H56)</f>
        <v>0</v>
      </c>
      <c r="I45" s="202">
        <f>SUM(I46:I56)</f>
        <v>0</v>
      </c>
      <c r="J45" s="203">
        <f t="shared" si="0"/>
        <v>6264795</v>
      </c>
      <c r="K45" s="597"/>
    </row>
    <row r="46" spans="1:11" ht="12.75" hidden="1">
      <c r="A46" s="209"/>
      <c r="B46" s="209"/>
      <c r="C46" s="210" t="s">
        <v>2</v>
      </c>
      <c r="D46" s="210" t="s">
        <v>148</v>
      </c>
      <c r="E46" s="210" t="s">
        <v>149</v>
      </c>
      <c r="F46" s="211">
        <v>0</v>
      </c>
      <c r="G46" s="211">
        <v>0</v>
      </c>
      <c r="H46" s="211">
        <v>0</v>
      </c>
      <c r="I46" s="211">
        <v>0</v>
      </c>
      <c r="J46" s="212">
        <f t="shared" si="0"/>
        <v>0</v>
      </c>
      <c r="K46" s="599"/>
    </row>
    <row r="47" spans="1:11" ht="12.75" hidden="1">
      <c r="A47" s="209"/>
      <c r="B47" s="209"/>
      <c r="C47" s="210"/>
      <c r="D47" s="210" t="s">
        <v>150</v>
      </c>
      <c r="E47" s="210" t="s">
        <v>151</v>
      </c>
      <c r="F47" s="211">
        <v>0</v>
      </c>
      <c r="G47" s="211">
        <v>0</v>
      </c>
      <c r="H47" s="211">
        <v>0</v>
      </c>
      <c r="I47" s="211">
        <v>0</v>
      </c>
      <c r="J47" s="212">
        <f t="shared" si="0"/>
        <v>0</v>
      </c>
      <c r="K47" s="599"/>
    </row>
    <row r="48" spans="1:11" ht="12" customHeight="1">
      <c r="A48" s="213"/>
      <c r="B48" s="213"/>
      <c r="C48" s="210" t="s">
        <v>2</v>
      </c>
      <c r="D48" s="214"/>
      <c r="E48" s="214" t="s">
        <v>224</v>
      </c>
      <c r="F48" s="211">
        <v>6000000</v>
      </c>
      <c r="G48" s="211">
        <v>0</v>
      </c>
      <c r="H48" s="211">
        <v>0</v>
      </c>
      <c r="I48" s="211"/>
      <c r="J48" s="212">
        <f t="shared" si="0"/>
        <v>6000000</v>
      </c>
      <c r="K48" s="599"/>
    </row>
    <row r="49" spans="1:11" ht="12.75" hidden="1">
      <c r="A49" s="209"/>
      <c r="B49" s="209"/>
      <c r="C49" s="210"/>
      <c r="D49" s="210" t="s">
        <v>154</v>
      </c>
      <c r="E49" s="210" t="s">
        <v>155</v>
      </c>
      <c r="F49" s="211"/>
      <c r="G49" s="211">
        <v>0</v>
      </c>
      <c r="H49" s="211">
        <v>0</v>
      </c>
      <c r="I49" s="211">
        <v>0</v>
      </c>
      <c r="J49" s="212">
        <f t="shared" si="0"/>
        <v>0</v>
      </c>
      <c r="K49" s="599"/>
    </row>
    <row r="50" spans="1:11" ht="12.75" hidden="1">
      <c r="A50" s="209"/>
      <c r="B50" s="209"/>
      <c r="C50" s="210"/>
      <c r="D50" s="210" t="s">
        <v>156</v>
      </c>
      <c r="E50" s="210" t="s">
        <v>157</v>
      </c>
      <c r="F50" s="211"/>
      <c r="G50" s="211">
        <v>0</v>
      </c>
      <c r="H50" s="211">
        <v>0</v>
      </c>
      <c r="I50" s="211">
        <v>0</v>
      </c>
      <c r="J50" s="212">
        <f t="shared" si="0"/>
        <v>0</v>
      </c>
      <c r="K50" s="599"/>
    </row>
    <row r="51" spans="1:11" ht="12.75" hidden="1">
      <c r="A51" s="209"/>
      <c r="B51" s="209"/>
      <c r="C51" s="210"/>
      <c r="D51" s="210" t="s">
        <v>158</v>
      </c>
      <c r="E51" s="210" t="s">
        <v>159</v>
      </c>
      <c r="F51" s="211"/>
      <c r="G51" s="211">
        <v>0</v>
      </c>
      <c r="H51" s="211">
        <v>0</v>
      </c>
      <c r="I51" s="211">
        <v>0</v>
      </c>
      <c r="J51" s="212">
        <f t="shared" si="0"/>
        <v>0</v>
      </c>
      <c r="K51" s="599"/>
    </row>
    <row r="52" spans="1:11" ht="12.75" hidden="1">
      <c r="A52" s="209"/>
      <c r="B52" s="209"/>
      <c r="C52" s="210"/>
      <c r="D52" s="210" t="s">
        <v>160</v>
      </c>
      <c r="E52" s="210" t="s">
        <v>161</v>
      </c>
      <c r="F52" s="211"/>
      <c r="G52" s="211">
        <v>0</v>
      </c>
      <c r="H52" s="211">
        <v>0</v>
      </c>
      <c r="I52" s="211">
        <v>0</v>
      </c>
      <c r="J52" s="212">
        <f t="shared" si="0"/>
        <v>0</v>
      </c>
      <c r="K52" s="599"/>
    </row>
    <row r="53" spans="1:11" ht="12.75" hidden="1">
      <c r="A53" s="209"/>
      <c r="B53" s="209"/>
      <c r="C53" s="210"/>
      <c r="D53" s="210" t="s">
        <v>162</v>
      </c>
      <c r="E53" s="210" t="s">
        <v>163</v>
      </c>
      <c r="F53" s="211"/>
      <c r="G53" s="211">
        <v>0</v>
      </c>
      <c r="H53" s="211">
        <v>0</v>
      </c>
      <c r="I53" s="211">
        <v>0</v>
      </c>
      <c r="J53" s="212">
        <f t="shared" si="0"/>
        <v>0</v>
      </c>
      <c r="K53" s="599"/>
    </row>
    <row r="54" spans="1:11" ht="12.75" hidden="1">
      <c r="A54" s="209"/>
      <c r="B54" s="209"/>
      <c r="C54" s="210"/>
      <c r="D54" s="210" t="s">
        <v>164</v>
      </c>
      <c r="E54" s="210" t="s">
        <v>165</v>
      </c>
      <c r="F54" s="211"/>
      <c r="G54" s="211">
        <v>0</v>
      </c>
      <c r="H54" s="211">
        <v>0</v>
      </c>
      <c r="I54" s="211">
        <v>0</v>
      </c>
      <c r="J54" s="212">
        <f t="shared" si="0"/>
        <v>0</v>
      </c>
      <c r="K54" s="599"/>
    </row>
    <row r="55" spans="1:11" ht="12.75" hidden="1">
      <c r="A55" s="209"/>
      <c r="B55" s="209"/>
      <c r="C55" s="210"/>
      <c r="D55" s="210" t="s">
        <v>166</v>
      </c>
      <c r="E55" s="210" t="s">
        <v>167</v>
      </c>
      <c r="F55" s="211"/>
      <c r="G55" s="211">
        <v>0</v>
      </c>
      <c r="H55" s="211">
        <v>0</v>
      </c>
      <c r="I55" s="211">
        <v>0</v>
      </c>
      <c r="J55" s="212">
        <f t="shared" si="0"/>
        <v>0</v>
      </c>
      <c r="K55" s="599"/>
    </row>
    <row r="56" spans="1:11" ht="12.75">
      <c r="A56" s="209"/>
      <c r="B56" s="209"/>
      <c r="C56" s="210"/>
      <c r="D56" s="210"/>
      <c r="E56" s="210" t="s">
        <v>159</v>
      </c>
      <c r="F56" s="211">
        <f>74295+190500</f>
        <v>264795</v>
      </c>
      <c r="G56" s="211">
        <v>0</v>
      </c>
      <c r="H56" s="211">
        <v>0</v>
      </c>
      <c r="I56" s="211">
        <v>0</v>
      </c>
      <c r="J56" s="212">
        <f t="shared" si="0"/>
        <v>264795</v>
      </c>
      <c r="K56" s="599"/>
    </row>
    <row r="57" spans="1:11" s="200" customFormat="1" ht="12.75">
      <c r="A57" s="198" t="s">
        <v>233</v>
      </c>
      <c r="B57" s="816" t="s">
        <v>234</v>
      </c>
      <c r="C57" s="816"/>
      <c r="D57" s="816"/>
      <c r="E57" s="816"/>
      <c r="F57" s="199">
        <f>SUM(F58+F59+F60+F61+F64+F75)</f>
        <v>261700000</v>
      </c>
      <c r="G57" s="199">
        <f>SUM(G58+G59+G60+G61+G64+G75)</f>
        <v>0</v>
      </c>
      <c r="H57" s="199">
        <f>SUM(H58+H59+H60+H61+H64+H75)</f>
        <v>0</v>
      </c>
      <c r="I57" s="199">
        <f>SUM(I58+I59+I60+I61+I64+I75)</f>
        <v>0</v>
      </c>
      <c r="J57" s="199">
        <f t="shared" si="0"/>
        <v>261700000</v>
      </c>
      <c r="K57" s="596"/>
    </row>
    <row r="58" spans="1:11" ht="12.75">
      <c r="A58" s="201"/>
      <c r="B58" s="201" t="s">
        <v>235</v>
      </c>
      <c r="C58" s="808" t="s">
        <v>236</v>
      </c>
      <c r="D58" s="808"/>
      <c r="E58" s="808"/>
      <c r="F58" s="202">
        <v>50000</v>
      </c>
      <c r="G58" s="202">
        <v>0</v>
      </c>
      <c r="H58" s="202">
        <v>0</v>
      </c>
      <c r="I58" s="202">
        <v>0</v>
      </c>
      <c r="J58" s="203">
        <f t="shared" si="0"/>
        <v>50000</v>
      </c>
      <c r="K58" s="597"/>
    </row>
    <row r="59" spans="1:11" ht="12.75">
      <c r="A59" s="201"/>
      <c r="B59" s="201" t="s">
        <v>237</v>
      </c>
      <c r="C59" s="808" t="s">
        <v>238</v>
      </c>
      <c r="D59" s="808"/>
      <c r="E59" s="808"/>
      <c r="F59" s="202">
        <v>0</v>
      </c>
      <c r="G59" s="202">
        <v>0</v>
      </c>
      <c r="H59" s="202">
        <v>0</v>
      </c>
      <c r="I59" s="202">
        <v>0</v>
      </c>
      <c r="J59" s="203">
        <f t="shared" si="0"/>
        <v>0</v>
      </c>
      <c r="K59" s="597"/>
    </row>
    <row r="60" spans="1:11" ht="12.75">
      <c r="A60" s="201"/>
      <c r="B60" s="201" t="s">
        <v>239</v>
      </c>
      <c r="C60" s="808" t="s">
        <v>240</v>
      </c>
      <c r="D60" s="808"/>
      <c r="E60" s="808"/>
      <c r="F60" s="202">
        <v>0</v>
      </c>
      <c r="G60" s="202">
        <v>0</v>
      </c>
      <c r="H60" s="202">
        <v>0</v>
      </c>
      <c r="I60" s="202">
        <v>0</v>
      </c>
      <c r="J60" s="203">
        <f t="shared" si="0"/>
        <v>0</v>
      </c>
      <c r="K60" s="597"/>
    </row>
    <row r="61" spans="1:11" ht="12.75">
      <c r="A61" s="201"/>
      <c r="B61" s="201" t="s">
        <v>241</v>
      </c>
      <c r="C61" s="808" t="s">
        <v>242</v>
      </c>
      <c r="D61" s="808"/>
      <c r="E61" s="808"/>
      <c r="F61" s="202">
        <f>SUM(F62:F63)</f>
        <v>38850000</v>
      </c>
      <c r="G61" s="202">
        <f>SUM(G62:G63)</f>
        <v>0</v>
      </c>
      <c r="H61" s="202">
        <v>0</v>
      </c>
      <c r="I61" s="202">
        <v>0</v>
      </c>
      <c r="J61" s="203">
        <f t="shared" si="0"/>
        <v>38850000</v>
      </c>
      <c r="K61" s="597"/>
    </row>
    <row r="62" spans="1:11" ht="12.75">
      <c r="A62" s="209"/>
      <c r="B62" s="209"/>
      <c r="C62" s="210"/>
      <c r="D62" s="210"/>
      <c r="E62" s="210" t="s">
        <v>243</v>
      </c>
      <c r="F62" s="211">
        <v>38000000</v>
      </c>
      <c r="G62" s="211">
        <v>0</v>
      </c>
      <c r="H62" s="211">
        <v>0</v>
      </c>
      <c r="I62" s="211">
        <v>0</v>
      </c>
      <c r="J62" s="212">
        <f t="shared" si="0"/>
        <v>38000000</v>
      </c>
      <c r="K62" s="599"/>
    </row>
    <row r="63" spans="1:11" ht="12.75">
      <c r="A63" s="209"/>
      <c r="B63" s="209"/>
      <c r="C63" s="210"/>
      <c r="D63" s="210"/>
      <c r="E63" s="210" t="s">
        <v>244</v>
      </c>
      <c r="F63" s="211">
        <v>850000</v>
      </c>
      <c r="G63" s="211">
        <v>0</v>
      </c>
      <c r="H63" s="211">
        <v>0</v>
      </c>
      <c r="I63" s="211">
        <v>0</v>
      </c>
      <c r="J63" s="212">
        <f t="shared" si="0"/>
        <v>850000</v>
      </c>
      <c r="K63" s="599"/>
    </row>
    <row r="64" spans="1:11" ht="12.75">
      <c r="A64" s="201"/>
      <c r="B64" s="201" t="s">
        <v>245</v>
      </c>
      <c r="C64" s="808" t="s">
        <v>246</v>
      </c>
      <c r="D64" s="808"/>
      <c r="E64" s="808"/>
      <c r="F64" s="202">
        <f>SUM(F65+F68+F70+F71+F73)</f>
        <v>222150000</v>
      </c>
      <c r="G64" s="202">
        <f>SUM(G65+G68+G70+G71+G73)</f>
        <v>0</v>
      </c>
      <c r="H64" s="202">
        <v>0</v>
      </c>
      <c r="I64" s="202">
        <v>0</v>
      </c>
      <c r="J64" s="203">
        <f t="shared" si="0"/>
        <v>222150000</v>
      </c>
      <c r="K64" s="597"/>
    </row>
    <row r="65" spans="1:11" ht="12.75">
      <c r="A65" s="204"/>
      <c r="B65" s="204"/>
      <c r="C65" s="204" t="s">
        <v>247</v>
      </c>
      <c r="D65" s="204" t="s">
        <v>248</v>
      </c>
      <c r="E65" s="204"/>
      <c r="F65" s="205">
        <f>SUM(F66:F67)</f>
        <v>200150000</v>
      </c>
      <c r="G65" s="205">
        <f>SUM(G66:G67)</f>
        <v>0</v>
      </c>
      <c r="H65" s="205">
        <v>0</v>
      </c>
      <c r="I65" s="205">
        <v>0</v>
      </c>
      <c r="J65" s="206">
        <f t="shared" si="0"/>
        <v>200150000</v>
      </c>
      <c r="K65" s="598"/>
    </row>
    <row r="66" spans="1:11" ht="12.75">
      <c r="A66" s="209"/>
      <c r="B66" s="209"/>
      <c r="C66" s="210"/>
      <c r="D66" s="210"/>
      <c r="E66" s="210" t="s">
        <v>660</v>
      </c>
      <c r="F66" s="211">
        <v>200000000</v>
      </c>
      <c r="G66" s="211">
        <v>0</v>
      </c>
      <c r="H66" s="211">
        <v>0</v>
      </c>
      <c r="I66" s="211">
        <v>0</v>
      </c>
      <c r="J66" s="212">
        <f t="shared" si="0"/>
        <v>200000000</v>
      </c>
      <c r="K66" s="599"/>
    </row>
    <row r="67" spans="1:11" ht="12.75">
      <c r="A67" s="209"/>
      <c r="B67" s="209"/>
      <c r="C67" s="210"/>
      <c r="D67" s="210"/>
      <c r="E67" s="210" t="s">
        <v>661</v>
      </c>
      <c r="F67" s="211">
        <v>150000</v>
      </c>
      <c r="G67" s="211">
        <v>0</v>
      </c>
      <c r="H67" s="211">
        <v>0</v>
      </c>
      <c r="I67" s="211">
        <v>0</v>
      </c>
      <c r="J67" s="212">
        <f t="shared" si="0"/>
        <v>150000</v>
      </c>
      <c r="K67" s="599"/>
    </row>
    <row r="68" spans="1:11" ht="12.75">
      <c r="A68" s="204"/>
      <c r="B68" s="204"/>
      <c r="C68" s="204" t="s">
        <v>249</v>
      </c>
      <c r="D68" s="204" t="s">
        <v>580</v>
      </c>
      <c r="E68" s="204"/>
      <c r="F68" s="205">
        <f>SUM(F69)</f>
        <v>0</v>
      </c>
      <c r="G68" s="205">
        <f>SUM(G69)</f>
        <v>0</v>
      </c>
      <c r="H68" s="205">
        <f>SUM(H69)</f>
        <v>0</v>
      </c>
      <c r="I68" s="205">
        <f>SUM(I69)</f>
        <v>0</v>
      </c>
      <c r="J68" s="206">
        <f t="shared" si="0"/>
        <v>0</v>
      </c>
      <c r="K68" s="598"/>
    </row>
    <row r="69" spans="1:11" ht="12.75" hidden="1">
      <c r="A69" s="204"/>
      <c r="B69" s="204"/>
      <c r="C69" s="204"/>
      <c r="D69" s="204"/>
      <c r="E69" s="210" t="s">
        <v>581</v>
      </c>
      <c r="F69" s="205">
        <v>0</v>
      </c>
      <c r="G69" s="205">
        <v>0</v>
      </c>
      <c r="H69" s="205">
        <v>0</v>
      </c>
      <c r="I69" s="205">
        <v>0</v>
      </c>
      <c r="J69" s="206">
        <f t="shared" si="0"/>
        <v>0</v>
      </c>
      <c r="K69" s="598"/>
    </row>
    <row r="70" spans="1:11" ht="12.75">
      <c r="A70" s="204"/>
      <c r="B70" s="204"/>
      <c r="C70" s="204" t="s">
        <v>250</v>
      </c>
      <c r="D70" s="204" t="s">
        <v>251</v>
      </c>
      <c r="E70" s="204"/>
      <c r="F70" s="205">
        <v>0</v>
      </c>
      <c r="G70" s="205">
        <v>0</v>
      </c>
      <c r="H70" s="205">
        <v>0</v>
      </c>
      <c r="I70" s="205">
        <v>0</v>
      </c>
      <c r="J70" s="206">
        <f t="shared" si="0"/>
        <v>0</v>
      </c>
      <c r="K70" s="598"/>
    </row>
    <row r="71" spans="1:11" ht="12.75">
      <c r="A71" s="204"/>
      <c r="B71" s="204"/>
      <c r="C71" s="204" t="s">
        <v>252</v>
      </c>
      <c r="D71" s="204" t="s">
        <v>253</v>
      </c>
      <c r="E71" s="204"/>
      <c r="F71" s="205">
        <f>SUM(F72)</f>
        <v>22000000</v>
      </c>
      <c r="G71" s="205">
        <f>SUM(G72:G72)</f>
        <v>0</v>
      </c>
      <c r="H71" s="205">
        <v>0</v>
      </c>
      <c r="I71" s="205">
        <v>0</v>
      </c>
      <c r="J71" s="206">
        <f t="shared" si="0"/>
        <v>22000000</v>
      </c>
      <c r="K71" s="598"/>
    </row>
    <row r="72" spans="1:11" ht="12.75">
      <c r="A72" s="209"/>
      <c r="B72" s="209"/>
      <c r="C72" s="209"/>
      <c r="D72" s="210"/>
      <c r="E72" s="210" t="s">
        <v>662</v>
      </c>
      <c r="F72" s="211">
        <v>22000000</v>
      </c>
      <c r="G72" s="211">
        <v>0</v>
      </c>
      <c r="H72" s="211">
        <v>0</v>
      </c>
      <c r="I72" s="211">
        <v>0</v>
      </c>
      <c r="J72" s="212">
        <f t="shared" si="0"/>
        <v>22000000</v>
      </c>
      <c r="K72" s="599"/>
    </row>
    <row r="73" spans="1:11" ht="12.75">
      <c r="A73" s="204"/>
      <c r="B73" s="204"/>
      <c r="C73" s="204" t="s">
        <v>254</v>
      </c>
      <c r="D73" s="204" t="s">
        <v>255</v>
      </c>
      <c r="E73" s="204"/>
      <c r="F73" s="205">
        <f>SUM(F74:F74)</f>
        <v>0</v>
      </c>
      <c r="G73" s="205">
        <v>0</v>
      </c>
      <c r="H73" s="205">
        <v>0</v>
      </c>
      <c r="I73" s="205">
        <v>0</v>
      </c>
      <c r="J73" s="206">
        <f aca="true" t="shared" si="1" ref="J73:J136">SUM(F73:I73)</f>
        <v>0</v>
      </c>
      <c r="K73" s="598"/>
    </row>
    <row r="74" spans="1:11" ht="12.75" hidden="1">
      <c r="A74" s="209"/>
      <c r="B74" s="209"/>
      <c r="C74" s="209"/>
      <c r="D74" s="210"/>
      <c r="E74" s="210" t="s">
        <v>257</v>
      </c>
      <c r="F74" s="211">
        <v>0</v>
      </c>
      <c r="G74" s="211">
        <v>0</v>
      </c>
      <c r="H74" s="211">
        <v>0</v>
      </c>
      <c r="I74" s="211">
        <v>0</v>
      </c>
      <c r="J74" s="212">
        <f t="shared" si="1"/>
        <v>0</v>
      </c>
      <c r="K74" s="599"/>
    </row>
    <row r="75" spans="1:11" ht="12.75">
      <c r="A75" s="201"/>
      <c r="B75" s="201" t="s">
        <v>258</v>
      </c>
      <c r="C75" s="808" t="s">
        <v>259</v>
      </c>
      <c r="D75" s="808"/>
      <c r="E75" s="808"/>
      <c r="F75" s="202">
        <f>SUM(F76:F85)</f>
        <v>650000</v>
      </c>
      <c r="G75" s="202">
        <f>SUM(G76:G85)</f>
        <v>0</v>
      </c>
      <c r="H75" s="202">
        <f>SUM(H76:H85)</f>
        <v>0</v>
      </c>
      <c r="I75" s="202">
        <f>SUM(I76:I85)</f>
        <v>0</v>
      </c>
      <c r="J75" s="203">
        <f t="shared" si="1"/>
        <v>650000</v>
      </c>
      <c r="K75" s="597"/>
    </row>
    <row r="76" spans="1:11" ht="12.75" hidden="1">
      <c r="A76" s="215"/>
      <c r="B76" s="215"/>
      <c r="C76" s="215"/>
      <c r="D76" s="210"/>
      <c r="E76" s="210" t="s">
        <v>260</v>
      </c>
      <c r="F76" s="211">
        <v>0</v>
      </c>
      <c r="G76" s="211">
        <v>0</v>
      </c>
      <c r="H76" s="211">
        <v>0</v>
      </c>
      <c r="I76" s="211">
        <v>0</v>
      </c>
      <c r="J76" s="212">
        <f t="shared" si="1"/>
        <v>0</v>
      </c>
      <c r="K76" s="599"/>
    </row>
    <row r="77" spans="1:11" ht="12.75" hidden="1">
      <c r="A77" s="209"/>
      <c r="B77" s="209"/>
      <c r="C77" s="209"/>
      <c r="D77" s="210"/>
      <c r="E77" s="210" t="s">
        <v>261</v>
      </c>
      <c r="F77" s="211">
        <v>0</v>
      </c>
      <c r="G77" s="211"/>
      <c r="H77" s="211">
        <v>0</v>
      </c>
      <c r="I77" s="211">
        <v>0</v>
      </c>
      <c r="J77" s="212">
        <f t="shared" si="1"/>
        <v>0</v>
      </c>
      <c r="K77" s="599"/>
    </row>
    <row r="78" spans="1:11" ht="12.75" hidden="1">
      <c r="A78" s="215"/>
      <c r="B78" s="215"/>
      <c r="C78" s="215"/>
      <c r="D78" s="210"/>
      <c r="E78" s="210" t="s">
        <v>262</v>
      </c>
      <c r="F78" s="211">
        <v>0</v>
      </c>
      <c r="G78" s="211">
        <v>0</v>
      </c>
      <c r="H78" s="211">
        <v>0</v>
      </c>
      <c r="I78" s="211">
        <v>0</v>
      </c>
      <c r="J78" s="212">
        <f t="shared" si="1"/>
        <v>0</v>
      </c>
      <c r="K78" s="599"/>
    </row>
    <row r="79" spans="1:11" ht="12.75" customHeight="1">
      <c r="A79" s="215"/>
      <c r="B79" s="215"/>
      <c r="C79" s="215"/>
      <c r="D79" s="210"/>
      <c r="E79" s="210" t="s">
        <v>256</v>
      </c>
      <c r="F79" s="211">
        <v>350000</v>
      </c>
      <c r="G79" s="211">
        <v>0</v>
      </c>
      <c r="H79" s="211">
        <v>0</v>
      </c>
      <c r="I79" s="211">
        <v>0</v>
      </c>
      <c r="J79" s="212">
        <f t="shared" si="1"/>
        <v>350000</v>
      </c>
      <c r="K79" s="599"/>
    </row>
    <row r="80" spans="1:11" ht="0.75" customHeight="1" hidden="1">
      <c r="A80" s="215"/>
      <c r="B80" s="215"/>
      <c r="C80" s="215"/>
      <c r="D80" s="210"/>
      <c r="E80" s="210" t="s">
        <v>263</v>
      </c>
      <c r="F80" s="211"/>
      <c r="G80" s="211">
        <v>0</v>
      </c>
      <c r="H80" s="211">
        <v>0</v>
      </c>
      <c r="I80" s="211">
        <v>0</v>
      </c>
      <c r="J80" s="212">
        <f t="shared" si="1"/>
        <v>0</v>
      </c>
      <c r="K80" s="599"/>
    </row>
    <row r="81" spans="1:11" ht="12.75" hidden="1">
      <c r="A81" s="215"/>
      <c r="B81" s="215"/>
      <c r="C81" s="215"/>
      <c r="D81" s="210"/>
      <c r="E81" s="210" t="s">
        <v>264</v>
      </c>
      <c r="F81" s="211"/>
      <c r="G81" s="211">
        <v>0</v>
      </c>
      <c r="H81" s="211">
        <v>0</v>
      </c>
      <c r="I81" s="211">
        <v>0</v>
      </c>
      <c r="J81" s="212">
        <f t="shared" si="1"/>
        <v>0</v>
      </c>
      <c r="K81" s="599"/>
    </row>
    <row r="82" spans="1:11" ht="12.75" hidden="1">
      <c r="A82" s="215"/>
      <c r="B82" s="215"/>
      <c r="C82" s="215"/>
      <c r="D82" s="210"/>
      <c r="E82" s="210" t="s">
        <v>624</v>
      </c>
      <c r="F82" s="211"/>
      <c r="G82" s="211">
        <v>0</v>
      </c>
      <c r="H82" s="211">
        <v>0</v>
      </c>
      <c r="I82" s="211">
        <v>0</v>
      </c>
      <c r="J82" s="212">
        <f t="shared" si="1"/>
        <v>0</v>
      </c>
      <c r="K82" s="599"/>
    </row>
    <row r="83" spans="1:11" ht="30" customHeight="1" hidden="1">
      <c r="A83" s="209"/>
      <c r="B83" s="209"/>
      <c r="C83" s="209"/>
      <c r="D83" s="209"/>
      <c r="E83" s="216" t="s">
        <v>663</v>
      </c>
      <c r="F83" s="211"/>
      <c r="G83" s="211">
        <v>0</v>
      </c>
      <c r="H83" s="211">
        <v>0</v>
      </c>
      <c r="I83" s="211">
        <v>0</v>
      </c>
      <c r="J83" s="212">
        <f t="shared" si="1"/>
        <v>0</v>
      </c>
      <c r="K83" s="599"/>
    </row>
    <row r="84" spans="1:11" ht="12.75" hidden="1">
      <c r="A84" s="215"/>
      <c r="B84" s="215"/>
      <c r="C84" s="215"/>
      <c r="D84" s="215"/>
      <c r="E84" s="210" t="s">
        <v>265</v>
      </c>
      <c r="F84" s="211"/>
      <c r="G84" s="211">
        <v>0</v>
      </c>
      <c r="H84" s="211">
        <v>0</v>
      </c>
      <c r="I84" s="211">
        <v>0</v>
      </c>
      <c r="J84" s="212">
        <f t="shared" si="1"/>
        <v>0</v>
      </c>
      <c r="K84" s="599"/>
    </row>
    <row r="85" spans="1:11" ht="12.75">
      <c r="A85" s="209"/>
      <c r="B85" s="209"/>
      <c r="C85" s="209"/>
      <c r="D85" s="209"/>
      <c r="E85" s="214" t="s">
        <v>266</v>
      </c>
      <c r="F85" s="211">
        <v>300000</v>
      </c>
      <c r="G85" s="211">
        <v>0</v>
      </c>
      <c r="H85" s="211">
        <v>0</v>
      </c>
      <c r="I85" s="211">
        <v>0</v>
      </c>
      <c r="J85" s="212">
        <f t="shared" si="1"/>
        <v>300000</v>
      </c>
      <c r="K85" s="599"/>
    </row>
    <row r="86" spans="1:11" s="200" customFormat="1" ht="12.75">
      <c r="A86" s="198" t="s">
        <v>267</v>
      </c>
      <c r="B86" s="816" t="s">
        <v>268</v>
      </c>
      <c r="C86" s="816"/>
      <c r="D86" s="816"/>
      <c r="E86" s="816"/>
      <c r="F86" s="199">
        <f>SUM(F87+F88+F91+F93+F100+F101+F102+F103+F110+F118+F119)</f>
        <v>39701432</v>
      </c>
      <c r="G86" s="199">
        <f>SUM(G87+G88+G91+G93+G100+G101+G102+G103+G110+G118+G119)</f>
        <v>5787349</v>
      </c>
      <c r="H86" s="199">
        <f>SUM(H87+H88+H91+H93+H100+H101+H102+H103+H110+H118+H119)</f>
        <v>1411725</v>
      </c>
      <c r="I86" s="199">
        <f>SUM(I87+I88+I91+I93+I100+I101+I102+I103+I110+I118+I119)</f>
        <v>6265700</v>
      </c>
      <c r="J86" s="199">
        <f t="shared" si="1"/>
        <v>53166206</v>
      </c>
      <c r="K86" s="596"/>
    </row>
    <row r="87" spans="1:11" ht="12.75">
      <c r="A87" s="204"/>
      <c r="B87" s="204"/>
      <c r="C87" s="204" t="s">
        <v>269</v>
      </c>
      <c r="D87" s="204" t="s">
        <v>538</v>
      </c>
      <c r="E87" s="204"/>
      <c r="F87" s="205">
        <f>9000000+500000</f>
        <v>9500000</v>
      </c>
      <c r="G87" s="205">
        <v>0</v>
      </c>
      <c r="H87" s="205">
        <v>0</v>
      </c>
      <c r="I87" s="205">
        <v>0</v>
      </c>
      <c r="J87" s="206">
        <f t="shared" si="1"/>
        <v>9500000</v>
      </c>
      <c r="K87" s="598"/>
    </row>
    <row r="88" spans="1:11" ht="12.75">
      <c r="A88" s="204"/>
      <c r="B88" s="204"/>
      <c r="C88" s="204" t="s">
        <v>270</v>
      </c>
      <c r="D88" s="204" t="s">
        <v>342</v>
      </c>
      <c r="E88" s="204"/>
      <c r="F88" s="205">
        <f>6000000+10142978</f>
        <v>16142978</v>
      </c>
      <c r="G88" s="205">
        <v>250000</v>
      </c>
      <c r="H88" s="205">
        <v>0</v>
      </c>
      <c r="I88" s="205">
        <f>90000+4520000+536221</f>
        <v>5146221</v>
      </c>
      <c r="J88" s="206">
        <f t="shared" si="1"/>
        <v>21539199</v>
      </c>
      <c r="K88" s="598"/>
    </row>
    <row r="89" spans="1:11" ht="12.75">
      <c r="A89" s="209"/>
      <c r="B89" s="209"/>
      <c r="C89" s="210" t="s">
        <v>2</v>
      </c>
      <c r="D89" s="210"/>
      <c r="E89" s="210" t="s">
        <v>271</v>
      </c>
      <c r="F89" s="217">
        <v>10142978</v>
      </c>
      <c r="G89" s="217">
        <v>0</v>
      </c>
      <c r="H89" s="211">
        <v>0</v>
      </c>
      <c r="I89" s="211">
        <v>320000</v>
      </c>
      <c r="J89" s="212">
        <f t="shared" si="1"/>
        <v>10462978</v>
      </c>
      <c r="K89" s="599"/>
    </row>
    <row r="90" spans="1:11" ht="12.75" hidden="1">
      <c r="A90" s="209"/>
      <c r="B90" s="209"/>
      <c r="C90" s="210"/>
      <c r="D90" s="210"/>
      <c r="E90" s="210" t="s">
        <v>863</v>
      </c>
      <c r="F90" s="211"/>
      <c r="G90" s="211">
        <v>0</v>
      </c>
      <c r="H90" s="211">
        <v>0</v>
      </c>
      <c r="I90" s="211">
        <v>0</v>
      </c>
      <c r="J90" s="212">
        <f t="shared" si="1"/>
        <v>0</v>
      </c>
      <c r="K90" s="599"/>
    </row>
    <row r="91" spans="1:11" ht="12.75">
      <c r="A91" s="204"/>
      <c r="B91" s="204"/>
      <c r="C91" s="204" t="s">
        <v>272</v>
      </c>
      <c r="D91" s="204" t="s">
        <v>273</v>
      </c>
      <c r="E91" s="204"/>
      <c r="F91" s="205">
        <f>472000+2666578</f>
        <v>3138578</v>
      </c>
      <c r="G91" s="205">
        <v>4549259</v>
      </c>
      <c r="H91" s="205">
        <v>0</v>
      </c>
      <c r="I91" s="205">
        <v>0</v>
      </c>
      <c r="J91" s="206">
        <f t="shared" si="1"/>
        <v>7687837</v>
      </c>
      <c r="K91" s="598"/>
    </row>
    <row r="92" spans="1:11" ht="12.75">
      <c r="A92" s="209"/>
      <c r="B92" s="209"/>
      <c r="C92" s="210" t="s">
        <v>2</v>
      </c>
      <c r="D92" s="210"/>
      <c r="E92" s="210" t="s">
        <v>7</v>
      </c>
      <c r="F92" s="211">
        <f>370000+1528712</f>
        <v>1898712</v>
      </c>
      <c r="G92" s="211">
        <v>688235</v>
      </c>
      <c r="H92" s="211">
        <v>0</v>
      </c>
      <c r="I92" s="211">
        <v>0</v>
      </c>
      <c r="J92" s="212">
        <f t="shared" si="1"/>
        <v>2586947</v>
      </c>
      <c r="K92" s="599"/>
    </row>
    <row r="93" spans="1:11" ht="12.75">
      <c r="A93" s="204"/>
      <c r="B93" s="204"/>
      <c r="C93" s="204" t="s">
        <v>274</v>
      </c>
      <c r="D93" s="204" t="s">
        <v>275</v>
      </c>
      <c r="E93" s="204"/>
      <c r="F93" s="205">
        <f>15000+731000</f>
        <v>746000</v>
      </c>
      <c r="G93" s="205">
        <v>0</v>
      </c>
      <c r="H93" s="205">
        <v>0</v>
      </c>
      <c r="I93" s="205">
        <v>0</v>
      </c>
      <c r="J93" s="206">
        <f t="shared" si="1"/>
        <v>746000</v>
      </c>
      <c r="K93" s="598"/>
    </row>
    <row r="94" spans="1:11" ht="12.75" hidden="1">
      <c r="A94" s="209"/>
      <c r="B94" s="209"/>
      <c r="C94" s="210" t="s">
        <v>2</v>
      </c>
      <c r="D94" s="210"/>
      <c r="E94" s="210" t="s">
        <v>276</v>
      </c>
      <c r="F94" s="211"/>
      <c r="G94" s="211">
        <v>0</v>
      </c>
      <c r="H94" s="211">
        <v>0</v>
      </c>
      <c r="I94" s="211">
        <v>0</v>
      </c>
      <c r="J94" s="212">
        <f t="shared" si="1"/>
        <v>0</v>
      </c>
      <c r="K94" s="599"/>
    </row>
    <row r="95" spans="1:11" ht="12.75" hidden="1">
      <c r="A95" s="209"/>
      <c r="B95" s="209"/>
      <c r="C95" s="210"/>
      <c r="D95" s="210"/>
      <c r="E95" s="210" t="s">
        <v>664</v>
      </c>
      <c r="F95" s="211"/>
      <c r="G95" s="211">
        <v>0</v>
      </c>
      <c r="H95" s="211">
        <v>0</v>
      </c>
      <c r="I95" s="211">
        <v>0</v>
      </c>
      <c r="J95" s="212">
        <f t="shared" si="1"/>
        <v>0</v>
      </c>
      <c r="K95" s="599"/>
    </row>
    <row r="96" spans="1:11" ht="12" customHeight="1">
      <c r="A96" s="209"/>
      <c r="B96" s="209"/>
      <c r="C96" s="210" t="s">
        <v>2</v>
      </c>
      <c r="D96" s="210"/>
      <c r="E96" s="210" t="s">
        <v>665</v>
      </c>
      <c r="F96" s="211">
        <f>15000+481000</f>
        <v>496000</v>
      </c>
      <c r="G96" s="211">
        <v>0</v>
      </c>
      <c r="H96" s="211">
        <v>0</v>
      </c>
      <c r="I96" s="211">
        <v>0</v>
      </c>
      <c r="J96" s="212">
        <f t="shared" si="1"/>
        <v>496000</v>
      </c>
      <c r="K96" s="599"/>
    </row>
    <row r="97" spans="1:11" ht="12.75" hidden="1">
      <c r="A97" s="209"/>
      <c r="B97" s="209"/>
      <c r="C97" s="210"/>
      <c r="D97" s="210"/>
      <c r="E97" s="210" t="s">
        <v>666</v>
      </c>
      <c r="F97" s="211"/>
      <c r="G97" s="211">
        <v>0</v>
      </c>
      <c r="H97" s="211">
        <v>0</v>
      </c>
      <c r="I97" s="211">
        <v>0</v>
      </c>
      <c r="J97" s="212">
        <f t="shared" si="1"/>
        <v>0</v>
      </c>
      <c r="K97" s="599"/>
    </row>
    <row r="98" spans="1:11" ht="12.75" hidden="1">
      <c r="A98" s="209"/>
      <c r="B98" s="209"/>
      <c r="C98" s="210"/>
      <c r="D98" s="210"/>
      <c r="E98" s="210" t="s">
        <v>667</v>
      </c>
      <c r="F98" s="211"/>
      <c r="G98" s="211">
        <v>0</v>
      </c>
      <c r="H98" s="211">
        <v>0</v>
      </c>
      <c r="I98" s="211">
        <v>0</v>
      </c>
      <c r="J98" s="212">
        <f t="shared" si="1"/>
        <v>0</v>
      </c>
      <c r="K98" s="599"/>
    </row>
    <row r="99" spans="1:11" ht="12.75" hidden="1">
      <c r="A99" s="209"/>
      <c r="B99" s="209"/>
      <c r="C99" s="210"/>
      <c r="D99" s="210"/>
      <c r="E99" s="210" t="s">
        <v>539</v>
      </c>
      <c r="F99" s="211"/>
      <c r="G99" s="211">
        <v>0</v>
      </c>
      <c r="H99" s="211">
        <v>0</v>
      </c>
      <c r="I99" s="211">
        <v>0</v>
      </c>
      <c r="J99" s="212">
        <f t="shared" si="1"/>
        <v>0</v>
      </c>
      <c r="K99" s="599"/>
    </row>
    <row r="100" spans="1:11" ht="12.75">
      <c r="A100" s="204"/>
      <c r="B100" s="204"/>
      <c r="C100" s="204" t="s">
        <v>277</v>
      </c>
      <c r="D100" s="204" t="s">
        <v>278</v>
      </c>
      <c r="E100" s="204"/>
      <c r="F100" s="205">
        <v>5925110</v>
      </c>
      <c r="G100" s="205">
        <v>0</v>
      </c>
      <c r="H100" s="205">
        <v>1111594</v>
      </c>
      <c r="I100" s="205">
        <v>0</v>
      </c>
      <c r="J100" s="206">
        <f t="shared" si="1"/>
        <v>7036704</v>
      </c>
      <c r="K100" s="598"/>
    </row>
    <row r="101" spans="1:11" ht="12.75">
      <c r="A101" s="204"/>
      <c r="B101" s="204"/>
      <c r="C101" s="204" t="s">
        <v>279</v>
      </c>
      <c r="D101" s="204" t="s">
        <v>280</v>
      </c>
      <c r="E101" s="204"/>
      <c r="F101" s="205">
        <f>1599780+1755000+127440+686046</f>
        <v>4168266</v>
      </c>
      <c r="G101" s="205">
        <v>988090</v>
      </c>
      <c r="H101" s="205">
        <v>300131</v>
      </c>
      <c r="I101" s="205">
        <f>24300+950400+144779</f>
        <v>1119479</v>
      </c>
      <c r="J101" s="206">
        <f t="shared" si="1"/>
        <v>6575966</v>
      </c>
      <c r="K101" s="598"/>
    </row>
    <row r="102" spans="1:11" ht="12.75">
      <c r="A102" s="204"/>
      <c r="B102" s="204"/>
      <c r="C102" s="204" t="s">
        <v>281</v>
      </c>
      <c r="D102" s="204" t="s">
        <v>282</v>
      </c>
      <c r="E102" s="204"/>
      <c r="F102" s="205">
        <v>0</v>
      </c>
      <c r="G102" s="205">
        <v>0</v>
      </c>
      <c r="H102" s="205">
        <v>0</v>
      </c>
      <c r="I102" s="205">
        <v>0</v>
      </c>
      <c r="J102" s="206">
        <f t="shared" si="1"/>
        <v>0</v>
      </c>
      <c r="K102" s="598"/>
    </row>
    <row r="103" spans="1:11" ht="12" customHeight="1">
      <c r="A103" s="204"/>
      <c r="B103" s="204"/>
      <c r="C103" s="204" t="s">
        <v>283</v>
      </c>
      <c r="D103" s="204" t="s">
        <v>582</v>
      </c>
      <c r="E103" s="204"/>
      <c r="F103" s="205">
        <v>500</v>
      </c>
      <c r="G103" s="205">
        <f>SUM(G104+G107)</f>
        <v>0</v>
      </c>
      <c r="H103" s="205">
        <f>SUM(H104+H107)</f>
        <v>0</v>
      </c>
      <c r="I103" s="205">
        <f>SUM(I104+I107)</f>
        <v>0</v>
      </c>
      <c r="J103" s="206">
        <f t="shared" si="1"/>
        <v>500</v>
      </c>
      <c r="K103" s="598"/>
    </row>
    <row r="104" spans="1:11" ht="12.75" hidden="1">
      <c r="A104" s="204"/>
      <c r="B104" s="204"/>
      <c r="C104" s="210"/>
      <c r="D104" s="819" t="s">
        <v>668</v>
      </c>
      <c r="E104" s="820"/>
      <c r="F104" s="211"/>
      <c r="G104" s="211">
        <v>0</v>
      </c>
      <c r="H104" s="211">
        <v>0</v>
      </c>
      <c r="I104" s="211">
        <v>0</v>
      </c>
      <c r="J104" s="212">
        <f t="shared" si="1"/>
        <v>0</v>
      </c>
      <c r="K104" s="599"/>
    </row>
    <row r="105" spans="1:11" ht="12.75" hidden="1">
      <c r="A105" s="204"/>
      <c r="B105" s="204"/>
      <c r="C105" s="204" t="s">
        <v>2</v>
      </c>
      <c r="D105" s="204"/>
      <c r="E105" s="210" t="s">
        <v>7</v>
      </c>
      <c r="F105" s="211"/>
      <c r="G105" s="211">
        <v>0</v>
      </c>
      <c r="H105" s="211">
        <v>0</v>
      </c>
      <c r="I105" s="211">
        <v>0</v>
      </c>
      <c r="J105" s="212">
        <f t="shared" si="1"/>
        <v>0</v>
      </c>
      <c r="K105" s="599"/>
    </row>
    <row r="106" spans="1:11" ht="12.75" hidden="1">
      <c r="A106" s="204"/>
      <c r="B106" s="204"/>
      <c r="C106" s="204"/>
      <c r="D106" s="204"/>
      <c r="E106" s="210" t="s">
        <v>669</v>
      </c>
      <c r="F106" s="211"/>
      <c r="G106" s="211">
        <v>0</v>
      </c>
      <c r="H106" s="211">
        <v>0</v>
      </c>
      <c r="I106" s="211">
        <v>0</v>
      </c>
      <c r="J106" s="212">
        <f t="shared" si="1"/>
        <v>0</v>
      </c>
      <c r="K106" s="599"/>
    </row>
    <row r="107" spans="1:11" ht="12.75">
      <c r="A107" s="204"/>
      <c r="B107" s="204"/>
      <c r="C107" s="204" t="s">
        <v>2</v>
      </c>
      <c r="D107" s="819" t="s">
        <v>584</v>
      </c>
      <c r="E107" s="820"/>
      <c r="F107" s="211">
        <v>0</v>
      </c>
      <c r="G107" s="211">
        <v>0</v>
      </c>
      <c r="H107" s="211">
        <v>0</v>
      </c>
      <c r="I107" s="211">
        <v>0</v>
      </c>
      <c r="J107" s="212">
        <f t="shared" si="1"/>
        <v>0</v>
      </c>
      <c r="K107" s="599"/>
    </row>
    <row r="108" spans="1:11" ht="12.75" hidden="1">
      <c r="A108" s="204"/>
      <c r="B108" s="204"/>
      <c r="C108" s="204"/>
      <c r="D108" s="204"/>
      <c r="E108" s="210" t="s">
        <v>7</v>
      </c>
      <c r="F108" s="211"/>
      <c r="G108" s="211">
        <v>0</v>
      </c>
      <c r="H108" s="211">
        <v>0</v>
      </c>
      <c r="I108" s="211">
        <v>0</v>
      </c>
      <c r="J108" s="212">
        <f t="shared" si="1"/>
        <v>0</v>
      </c>
      <c r="K108" s="599"/>
    </row>
    <row r="109" spans="1:11" ht="12.75" hidden="1">
      <c r="A109" s="204"/>
      <c r="B109" s="204"/>
      <c r="C109" s="204"/>
      <c r="D109" s="204"/>
      <c r="E109" s="210" t="s">
        <v>540</v>
      </c>
      <c r="F109" s="211"/>
      <c r="G109" s="211">
        <v>0</v>
      </c>
      <c r="H109" s="211">
        <v>0</v>
      </c>
      <c r="I109" s="211">
        <v>0</v>
      </c>
      <c r="J109" s="212">
        <f t="shared" si="1"/>
        <v>0</v>
      </c>
      <c r="K109" s="599"/>
    </row>
    <row r="110" spans="1:11" ht="12.75">
      <c r="A110" s="204"/>
      <c r="B110" s="204"/>
      <c r="C110" s="204" t="s">
        <v>284</v>
      </c>
      <c r="D110" s="204" t="s">
        <v>587</v>
      </c>
      <c r="E110" s="204"/>
      <c r="F110" s="205">
        <v>0</v>
      </c>
      <c r="G110" s="205">
        <f>SUM(G111:G112)</f>
        <v>0</v>
      </c>
      <c r="H110" s="205">
        <f>SUM(H111:H112)</f>
        <v>0</v>
      </c>
      <c r="I110" s="205">
        <f>SUM(I111:I112)</f>
        <v>0</v>
      </c>
      <c r="J110" s="206">
        <f t="shared" si="1"/>
        <v>0</v>
      </c>
      <c r="K110" s="598"/>
    </row>
    <row r="111" spans="1:11" ht="12.75" hidden="1">
      <c r="A111" s="204"/>
      <c r="B111" s="204"/>
      <c r="C111" s="204"/>
      <c r="D111" s="819" t="s">
        <v>585</v>
      </c>
      <c r="E111" s="820"/>
      <c r="F111" s="205"/>
      <c r="G111" s="205">
        <v>0</v>
      </c>
      <c r="H111" s="205">
        <v>0</v>
      </c>
      <c r="I111" s="205">
        <v>0</v>
      </c>
      <c r="J111" s="206">
        <f t="shared" si="1"/>
        <v>0</v>
      </c>
      <c r="K111" s="598"/>
    </row>
    <row r="112" spans="1:11" ht="12.75" hidden="1">
      <c r="A112" s="204"/>
      <c r="B112" s="204"/>
      <c r="C112" s="204"/>
      <c r="D112" s="819" t="s">
        <v>586</v>
      </c>
      <c r="E112" s="820"/>
      <c r="F112" s="205"/>
      <c r="G112" s="205">
        <v>0</v>
      </c>
      <c r="H112" s="205">
        <v>0</v>
      </c>
      <c r="I112" s="205">
        <v>0</v>
      </c>
      <c r="J112" s="206">
        <f t="shared" si="1"/>
        <v>0</v>
      </c>
      <c r="K112" s="598"/>
    </row>
    <row r="113" spans="1:11" ht="12.75" hidden="1">
      <c r="A113" s="204"/>
      <c r="B113" s="204"/>
      <c r="C113" s="204" t="s">
        <v>2</v>
      </c>
      <c r="D113" s="204"/>
      <c r="E113" s="210" t="s">
        <v>588</v>
      </c>
      <c r="F113" s="205"/>
      <c r="G113" s="205">
        <v>0</v>
      </c>
      <c r="H113" s="205">
        <v>0</v>
      </c>
      <c r="I113" s="205">
        <v>0</v>
      </c>
      <c r="J113" s="206">
        <f t="shared" si="1"/>
        <v>0</v>
      </c>
      <c r="K113" s="598"/>
    </row>
    <row r="114" spans="1:11" ht="12.75" hidden="1">
      <c r="A114" s="204"/>
      <c r="B114" s="204"/>
      <c r="C114" s="204"/>
      <c r="D114" s="204"/>
      <c r="E114" s="210" t="s">
        <v>583</v>
      </c>
      <c r="F114" s="205"/>
      <c r="G114" s="205">
        <v>0</v>
      </c>
      <c r="H114" s="205">
        <v>0</v>
      </c>
      <c r="I114" s="205">
        <v>0</v>
      </c>
      <c r="J114" s="206">
        <f t="shared" si="1"/>
        <v>0</v>
      </c>
      <c r="K114" s="598"/>
    </row>
    <row r="115" spans="1:11" ht="12.75" hidden="1">
      <c r="A115" s="204"/>
      <c r="B115" s="204"/>
      <c r="C115" s="204"/>
      <c r="D115" s="204"/>
      <c r="E115" s="210" t="s">
        <v>589</v>
      </c>
      <c r="F115" s="205"/>
      <c r="G115" s="205">
        <v>0</v>
      </c>
      <c r="H115" s="205">
        <v>0</v>
      </c>
      <c r="I115" s="205">
        <v>0</v>
      </c>
      <c r="J115" s="206">
        <f t="shared" si="1"/>
        <v>0</v>
      </c>
      <c r="K115" s="598"/>
    </row>
    <row r="116" spans="1:11" ht="12.75" hidden="1">
      <c r="A116" s="204"/>
      <c r="B116" s="204"/>
      <c r="C116" s="204"/>
      <c r="D116" s="204"/>
      <c r="E116" s="210" t="s">
        <v>590</v>
      </c>
      <c r="F116" s="205"/>
      <c r="G116" s="205">
        <v>0</v>
      </c>
      <c r="H116" s="205">
        <v>0</v>
      </c>
      <c r="I116" s="205">
        <v>0</v>
      </c>
      <c r="J116" s="206">
        <f t="shared" si="1"/>
        <v>0</v>
      </c>
      <c r="K116" s="598"/>
    </row>
    <row r="117" spans="1:11" ht="12.75" hidden="1">
      <c r="A117" s="204"/>
      <c r="B117" s="204"/>
      <c r="C117" s="204"/>
      <c r="D117" s="204"/>
      <c r="E117" s="210" t="s">
        <v>591</v>
      </c>
      <c r="F117" s="205"/>
      <c r="G117" s="205">
        <v>0</v>
      </c>
      <c r="H117" s="205">
        <v>0</v>
      </c>
      <c r="I117" s="205">
        <v>0</v>
      </c>
      <c r="J117" s="206">
        <f t="shared" si="1"/>
        <v>0</v>
      </c>
      <c r="K117" s="598"/>
    </row>
    <row r="118" spans="1:11" ht="12.75">
      <c r="A118" s="204"/>
      <c r="B118" s="204"/>
      <c r="C118" s="204" t="s">
        <v>285</v>
      </c>
      <c r="D118" s="204" t="s">
        <v>541</v>
      </c>
      <c r="E118" s="204"/>
      <c r="F118" s="205">
        <v>0</v>
      </c>
      <c r="G118" s="205">
        <v>0</v>
      </c>
      <c r="H118" s="205">
        <v>0</v>
      </c>
      <c r="I118" s="205">
        <v>0</v>
      </c>
      <c r="J118" s="206">
        <f t="shared" si="1"/>
        <v>0</v>
      </c>
      <c r="K118" s="598"/>
    </row>
    <row r="119" spans="1:11" ht="22.5" customHeight="1">
      <c r="A119" s="204"/>
      <c r="B119" s="204"/>
      <c r="C119" s="726" t="s">
        <v>542</v>
      </c>
      <c r="D119" s="818" t="s">
        <v>543</v>
      </c>
      <c r="E119" s="818"/>
      <c r="F119" s="753">
        <f>80000+10959511-10959511</f>
        <v>80000</v>
      </c>
      <c r="G119" s="753">
        <v>0</v>
      </c>
      <c r="H119" s="753">
        <v>0</v>
      </c>
      <c r="I119" s="753">
        <v>0</v>
      </c>
      <c r="J119" s="754">
        <f t="shared" si="1"/>
        <v>80000</v>
      </c>
      <c r="K119" s="598"/>
    </row>
    <row r="120" spans="1:11" ht="45.75" customHeight="1" hidden="1">
      <c r="A120" s="208"/>
      <c r="B120" s="208"/>
      <c r="C120" s="218" t="s">
        <v>2</v>
      </c>
      <c r="D120" s="216" t="s">
        <v>442</v>
      </c>
      <c r="E120" s="216" t="s">
        <v>565</v>
      </c>
      <c r="F120" s="211">
        <v>0</v>
      </c>
      <c r="G120" s="211">
        <v>0</v>
      </c>
      <c r="H120" s="211">
        <v>0</v>
      </c>
      <c r="I120" s="211">
        <v>0</v>
      </c>
      <c r="J120" s="212">
        <f t="shared" si="1"/>
        <v>0</v>
      </c>
      <c r="K120" s="599"/>
    </row>
    <row r="121" spans="1:11" ht="13.5" customHeight="1" hidden="1">
      <c r="A121" s="209"/>
      <c r="B121" s="209"/>
      <c r="C121" s="209"/>
      <c r="D121" s="210" t="s">
        <v>442</v>
      </c>
      <c r="E121" s="219" t="s">
        <v>592</v>
      </c>
      <c r="F121" s="211"/>
      <c r="G121" s="211">
        <v>0</v>
      </c>
      <c r="H121" s="211">
        <v>0</v>
      </c>
      <c r="I121" s="211">
        <v>0</v>
      </c>
      <c r="J121" s="212">
        <f t="shared" si="1"/>
        <v>0</v>
      </c>
      <c r="K121" s="599"/>
    </row>
    <row r="122" spans="1:11" s="200" customFormat="1" ht="12.75">
      <c r="A122" s="198" t="s">
        <v>286</v>
      </c>
      <c r="B122" s="816" t="s">
        <v>287</v>
      </c>
      <c r="C122" s="816"/>
      <c r="D122" s="816"/>
      <c r="E122" s="816"/>
      <c r="F122" s="199">
        <f>SUM(F123+F125+F127+F128+F129)</f>
        <v>46906964</v>
      </c>
      <c r="G122" s="199">
        <f>SUM(G123+G125+G127+G128+G129)</f>
        <v>0</v>
      </c>
      <c r="H122" s="199">
        <f>SUM(H123+H125+H127+H128+H129)</f>
        <v>0</v>
      </c>
      <c r="I122" s="199">
        <f>SUM(I123+I125+I127+I128+I129)</f>
        <v>0</v>
      </c>
      <c r="J122" s="199">
        <f t="shared" si="1"/>
        <v>46906964</v>
      </c>
      <c r="K122" s="596"/>
    </row>
    <row r="123" spans="1:11" ht="12.75">
      <c r="A123" s="201"/>
      <c r="B123" s="201" t="s">
        <v>288</v>
      </c>
      <c r="C123" s="808" t="s">
        <v>343</v>
      </c>
      <c r="D123" s="808"/>
      <c r="E123" s="808"/>
      <c r="F123" s="202">
        <v>0</v>
      </c>
      <c r="G123" s="202">
        <v>0</v>
      </c>
      <c r="H123" s="202">
        <v>0</v>
      </c>
      <c r="I123" s="202">
        <v>0</v>
      </c>
      <c r="J123" s="203">
        <f t="shared" si="1"/>
        <v>0</v>
      </c>
      <c r="K123" s="597"/>
    </row>
    <row r="124" spans="1:11" ht="12.75" hidden="1">
      <c r="A124" s="209"/>
      <c r="B124" s="209"/>
      <c r="C124" s="210" t="s">
        <v>2</v>
      </c>
      <c r="D124" s="210" t="s">
        <v>442</v>
      </c>
      <c r="E124" s="210" t="s">
        <v>641</v>
      </c>
      <c r="F124" s="211">
        <v>0</v>
      </c>
      <c r="G124" s="211">
        <v>0</v>
      </c>
      <c r="H124" s="211">
        <v>0</v>
      </c>
      <c r="I124" s="211">
        <v>0</v>
      </c>
      <c r="J124" s="212">
        <f t="shared" si="1"/>
        <v>0</v>
      </c>
      <c r="K124" s="599"/>
    </row>
    <row r="125" spans="1:11" ht="12.75">
      <c r="A125" s="201"/>
      <c r="B125" s="201" t="s">
        <v>289</v>
      </c>
      <c r="C125" s="808" t="s">
        <v>290</v>
      </c>
      <c r="D125" s="808"/>
      <c r="E125" s="808"/>
      <c r="F125" s="202">
        <f>44406964+1500000+1000000</f>
        <v>46906964</v>
      </c>
      <c r="G125" s="202">
        <v>0</v>
      </c>
      <c r="H125" s="202">
        <v>0</v>
      </c>
      <c r="I125" s="202">
        <v>0</v>
      </c>
      <c r="J125" s="203">
        <f t="shared" si="1"/>
        <v>46906964</v>
      </c>
      <c r="K125" s="597"/>
    </row>
    <row r="126" spans="1:11" ht="12.75" hidden="1">
      <c r="A126" s="209"/>
      <c r="B126" s="209"/>
      <c r="C126" s="210" t="s">
        <v>2</v>
      </c>
      <c r="D126" s="210" t="s">
        <v>442</v>
      </c>
      <c r="E126" s="210" t="s">
        <v>291</v>
      </c>
      <c r="F126" s="211">
        <v>0</v>
      </c>
      <c r="G126" s="211">
        <v>0</v>
      </c>
      <c r="H126" s="211">
        <v>0</v>
      </c>
      <c r="I126" s="211">
        <v>0</v>
      </c>
      <c r="J126" s="212">
        <f t="shared" si="1"/>
        <v>0</v>
      </c>
      <c r="K126" s="599"/>
    </row>
    <row r="127" spans="1:11" ht="12.75" hidden="1">
      <c r="A127" s="201"/>
      <c r="B127" s="201" t="s">
        <v>292</v>
      </c>
      <c r="C127" s="808" t="s">
        <v>293</v>
      </c>
      <c r="D127" s="808"/>
      <c r="E127" s="808"/>
      <c r="F127" s="202">
        <v>0</v>
      </c>
      <c r="G127" s="202">
        <v>0</v>
      </c>
      <c r="H127" s="202">
        <v>0</v>
      </c>
      <c r="I127" s="202">
        <v>0</v>
      </c>
      <c r="J127" s="203">
        <f t="shared" si="1"/>
        <v>0</v>
      </c>
      <c r="K127" s="597"/>
    </row>
    <row r="128" spans="1:11" ht="12.75" hidden="1">
      <c r="A128" s="201"/>
      <c r="B128" s="201" t="s">
        <v>294</v>
      </c>
      <c r="C128" s="808" t="s">
        <v>295</v>
      </c>
      <c r="D128" s="808"/>
      <c r="E128" s="808"/>
      <c r="F128" s="202">
        <v>0</v>
      </c>
      <c r="G128" s="202">
        <v>0</v>
      </c>
      <c r="H128" s="202">
        <v>0</v>
      </c>
      <c r="I128" s="202">
        <v>0</v>
      </c>
      <c r="J128" s="203">
        <f t="shared" si="1"/>
        <v>0</v>
      </c>
      <c r="K128" s="597"/>
    </row>
    <row r="129" spans="1:11" ht="12.75" hidden="1">
      <c r="A129" s="201"/>
      <c r="B129" s="201" t="s">
        <v>296</v>
      </c>
      <c r="C129" s="808" t="s">
        <v>297</v>
      </c>
      <c r="D129" s="808"/>
      <c r="E129" s="808"/>
      <c r="F129" s="202">
        <v>0</v>
      </c>
      <c r="G129" s="202">
        <v>0</v>
      </c>
      <c r="H129" s="202">
        <v>0</v>
      </c>
      <c r="I129" s="202">
        <v>0</v>
      </c>
      <c r="J129" s="203">
        <f t="shared" si="1"/>
        <v>0</v>
      </c>
      <c r="K129" s="597"/>
    </row>
    <row r="130" spans="1:11" s="200" customFormat="1" ht="12" customHeight="1">
      <c r="A130" s="198" t="s">
        <v>298</v>
      </c>
      <c r="B130" s="816" t="s">
        <v>299</v>
      </c>
      <c r="C130" s="816"/>
      <c r="D130" s="816"/>
      <c r="E130" s="816"/>
      <c r="F130" s="199">
        <f>SUM(F131+F132+F133+F134+F144)</f>
        <v>0</v>
      </c>
      <c r="G130" s="199">
        <f>SUM(G131+G132+G133+G134+G144)</f>
        <v>0</v>
      </c>
      <c r="H130" s="199">
        <f>SUM(H131+H132+H133+H134+H144)</f>
        <v>0</v>
      </c>
      <c r="I130" s="199">
        <f>SUM(I131+I132+I133+I134+I144)</f>
        <v>0</v>
      </c>
      <c r="J130" s="199">
        <f t="shared" si="1"/>
        <v>0</v>
      </c>
      <c r="K130" s="596"/>
    </row>
    <row r="131" spans="1:11" ht="12.75" hidden="1">
      <c r="A131" s="201"/>
      <c r="B131" s="201" t="s">
        <v>300</v>
      </c>
      <c r="C131" s="808" t="s">
        <v>670</v>
      </c>
      <c r="D131" s="808"/>
      <c r="E131" s="808"/>
      <c r="F131" s="202">
        <v>0</v>
      </c>
      <c r="G131" s="202">
        <v>0</v>
      </c>
      <c r="H131" s="202">
        <v>0</v>
      </c>
      <c r="I131" s="202">
        <v>0</v>
      </c>
      <c r="J131" s="203">
        <f t="shared" si="1"/>
        <v>0</v>
      </c>
      <c r="K131" s="597"/>
    </row>
    <row r="132" spans="1:11" ht="12.75" hidden="1">
      <c r="A132" s="201"/>
      <c r="B132" s="201" t="s">
        <v>301</v>
      </c>
      <c r="C132" s="808" t="s">
        <v>671</v>
      </c>
      <c r="D132" s="808"/>
      <c r="E132" s="808"/>
      <c r="F132" s="202">
        <v>0</v>
      </c>
      <c r="G132" s="202">
        <v>0</v>
      </c>
      <c r="H132" s="202">
        <v>0</v>
      </c>
      <c r="I132" s="202">
        <v>0</v>
      </c>
      <c r="J132" s="203">
        <f t="shared" si="1"/>
        <v>0</v>
      </c>
      <c r="K132" s="597"/>
    </row>
    <row r="133" spans="1:11" ht="26.25" customHeight="1" hidden="1">
      <c r="A133" s="201"/>
      <c r="B133" s="201" t="s">
        <v>303</v>
      </c>
      <c r="C133" s="817" t="s">
        <v>672</v>
      </c>
      <c r="D133" s="817"/>
      <c r="E133" s="817"/>
      <c r="F133" s="202">
        <v>0</v>
      </c>
      <c r="G133" s="202">
        <v>0</v>
      </c>
      <c r="H133" s="202">
        <v>0</v>
      </c>
      <c r="I133" s="202">
        <v>0</v>
      </c>
      <c r="J133" s="203">
        <f t="shared" si="1"/>
        <v>0</v>
      </c>
      <c r="K133" s="597"/>
    </row>
    <row r="134" spans="1:11" ht="12.75" hidden="1">
      <c r="A134" s="201"/>
      <c r="B134" s="201" t="s">
        <v>544</v>
      </c>
      <c r="C134" s="808" t="s">
        <v>673</v>
      </c>
      <c r="D134" s="808"/>
      <c r="E134" s="808"/>
      <c r="F134" s="202">
        <f>SUM(F135:F143)</f>
        <v>0</v>
      </c>
      <c r="G134" s="202">
        <v>0</v>
      </c>
      <c r="H134" s="202">
        <v>0</v>
      </c>
      <c r="I134" s="202">
        <v>0</v>
      </c>
      <c r="J134" s="203">
        <f t="shared" si="1"/>
        <v>0</v>
      </c>
      <c r="K134" s="597"/>
    </row>
    <row r="135" spans="1:11" ht="12.75" hidden="1">
      <c r="A135" s="208"/>
      <c r="B135" s="208"/>
      <c r="C135" s="210" t="s">
        <v>2</v>
      </c>
      <c r="D135" s="210" t="s">
        <v>148</v>
      </c>
      <c r="E135" s="210" t="s">
        <v>175</v>
      </c>
      <c r="F135" s="211">
        <v>0</v>
      </c>
      <c r="G135" s="211">
        <v>0</v>
      </c>
      <c r="H135" s="211">
        <v>0</v>
      </c>
      <c r="I135" s="211">
        <v>0</v>
      </c>
      <c r="J135" s="212">
        <f t="shared" si="1"/>
        <v>0</v>
      </c>
      <c r="K135" s="599"/>
    </row>
    <row r="136" spans="1:11" ht="12.75" hidden="1">
      <c r="A136" s="208"/>
      <c r="B136" s="208"/>
      <c r="C136" s="210"/>
      <c r="D136" s="210" t="s">
        <v>150</v>
      </c>
      <c r="E136" s="210" t="s">
        <v>566</v>
      </c>
      <c r="F136" s="211">
        <v>0</v>
      </c>
      <c r="G136" s="211">
        <v>0</v>
      </c>
      <c r="H136" s="211">
        <v>0</v>
      </c>
      <c r="I136" s="211">
        <v>0</v>
      </c>
      <c r="J136" s="212">
        <f t="shared" si="1"/>
        <v>0</v>
      </c>
      <c r="K136" s="599"/>
    </row>
    <row r="137" spans="1:11" ht="12.75" hidden="1">
      <c r="A137" s="208"/>
      <c r="B137" s="208"/>
      <c r="C137" s="210"/>
      <c r="D137" s="210" t="s">
        <v>152</v>
      </c>
      <c r="E137" s="210" t="s">
        <v>176</v>
      </c>
      <c r="F137" s="211">
        <v>0</v>
      </c>
      <c r="G137" s="211">
        <v>0</v>
      </c>
      <c r="H137" s="211">
        <v>0</v>
      </c>
      <c r="I137" s="211">
        <v>0</v>
      </c>
      <c r="J137" s="212">
        <f aca="true" t="shared" si="2" ref="J137:J200">SUM(F137:I137)</f>
        <v>0</v>
      </c>
      <c r="K137" s="599"/>
    </row>
    <row r="138" spans="1:11" ht="12.75" hidden="1">
      <c r="A138" s="208"/>
      <c r="B138" s="208"/>
      <c r="C138" s="210"/>
      <c r="D138" s="210" t="s">
        <v>154</v>
      </c>
      <c r="E138" s="210" t="s">
        <v>177</v>
      </c>
      <c r="F138" s="211">
        <v>0</v>
      </c>
      <c r="G138" s="211">
        <v>0</v>
      </c>
      <c r="H138" s="211">
        <v>0</v>
      </c>
      <c r="I138" s="211">
        <v>0</v>
      </c>
      <c r="J138" s="212">
        <f t="shared" si="2"/>
        <v>0</v>
      </c>
      <c r="K138" s="599"/>
    </row>
    <row r="139" spans="1:11" ht="12.75" hidden="1">
      <c r="A139" s="208"/>
      <c r="B139" s="208"/>
      <c r="C139" s="210"/>
      <c r="D139" s="210" t="s">
        <v>156</v>
      </c>
      <c r="E139" s="210" t="s">
        <v>178</v>
      </c>
      <c r="F139" s="211">
        <v>0</v>
      </c>
      <c r="G139" s="211">
        <v>0</v>
      </c>
      <c r="H139" s="211">
        <v>0</v>
      </c>
      <c r="I139" s="211">
        <v>0</v>
      </c>
      <c r="J139" s="212">
        <f t="shared" si="2"/>
        <v>0</v>
      </c>
      <c r="K139" s="599"/>
    </row>
    <row r="140" spans="1:11" ht="12.75" hidden="1">
      <c r="A140" s="208"/>
      <c r="B140" s="208"/>
      <c r="C140" s="210"/>
      <c r="D140" s="210" t="s">
        <v>158</v>
      </c>
      <c r="E140" s="210" t="s">
        <v>527</v>
      </c>
      <c r="F140" s="211">
        <v>0</v>
      </c>
      <c r="G140" s="211">
        <v>0</v>
      </c>
      <c r="H140" s="211">
        <v>0</v>
      </c>
      <c r="I140" s="211">
        <v>0</v>
      </c>
      <c r="J140" s="212">
        <f t="shared" si="2"/>
        <v>0</v>
      </c>
      <c r="K140" s="599"/>
    </row>
    <row r="141" spans="1:11" ht="12.75" hidden="1">
      <c r="A141" s="208"/>
      <c r="B141" s="208"/>
      <c r="C141" s="210"/>
      <c r="D141" s="210" t="s">
        <v>160</v>
      </c>
      <c r="E141" s="210" t="s">
        <v>526</v>
      </c>
      <c r="F141" s="220">
        <v>0</v>
      </c>
      <c r="G141" s="211">
        <v>0</v>
      </c>
      <c r="H141" s="211">
        <v>0</v>
      </c>
      <c r="I141" s="211">
        <v>0</v>
      </c>
      <c r="J141" s="212">
        <f t="shared" si="2"/>
        <v>0</v>
      </c>
      <c r="K141" s="599"/>
    </row>
    <row r="142" spans="1:11" ht="12.75" hidden="1">
      <c r="A142" s="208"/>
      <c r="B142" s="208"/>
      <c r="C142" s="210"/>
      <c r="D142" s="210" t="s">
        <v>162</v>
      </c>
      <c r="E142" s="210" t="s">
        <v>181</v>
      </c>
      <c r="F142" s="211"/>
      <c r="G142" s="211">
        <v>0</v>
      </c>
      <c r="H142" s="211">
        <v>0</v>
      </c>
      <c r="I142" s="211">
        <v>0</v>
      </c>
      <c r="J142" s="212">
        <f t="shared" si="2"/>
        <v>0</v>
      </c>
      <c r="K142" s="599"/>
    </row>
    <row r="143" spans="1:11" ht="12.75" hidden="1">
      <c r="A143" s="208"/>
      <c r="B143" s="208"/>
      <c r="C143" s="210"/>
      <c r="D143" s="210" t="s">
        <v>164</v>
      </c>
      <c r="E143" s="210" t="s">
        <v>567</v>
      </c>
      <c r="F143" s="211">
        <v>0</v>
      </c>
      <c r="G143" s="211">
        <v>0</v>
      </c>
      <c r="H143" s="211">
        <v>0</v>
      </c>
      <c r="I143" s="211">
        <v>0</v>
      </c>
      <c r="J143" s="212">
        <f t="shared" si="2"/>
        <v>0</v>
      </c>
      <c r="K143" s="599"/>
    </row>
    <row r="144" spans="1:11" ht="12.75" hidden="1">
      <c r="A144" s="201"/>
      <c r="B144" s="201" t="s">
        <v>545</v>
      </c>
      <c r="C144" s="808" t="s">
        <v>642</v>
      </c>
      <c r="D144" s="808"/>
      <c r="E144" s="808"/>
      <c r="F144" s="202">
        <f>SUM(F145)</f>
        <v>0</v>
      </c>
      <c r="G144" s="202">
        <v>0</v>
      </c>
      <c r="H144" s="202">
        <v>0</v>
      </c>
      <c r="I144" s="202">
        <v>0</v>
      </c>
      <c r="J144" s="203">
        <f t="shared" si="2"/>
        <v>0</v>
      </c>
      <c r="K144" s="597"/>
    </row>
    <row r="145" spans="1:11" ht="12.75" hidden="1">
      <c r="A145" s="201"/>
      <c r="B145" s="201"/>
      <c r="C145" s="210" t="s">
        <v>2</v>
      </c>
      <c r="D145" s="590"/>
      <c r="E145" s="210" t="s">
        <v>177</v>
      </c>
      <c r="F145" s="211"/>
      <c r="G145" s="211">
        <v>0</v>
      </c>
      <c r="H145" s="211">
        <v>0</v>
      </c>
      <c r="I145" s="211">
        <v>0</v>
      </c>
      <c r="J145" s="212">
        <f>SUM(F145:I145)</f>
        <v>0</v>
      </c>
      <c r="K145" s="597"/>
    </row>
    <row r="146" spans="1:11" s="200" customFormat="1" ht="12.75">
      <c r="A146" s="198" t="s">
        <v>304</v>
      </c>
      <c r="B146" s="816" t="s">
        <v>305</v>
      </c>
      <c r="C146" s="816"/>
      <c r="D146" s="816"/>
      <c r="E146" s="816"/>
      <c r="F146" s="199">
        <f>SUM(F147+F148+F149+F150+F160)</f>
        <v>267460</v>
      </c>
      <c r="G146" s="199">
        <f>SUM(G147+G148+G149+G150+G160)</f>
        <v>0</v>
      </c>
      <c r="H146" s="199">
        <f>SUM(H147+H148+H149+H150+H160)</f>
        <v>0</v>
      </c>
      <c r="I146" s="199">
        <f>SUM(I147+I148+I149+I150+I160)</f>
        <v>0</v>
      </c>
      <c r="J146" s="199">
        <f t="shared" si="2"/>
        <v>267460</v>
      </c>
      <c r="K146" s="596"/>
    </row>
    <row r="147" spans="1:11" ht="12.75" hidden="1">
      <c r="A147" s="201"/>
      <c r="B147" s="201" t="s">
        <v>306</v>
      </c>
      <c r="C147" s="808" t="s">
        <v>674</v>
      </c>
      <c r="D147" s="808"/>
      <c r="E147" s="808"/>
      <c r="F147" s="202">
        <v>0</v>
      </c>
      <c r="G147" s="202">
        <v>0</v>
      </c>
      <c r="H147" s="202">
        <v>0</v>
      </c>
      <c r="I147" s="202">
        <v>0</v>
      </c>
      <c r="J147" s="203">
        <f t="shared" si="2"/>
        <v>0</v>
      </c>
      <c r="K147" s="597"/>
    </row>
    <row r="148" spans="1:11" ht="12.75" hidden="1">
      <c r="A148" s="201"/>
      <c r="B148" s="201" t="s">
        <v>307</v>
      </c>
      <c r="C148" s="808" t="s">
        <v>675</v>
      </c>
      <c r="D148" s="808"/>
      <c r="E148" s="808"/>
      <c r="F148" s="202">
        <v>0</v>
      </c>
      <c r="G148" s="202">
        <v>0</v>
      </c>
      <c r="H148" s="202">
        <v>0</v>
      </c>
      <c r="I148" s="202">
        <v>0</v>
      </c>
      <c r="J148" s="203">
        <f t="shared" si="2"/>
        <v>0</v>
      </c>
      <c r="K148" s="597"/>
    </row>
    <row r="149" spans="1:11" ht="25.5" customHeight="1" hidden="1">
      <c r="A149" s="201"/>
      <c r="B149" s="201" t="s">
        <v>308</v>
      </c>
      <c r="C149" s="817" t="s">
        <v>676</v>
      </c>
      <c r="D149" s="817"/>
      <c r="E149" s="817"/>
      <c r="F149" s="202">
        <v>0</v>
      </c>
      <c r="G149" s="202">
        <v>0</v>
      </c>
      <c r="H149" s="202">
        <v>0</v>
      </c>
      <c r="I149" s="202">
        <v>0</v>
      </c>
      <c r="J149" s="203">
        <f t="shared" si="2"/>
        <v>0</v>
      </c>
      <c r="K149" s="597"/>
    </row>
    <row r="150" spans="1:11" ht="12.75" hidden="1">
      <c r="A150" s="208"/>
      <c r="B150" s="201" t="s">
        <v>546</v>
      </c>
      <c r="C150" s="808" t="s">
        <v>677</v>
      </c>
      <c r="D150" s="808"/>
      <c r="E150" s="808"/>
      <c r="F150" s="202">
        <f>SUM(F151:F159)</f>
        <v>0</v>
      </c>
      <c r="G150" s="202">
        <f>SUM(G151:G159)</f>
        <v>0</v>
      </c>
      <c r="H150" s="202">
        <f>SUM(H151:H159)</f>
        <v>0</v>
      </c>
      <c r="I150" s="202">
        <f>SUM(I151:I159)</f>
        <v>0</v>
      </c>
      <c r="J150" s="203">
        <f t="shared" si="2"/>
        <v>0</v>
      </c>
      <c r="K150" s="597"/>
    </row>
    <row r="151" spans="1:11" ht="12.75" hidden="1">
      <c r="A151" s="208"/>
      <c r="B151" s="208"/>
      <c r="C151" s="210" t="s">
        <v>2</v>
      </c>
      <c r="D151" s="210" t="s">
        <v>148</v>
      </c>
      <c r="E151" s="210" t="s">
        <v>175</v>
      </c>
      <c r="F151" s="211">
        <v>0</v>
      </c>
      <c r="G151" s="211">
        <v>0</v>
      </c>
      <c r="H151" s="211">
        <v>0</v>
      </c>
      <c r="I151" s="211">
        <v>0</v>
      </c>
      <c r="J151" s="212">
        <f t="shared" si="2"/>
        <v>0</v>
      </c>
      <c r="K151" s="599"/>
    </row>
    <row r="152" spans="1:11" ht="12.75" hidden="1">
      <c r="A152" s="208"/>
      <c r="B152" s="208"/>
      <c r="C152" s="210"/>
      <c r="D152" s="210" t="s">
        <v>150</v>
      </c>
      <c r="E152" s="210" t="s">
        <v>566</v>
      </c>
      <c r="F152" s="211">
        <v>0</v>
      </c>
      <c r="G152" s="211">
        <v>0</v>
      </c>
      <c r="H152" s="211">
        <v>0</v>
      </c>
      <c r="I152" s="211">
        <v>0</v>
      </c>
      <c r="J152" s="212">
        <f t="shared" si="2"/>
        <v>0</v>
      </c>
      <c r="K152" s="599"/>
    </row>
    <row r="153" spans="1:11" ht="12.75" hidden="1">
      <c r="A153" s="208"/>
      <c r="B153" s="208"/>
      <c r="C153" s="210"/>
      <c r="D153" s="210" t="s">
        <v>152</v>
      </c>
      <c r="E153" s="210" t="s">
        <v>176</v>
      </c>
      <c r="F153" s="211">
        <v>0</v>
      </c>
      <c r="G153" s="211">
        <v>0</v>
      </c>
      <c r="H153" s="211">
        <v>0</v>
      </c>
      <c r="I153" s="211">
        <v>0</v>
      </c>
      <c r="J153" s="212">
        <f t="shared" si="2"/>
        <v>0</v>
      </c>
      <c r="K153" s="599"/>
    </row>
    <row r="154" spans="1:11" ht="12.75" hidden="1">
      <c r="A154" s="208"/>
      <c r="B154" s="208"/>
      <c r="C154" s="210"/>
      <c r="D154" s="210" t="s">
        <v>154</v>
      </c>
      <c r="E154" s="210" t="s">
        <v>177</v>
      </c>
      <c r="F154" s="211">
        <v>0</v>
      </c>
      <c r="G154" s="211">
        <v>0</v>
      </c>
      <c r="H154" s="211">
        <v>0</v>
      </c>
      <c r="I154" s="211">
        <v>0</v>
      </c>
      <c r="J154" s="212">
        <f t="shared" si="2"/>
        <v>0</v>
      </c>
      <c r="K154" s="599"/>
    </row>
    <row r="155" spans="1:11" ht="12.75" hidden="1">
      <c r="A155" s="208"/>
      <c r="B155" s="208"/>
      <c r="C155" s="210"/>
      <c r="D155" s="210" t="s">
        <v>156</v>
      </c>
      <c r="E155" s="210" t="s">
        <v>178</v>
      </c>
      <c r="F155" s="211">
        <v>0</v>
      </c>
      <c r="G155" s="211">
        <v>0</v>
      </c>
      <c r="H155" s="211">
        <v>0</v>
      </c>
      <c r="I155" s="211">
        <v>0</v>
      </c>
      <c r="J155" s="212">
        <f t="shared" si="2"/>
        <v>0</v>
      </c>
      <c r="K155" s="599"/>
    </row>
    <row r="156" spans="1:11" ht="12.75" hidden="1">
      <c r="A156" s="208"/>
      <c r="B156" s="208"/>
      <c r="C156" s="210"/>
      <c r="D156" s="210" t="s">
        <v>158</v>
      </c>
      <c r="E156" s="210" t="s">
        <v>527</v>
      </c>
      <c r="F156" s="211">
        <v>0</v>
      </c>
      <c r="G156" s="211">
        <v>0</v>
      </c>
      <c r="H156" s="211">
        <v>0</v>
      </c>
      <c r="I156" s="211">
        <v>0</v>
      </c>
      <c r="J156" s="212">
        <f t="shared" si="2"/>
        <v>0</v>
      </c>
      <c r="K156" s="599"/>
    </row>
    <row r="157" spans="1:11" ht="12.75" hidden="1">
      <c r="A157" s="208"/>
      <c r="B157" s="208"/>
      <c r="C157" s="210"/>
      <c r="D157" s="210" t="s">
        <v>160</v>
      </c>
      <c r="E157" s="210" t="s">
        <v>526</v>
      </c>
      <c r="F157" s="220">
        <v>0</v>
      </c>
      <c r="G157" s="211">
        <v>0</v>
      </c>
      <c r="H157" s="211">
        <v>0</v>
      </c>
      <c r="I157" s="211">
        <v>0</v>
      </c>
      <c r="J157" s="212">
        <f t="shared" si="2"/>
        <v>0</v>
      </c>
      <c r="K157" s="599"/>
    </row>
    <row r="158" spans="1:11" ht="12.75" hidden="1">
      <c r="A158" s="208"/>
      <c r="B158" s="208"/>
      <c r="C158" s="210"/>
      <c r="D158" s="210" t="s">
        <v>162</v>
      </c>
      <c r="E158" s="210" t="s">
        <v>181</v>
      </c>
      <c r="F158" s="211">
        <v>0</v>
      </c>
      <c r="G158" s="211">
        <v>0</v>
      </c>
      <c r="H158" s="211">
        <v>0</v>
      </c>
      <c r="I158" s="211">
        <v>0</v>
      </c>
      <c r="J158" s="212">
        <f t="shared" si="2"/>
        <v>0</v>
      </c>
      <c r="K158" s="599"/>
    </row>
    <row r="159" spans="1:11" ht="12.75" hidden="1">
      <c r="A159" s="208"/>
      <c r="B159" s="208"/>
      <c r="C159" s="210"/>
      <c r="D159" s="210" t="s">
        <v>164</v>
      </c>
      <c r="E159" s="210" t="s">
        <v>567</v>
      </c>
      <c r="F159" s="211">
        <v>0</v>
      </c>
      <c r="G159" s="211">
        <v>0</v>
      </c>
      <c r="H159" s="211">
        <v>0</v>
      </c>
      <c r="I159" s="211">
        <v>0</v>
      </c>
      <c r="J159" s="212">
        <f t="shared" si="2"/>
        <v>0</v>
      </c>
      <c r="K159" s="599"/>
    </row>
    <row r="160" spans="1:11" ht="12" customHeight="1">
      <c r="A160" s="208"/>
      <c r="B160" s="201" t="s">
        <v>547</v>
      </c>
      <c r="C160" s="808" t="s">
        <v>625</v>
      </c>
      <c r="D160" s="808"/>
      <c r="E160" s="808"/>
      <c r="F160" s="202">
        <f>SUM(F161:F171)</f>
        <v>267460</v>
      </c>
      <c r="G160" s="202">
        <f>SUM(G161:G171)</f>
        <v>0</v>
      </c>
      <c r="H160" s="202">
        <f>SUM(H161:H171)</f>
        <v>0</v>
      </c>
      <c r="I160" s="202">
        <f>SUM(I161:I171)</f>
        <v>0</v>
      </c>
      <c r="J160" s="203">
        <f t="shared" si="2"/>
        <v>267460</v>
      </c>
      <c r="K160" s="597"/>
    </row>
    <row r="161" spans="1:11" ht="12.75" hidden="1">
      <c r="A161" s="208"/>
      <c r="B161" s="208"/>
      <c r="C161" s="210" t="s">
        <v>2</v>
      </c>
      <c r="D161" s="210" t="s">
        <v>148</v>
      </c>
      <c r="E161" s="210" t="s">
        <v>175</v>
      </c>
      <c r="F161" s="211"/>
      <c r="G161" s="211">
        <v>0</v>
      </c>
      <c r="H161" s="211">
        <v>0</v>
      </c>
      <c r="I161" s="211">
        <v>0</v>
      </c>
      <c r="J161" s="212">
        <f t="shared" si="2"/>
        <v>0</v>
      </c>
      <c r="K161" s="599"/>
    </row>
    <row r="162" spans="1:11" ht="12.75" hidden="1">
      <c r="A162" s="208"/>
      <c r="B162" s="208"/>
      <c r="C162" s="210"/>
      <c r="D162" s="210" t="s">
        <v>150</v>
      </c>
      <c r="E162" s="210" t="s">
        <v>566</v>
      </c>
      <c r="F162" s="211">
        <v>0</v>
      </c>
      <c r="G162" s="211">
        <v>0</v>
      </c>
      <c r="H162" s="211">
        <v>0</v>
      </c>
      <c r="I162" s="211">
        <v>0</v>
      </c>
      <c r="J162" s="212">
        <f t="shared" si="2"/>
        <v>0</v>
      </c>
      <c r="K162" s="599"/>
    </row>
    <row r="163" spans="1:11" ht="12.75" hidden="1">
      <c r="A163" s="208"/>
      <c r="B163" s="208"/>
      <c r="C163" s="210"/>
      <c r="D163" s="210" t="s">
        <v>152</v>
      </c>
      <c r="E163" s="210" t="s">
        <v>176</v>
      </c>
      <c r="F163" s="211">
        <v>0</v>
      </c>
      <c r="G163" s="211">
        <v>0</v>
      </c>
      <c r="H163" s="211">
        <v>0</v>
      </c>
      <c r="I163" s="211">
        <v>0</v>
      </c>
      <c r="J163" s="212">
        <f t="shared" si="2"/>
        <v>0</v>
      </c>
      <c r="K163" s="599"/>
    </row>
    <row r="164" spans="1:11" ht="13.5" customHeight="1">
      <c r="A164" s="208"/>
      <c r="B164" s="208"/>
      <c r="C164" s="210"/>
      <c r="D164" s="210" t="s">
        <v>154</v>
      </c>
      <c r="E164" s="210" t="s">
        <v>177</v>
      </c>
      <c r="F164" s="211">
        <v>267460</v>
      </c>
      <c r="G164" s="211">
        <v>0</v>
      </c>
      <c r="H164" s="211">
        <v>0</v>
      </c>
      <c r="I164" s="211">
        <v>0</v>
      </c>
      <c r="J164" s="212">
        <f t="shared" si="2"/>
        <v>267460</v>
      </c>
      <c r="K164" s="599"/>
    </row>
    <row r="165" spans="1:11" ht="0.75" customHeight="1" hidden="1">
      <c r="A165" s="208"/>
      <c r="B165" s="208"/>
      <c r="C165" s="210"/>
      <c r="D165" s="210" t="s">
        <v>156</v>
      </c>
      <c r="E165" s="210" t="s">
        <v>178</v>
      </c>
      <c r="F165" s="211">
        <v>0</v>
      </c>
      <c r="G165" s="211">
        <v>0</v>
      </c>
      <c r="H165" s="211">
        <v>0</v>
      </c>
      <c r="I165" s="211">
        <v>0</v>
      </c>
      <c r="J165" s="212">
        <f t="shared" si="2"/>
        <v>0</v>
      </c>
      <c r="K165" s="599"/>
    </row>
    <row r="166" spans="1:11" ht="12.75" hidden="1">
      <c r="A166" s="208"/>
      <c r="B166" s="208"/>
      <c r="C166" s="210"/>
      <c r="D166" s="210" t="s">
        <v>158</v>
      </c>
      <c r="E166" s="210" t="s">
        <v>527</v>
      </c>
      <c r="F166" s="211">
        <v>0</v>
      </c>
      <c r="G166" s="211">
        <v>0</v>
      </c>
      <c r="H166" s="211">
        <v>0</v>
      </c>
      <c r="I166" s="211">
        <v>0</v>
      </c>
      <c r="J166" s="212">
        <f t="shared" si="2"/>
        <v>0</v>
      </c>
      <c r="K166" s="599"/>
    </row>
    <row r="167" spans="1:11" ht="12.75" hidden="1">
      <c r="A167" s="208"/>
      <c r="B167" s="208"/>
      <c r="C167" s="210"/>
      <c r="D167" s="210" t="s">
        <v>160</v>
      </c>
      <c r="E167" s="210" t="s">
        <v>526</v>
      </c>
      <c r="F167" s="220">
        <v>0</v>
      </c>
      <c r="G167" s="211">
        <v>0</v>
      </c>
      <c r="H167" s="211">
        <v>0</v>
      </c>
      <c r="I167" s="211">
        <v>0</v>
      </c>
      <c r="J167" s="212">
        <f t="shared" si="2"/>
        <v>0</v>
      </c>
      <c r="K167" s="599"/>
    </row>
    <row r="168" spans="1:11" ht="12.75" hidden="1">
      <c r="A168" s="208"/>
      <c r="B168" s="208"/>
      <c r="C168" s="210"/>
      <c r="D168" s="210" t="s">
        <v>162</v>
      </c>
      <c r="E168" s="210" t="s">
        <v>181</v>
      </c>
      <c r="F168" s="211">
        <v>0</v>
      </c>
      <c r="G168" s="211">
        <v>0</v>
      </c>
      <c r="H168" s="211">
        <v>0</v>
      </c>
      <c r="I168" s="211">
        <v>0</v>
      </c>
      <c r="J168" s="212">
        <f t="shared" si="2"/>
        <v>0</v>
      </c>
      <c r="K168" s="599"/>
    </row>
    <row r="169" spans="1:11" ht="12.75" hidden="1">
      <c r="A169" s="208"/>
      <c r="B169" s="208"/>
      <c r="C169" s="210"/>
      <c r="D169" s="210" t="s">
        <v>164</v>
      </c>
      <c r="E169" s="210" t="s">
        <v>182</v>
      </c>
      <c r="F169" s="211">
        <v>0</v>
      </c>
      <c r="G169" s="211">
        <v>0</v>
      </c>
      <c r="H169" s="211">
        <v>0</v>
      </c>
      <c r="I169" s="211">
        <v>0</v>
      </c>
      <c r="J169" s="212">
        <f t="shared" si="2"/>
        <v>0</v>
      </c>
      <c r="K169" s="599"/>
    </row>
    <row r="170" spans="1:11" ht="12.75" hidden="1">
      <c r="A170" s="208"/>
      <c r="B170" s="208"/>
      <c r="C170" s="210"/>
      <c r="D170" s="210" t="s">
        <v>166</v>
      </c>
      <c r="E170" s="210" t="s">
        <v>183</v>
      </c>
      <c r="F170" s="211">
        <v>0</v>
      </c>
      <c r="G170" s="211">
        <v>0</v>
      </c>
      <c r="H170" s="211">
        <v>0</v>
      </c>
      <c r="I170" s="211">
        <v>0</v>
      </c>
      <c r="J170" s="212">
        <f t="shared" si="2"/>
        <v>0</v>
      </c>
      <c r="K170" s="599"/>
    </row>
    <row r="171" spans="1:11" ht="12.75" hidden="1">
      <c r="A171" s="208"/>
      <c r="B171" s="208"/>
      <c r="C171" s="210"/>
      <c r="D171" s="210" t="s">
        <v>568</v>
      </c>
      <c r="E171" s="210" t="s">
        <v>184</v>
      </c>
      <c r="F171" s="211">
        <v>0</v>
      </c>
      <c r="G171" s="211">
        <v>0</v>
      </c>
      <c r="H171" s="211">
        <v>0</v>
      </c>
      <c r="I171" s="211">
        <v>0</v>
      </c>
      <c r="J171" s="212">
        <f t="shared" si="2"/>
        <v>0</v>
      </c>
      <c r="K171" s="599"/>
    </row>
    <row r="172" spans="1:11" s="200" customFormat="1" ht="12.75">
      <c r="A172" s="198" t="s">
        <v>309</v>
      </c>
      <c r="B172" s="816" t="s">
        <v>310</v>
      </c>
      <c r="C172" s="816"/>
      <c r="D172" s="816"/>
      <c r="E172" s="816"/>
      <c r="F172" s="199">
        <f>SUM(F173+F196+F197+F198)</f>
        <v>1035955946</v>
      </c>
      <c r="G172" s="199">
        <f>SUM(G173+G196+G197+G198)</f>
        <v>789210</v>
      </c>
      <c r="H172" s="199">
        <f>SUM(H173+H196+H197+H198)</f>
        <v>7760424</v>
      </c>
      <c r="I172" s="199">
        <f>SUM(I173+I196+I197+I198)</f>
        <v>5642681</v>
      </c>
      <c r="J172" s="199">
        <f t="shared" si="2"/>
        <v>1050148261</v>
      </c>
      <c r="K172" s="596"/>
    </row>
    <row r="173" spans="1:11" ht="12.75">
      <c r="A173" s="208"/>
      <c r="B173" s="201" t="s">
        <v>311</v>
      </c>
      <c r="C173" s="808" t="s">
        <v>312</v>
      </c>
      <c r="D173" s="808"/>
      <c r="E173" s="808"/>
      <c r="F173" s="202">
        <f>SUM(F174+F178+F183+F188+F189+F190+F191+F192+F193)</f>
        <v>1035955946</v>
      </c>
      <c r="G173" s="202">
        <f>SUM(G174+G178+G183+G188+G189+G190+G191+G192+G193)</f>
        <v>789210</v>
      </c>
      <c r="H173" s="202">
        <f>SUM(H174+H178+H183+H188+H189+H190+H191+H192+H193)</f>
        <v>7760424</v>
      </c>
      <c r="I173" s="202">
        <f>SUM(I174+I178+I183+I188+I189+I190+I191+I192+I193)</f>
        <v>5642681</v>
      </c>
      <c r="J173" s="203">
        <f t="shared" si="2"/>
        <v>1050148261</v>
      </c>
      <c r="K173" s="597"/>
    </row>
    <row r="174" spans="1:11" ht="12.75">
      <c r="A174" s="204"/>
      <c r="B174" s="204"/>
      <c r="C174" s="204" t="s">
        <v>313</v>
      </c>
      <c r="D174" s="204" t="s">
        <v>593</v>
      </c>
      <c r="E174" s="204"/>
      <c r="F174" s="205">
        <f>SUM(F175:F177)</f>
        <v>0</v>
      </c>
      <c r="G174" s="205">
        <f>SUM(G175:G177)</f>
        <v>0</v>
      </c>
      <c r="H174" s="205">
        <f>SUM(H175:H177)</f>
        <v>0</v>
      </c>
      <c r="I174" s="205">
        <f>SUM(I175:I177)</f>
        <v>0</v>
      </c>
      <c r="J174" s="206">
        <f t="shared" si="2"/>
        <v>0</v>
      </c>
      <c r="K174" s="598"/>
    </row>
    <row r="175" spans="1:11" ht="12.75" hidden="1">
      <c r="A175" s="221"/>
      <c r="B175" s="221"/>
      <c r="C175" s="221"/>
      <c r="D175" s="221" t="s">
        <v>314</v>
      </c>
      <c r="E175" s="221" t="s">
        <v>678</v>
      </c>
      <c r="F175" s="222">
        <v>0</v>
      </c>
      <c r="G175" s="222">
        <v>0</v>
      </c>
      <c r="H175" s="222">
        <v>0</v>
      </c>
      <c r="I175" s="222">
        <v>0</v>
      </c>
      <c r="J175" s="223">
        <f t="shared" si="2"/>
        <v>0</v>
      </c>
      <c r="K175" s="600"/>
    </row>
    <row r="176" spans="1:11" ht="12.75" hidden="1">
      <c r="A176" s="221"/>
      <c r="B176" s="221"/>
      <c r="C176" s="221"/>
      <c r="D176" s="221" t="s">
        <v>315</v>
      </c>
      <c r="E176" s="221" t="s">
        <v>679</v>
      </c>
      <c r="F176" s="222">
        <v>0</v>
      </c>
      <c r="G176" s="222">
        <v>0</v>
      </c>
      <c r="H176" s="222">
        <v>0</v>
      </c>
      <c r="I176" s="222">
        <v>0</v>
      </c>
      <c r="J176" s="223">
        <f t="shared" si="2"/>
        <v>0</v>
      </c>
      <c r="K176" s="600"/>
    </row>
    <row r="177" spans="1:11" ht="12.75" hidden="1">
      <c r="A177" s="221"/>
      <c r="B177" s="221"/>
      <c r="C177" s="221"/>
      <c r="D177" s="221" t="s">
        <v>316</v>
      </c>
      <c r="E177" s="221" t="s">
        <v>680</v>
      </c>
      <c r="F177" s="222">
        <v>0</v>
      </c>
      <c r="G177" s="222">
        <v>0</v>
      </c>
      <c r="H177" s="222">
        <v>0</v>
      </c>
      <c r="I177" s="222">
        <v>0</v>
      </c>
      <c r="J177" s="223">
        <f t="shared" si="2"/>
        <v>0</v>
      </c>
      <c r="K177" s="600"/>
    </row>
    <row r="178" spans="1:11" ht="12.75">
      <c r="A178" s="204"/>
      <c r="B178" s="204"/>
      <c r="C178" s="204" t="s">
        <v>317</v>
      </c>
      <c r="D178" s="204" t="s">
        <v>318</v>
      </c>
      <c r="E178" s="204"/>
      <c r="F178" s="205">
        <f>SUM(F179:F182)</f>
        <v>0</v>
      </c>
      <c r="G178" s="205">
        <f>SUM(G179:G182)</f>
        <v>0</v>
      </c>
      <c r="H178" s="205">
        <f>SUM(H179:H182)</f>
        <v>0</v>
      </c>
      <c r="I178" s="205">
        <f>SUM(I179:I182)</f>
        <v>0</v>
      </c>
      <c r="J178" s="206">
        <f t="shared" si="2"/>
        <v>0</v>
      </c>
      <c r="K178" s="598"/>
    </row>
    <row r="179" spans="1:11" ht="12.75" hidden="1">
      <c r="A179" s="204"/>
      <c r="B179" s="204"/>
      <c r="C179" s="204"/>
      <c r="D179" s="221" t="s">
        <v>548</v>
      </c>
      <c r="E179" s="221" t="s">
        <v>549</v>
      </c>
      <c r="F179" s="205">
        <v>0</v>
      </c>
      <c r="G179" s="205">
        <v>0</v>
      </c>
      <c r="H179" s="205">
        <v>0</v>
      </c>
      <c r="I179" s="205">
        <v>0</v>
      </c>
      <c r="J179" s="206">
        <f t="shared" si="2"/>
        <v>0</v>
      </c>
      <c r="K179" s="598"/>
    </row>
    <row r="180" spans="1:11" ht="12.75" hidden="1">
      <c r="A180" s="204"/>
      <c r="B180" s="204"/>
      <c r="C180" s="204"/>
      <c r="D180" s="221" t="s">
        <v>550</v>
      </c>
      <c r="E180" s="221" t="s">
        <v>551</v>
      </c>
      <c r="F180" s="205">
        <v>0</v>
      </c>
      <c r="G180" s="205">
        <v>0</v>
      </c>
      <c r="H180" s="205">
        <v>0</v>
      </c>
      <c r="I180" s="205">
        <v>0</v>
      </c>
      <c r="J180" s="206">
        <f t="shared" si="2"/>
        <v>0</v>
      </c>
      <c r="K180" s="598"/>
    </row>
    <row r="181" spans="1:11" ht="12.75" hidden="1">
      <c r="A181" s="204"/>
      <c r="B181" s="204"/>
      <c r="C181" s="204"/>
      <c r="D181" s="221" t="s">
        <v>552</v>
      </c>
      <c r="E181" s="221" t="s">
        <v>553</v>
      </c>
      <c r="F181" s="205">
        <v>0</v>
      </c>
      <c r="G181" s="205">
        <v>0</v>
      </c>
      <c r="H181" s="205">
        <v>0</v>
      </c>
      <c r="I181" s="205">
        <v>0</v>
      </c>
      <c r="J181" s="206">
        <f t="shared" si="2"/>
        <v>0</v>
      </c>
      <c r="K181" s="598"/>
    </row>
    <row r="182" spans="1:11" ht="12.75" hidden="1">
      <c r="A182" s="204"/>
      <c r="B182" s="204"/>
      <c r="C182" s="204"/>
      <c r="D182" s="221" t="s">
        <v>554</v>
      </c>
      <c r="E182" s="221" t="s">
        <v>555</v>
      </c>
      <c r="F182" s="205">
        <v>0</v>
      </c>
      <c r="G182" s="205">
        <v>0</v>
      </c>
      <c r="H182" s="205">
        <v>0</v>
      </c>
      <c r="I182" s="205">
        <v>0</v>
      </c>
      <c r="J182" s="206">
        <f t="shared" si="2"/>
        <v>0</v>
      </c>
      <c r="K182" s="598"/>
    </row>
    <row r="183" spans="1:11" ht="12.75">
      <c r="A183" s="204"/>
      <c r="B183" s="204"/>
      <c r="C183" s="204" t="s">
        <v>319</v>
      </c>
      <c r="D183" s="204" t="s">
        <v>320</v>
      </c>
      <c r="E183" s="204"/>
      <c r="F183" s="205">
        <f>SUM(F184,F187)</f>
        <v>1035955946</v>
      </c>
      <c r="G183" s="205">
        <f>SUM(G184,G187)</f>
        <v>789210</v>
      </c>
      <c r="H183" s="205">
        <f>SUM(H184,H187)</f>
        <v>7760424</v>
      </c>
      <c r="I183" s="205">
        <f>SUM(I184,I187)</f>
        <v>5642681</v>
      </c>
      <c r="J183" s="206">
        <f t="shared" si="2"/>
        <v>1050148261</v>
      </c>
      <c r="K183" s="598"/>
    </row>
    <row r="184" spans="1:11" ht="12.75">
      <c r="A184" s="221"/>
      <c r="B184" s="221"/>
      <c r="C184" s="221"/>
      <c r="D184" s="221" t="s">
        <v>321</v>
      </c>
      <c r="E184" s="221" t="s">
        <v>322</v>
      </c>
      <c r="F184" s="222">
        <f>SUM(F185:F186)</f>
        <v>1035955946</v>
      </c>
      <c r="G184" s="222">
        <f>SUM(G185:G186)</f>
        <v>789210</v>
      </c>
      <c r="H184" s="222">
        <f>SUM(H185:H186)</f>
        <v>7760424</v>
      </c>
      <c r="I184" s="222">
        <f>SUM(I185:I186)</f>
        <v>5642681</v>
      </c>
      <c r="J184" s="223">
        <f t="shared" si="2"/>
        <v>1050148261</v>
      </c>
      <c r="K184" s="600"/>
    </row>
    <row r="185" spans="1:11" s="228" customFormat="1" ht="12.75">
      <c r="A185" s="224"/>
      <c r="B185" s="224"/>
      <c r="C185" s="224"/>
      <c r="D185" s="224"/>
      <c r="E185" s="225" t="s">
        <v>36</v>
      </c>
      <c r="F185" s="226">
        <v>139338070</v>
      </c>
      <c r="G185" s="226">
        <v>789210</v>
      </c>
      <c r="H185" s="226">
        <v>7760424</v>
      </c>
      <c r="I185" s="226">
        <v>5642681</v>
      </c>
      <c r="J185" s="227">
        <f t="shared" si="2"/>
        <v>153530385</v>
      </c>
      <c r="K185" s="601"/>
    </row>
    <row r="186" spans="1:11" s="228" customFormat="1" ht="12.75">
      <c r="A186" s="224"/>
      <c r="B186" s="224"/>
      <c r="C186" s="224"/>
      <c r="D186" s="224"/>
      <c r="E186" s="225" t="s">
        <v>37</v>
      </c>
      <c r="F186" s="226">
        <f>896617876</f>
        <v>896617876</v>
      </c>
      <c r="G186" s="226">
        <v>0</v>
      </c>
      <c r="H186" s="226">
        <v>0</v>
      </c>
      <c r="I186" s="226">
        <v>0</v>
      </c>
      <c r="J186" s="227">
        <f t="shared" si="2"/>
        <v>896617876</v>
      </c>
      <c r="K186" s="601"/>
    </row>
    <row r="187" spans="1:11" ht="12.75">
      <c r="A187" s="221"/>
      <c r="B187" s="221"/>
      <c r="C187" s="221"/>
      <c r="D187" s="221" t="s">
        <v>323</v>
      </c>
      <c r="E187" s="221" t="s">
        <v>324</v>
      </c>
      <c r="F187" s="222">
        <v>0</v>
      </c>
      <c r="G187" s="222">
        <v>0</v>
      </c>
      <c r="H187" s="222">
        <v>0</v>
      </c>
      <c r="I187" s="222">
        <v>0</v>
      </c>
      <c r="J187" s="223">
        <f t="shared" si="2"/>
        <v>0</v>
      </c>
      <c r="K187" s="600"/>
    </row>
    <row r="188" spans="1:11" ht="12.75" hidden="1">
      <c r="A188" s="204"/>
      <c r="B188" s="204"/>
      <c r="C188" s="204" t="s">
        <v>325</v>
      </c>
      <c r="D188" s="204" t="s">
        <v>594</v>
      </c>
      <c r="E188" s="204"/>
      <c r="F188" s="205">
        <v>0</v>
      </c>
      <c r="G188" s="205">
        <v>0</v>
      </c>
      <c r="H188" s="205">
        <v>0</v>
      </c>
      <c r="I188" s="205">
        <v>0</v>
      </c>
      <c r="J188" s="206">
        <f t="shared" si="2"/>
        <v>0</v>
      </c>
      <c r="K188" s="598"/>
    </row>
    <row r="189" spans="1:11" ht="12.75" hidden="1">
      <c r="A189" s="204"/>
      <c r="B189" s="204"/>
      <c r="C189" s="204" t="s">
        <v>326</v>
      </c>
      <c r="D189" s="204" t="s">
        <v>595</v>
      </c>
      <c r="E189" s="204"/>
      <c r="F189" s="205">
        <v>0</v>
      </c>
      <c r="G189" s="205">
        <v>0</v>
      </c>
      <c r="H189" s="205">
        <v>0</v>
      </c>
      <c r="I189" s="205">
        <v>0</v>
      </c>
      <c r="J189" s="206">
        <f t="shared" si="2"/>
        <v>0</v>
      </c>
      <c r="K189" s="598"/>
    </row>
    <row r="190" spans="1:11" ht="12.75" hidden="1">
      <c r="A190" s="204"/>
      <c r="B190" s="204"/>
      <c r="C190" s="204" t="s">
        <v>327</v>
      </c>
      <c r="D190" s="204" t="s">
        <v>328</v>
      </c>
      <c r="E190" s="204"/>
      <c r="F190" s="205">
        <v>0</v>
      </c>
      <c r="G190" s="205">
        <v>0</v>
      </c>
      <c r="H190" s="205">
        <v>0</v>
      </c>
      <c r="I190" s="205">
        <v>0</v>
      </c>
      <c r="J190" s="206">
        <f t="shared" si="2"/>
        <v>0</v>
      </c>
      <c r="K190" s="598"/>
    </row>
    <row r="191" spans="1:11" ht="12.75" hidden="1">
      <c r="A191" s="204"/>
      <c r="B191" s="204"/>
      <c r="C191" s="204" t="s">
        <v>329</v>
      </c>
      <c r="D191" s="204" t="s">
        <v>556</v>
      </c>
      <c r="E191" s="204"/>
      <c r="F191" s="205">
        <v>0</v>
      </c>
      <c r="G191" s="205">
        <v>0</v>
      </c>
      <c r="H191" s="205">
        <v>0</v>
      </c>
      <c r="I191" s="205">
        <v>0</v>
      </c>
      <c r="J191" s="206">
        <f t="shared" si="2"/>
        <v>0</v>
      </c>
      <c r="K191" s="598"/>
    </row>
    <row r="192" spans="1:11" ht="12.75" hidden="1">
      <c r="A192" s="204"/>
      <c r="B192" s="204"/>
      <c r="C192" s="204" t="s">
        <v>330</v>
      </c>
      <c r="D192" s="204" t="s">
        <v>331</v>
      </c>
      <c r="E192" s="204"/>
      <c r="F192" s="205">
        <v>0</v>
      </c>
      <c r="G192" s="205">
        <v>0</v>
      </c>
      <c r="H192" s="205">
        <v>0</v>
      </c>
      <c r="I192" s="205">
        <v>0</v>
      </c>
      <c r="J192" s="206">
        <f t="shared" si="2"/>
        <v>0</v>
      </c>
      <c r="K192" s="598"/>
    </row>
    <row r="193" spans="1:11" ht="12.75" hidden="1">
      <c r="A193" s="204"/>
      <c r="B193" s="204"/>
      <c r="C193" s="204" t="s">
        <v>557</v>
      </c>
      <c r="D193" s="204" t="s">
        <v>558</v>
      </c>
      <c r="E193" s="204"/>
      <c r="F193" s="205">
        <v>0</v>
      </c>
      <c r="G193" s="205">
        <v>0</v>
      </c>
      <c r="H193" s="205">
        <v>0</v>
      </c>
      <c r="I193" s="205">
        <v>0</v>
      </c>
      <c r="J193" s="206">
        <f t="shared" si="2"/>
        <v>0</v>
      </c>
      <c r="K193" s="598"/>
    </row>
    <row r="194" spans="1:11" ht="12.75" hidden="1">
      <c r="A194" s="204"/>
      <c r="B194" s="204"/>
      <c r="C194" s="204"/>
      <c r="D194" s="221" t="s">
        <v>559</v>
      </c>
      <c r="E194" s="221" t="s">
        <v>560</v>
      </c>
      <c r="F194" s="226">
        <v>0</v>
      </c>
      <c r="G194" s="226">
        <v>0</v>
      </c>
      <c r="H194" s="226">
        <v>0</v>
      </c>
      <c r="I194" s="226">
        <v>0</v>
      </c>
      <c r="J194" s="206">
        <f t="shared" si="2"/>
        <v>0</v>
      </c>
      <c r="K194" s="598"/>
    </row>
    <row r="195" spans="1:11" ht="12.75" hidden="1">
      <c r="A195" s="204"/>
      <c r="B195" s="204"/>
      <c r="C195" s="204"/>
      <c r="D195" s="221" t="s">
        <v>561</v>
      </c>
      <c r="E195" s="221" t="s">
        <v>562</v>
      </c>
      <c r="F195" s="226">
        <v>0</v>
      </c>
      <c r="G195" s="226">
        <v>0</v>
      </c>
      <c r="H195" s="226">
        <v>0</v>
      </c>
      <c r="I195" s="226">
        <v>0</v>
      </c>
      <c r="J195" s="206">
        <f t="shared" si="2"/>
        <v>0</v>
      </c>
      <c r="K195" s="598"/>
    </row>
    <row r="196" spans="1:11" ht="12.75">
      <c r="A196" s="208"/>
      <c r="B196" s="201" t="s">
        <v>332</v>
      </c>
      <c r="C196" s="808" t="s">
        <v>333</v>
      </c>
      <c r="D196" s="808"/>
      <c r="E196" s="808"/>
      <c r="F196" s="202">
        <v>0</v>
      </c>
      <c r="G196" s="202">
        <v>0</v>
      </c>
      <c r="H196" s="202">
        <v>0</v>
      </c>
      <c r="I196" s="202">
        <v>0</v>
      </c>
      <c r="J196" s="203">
        <f t="shared" si="2"/>
        <v>0</v>
      </c>
      <c r="K196" s="597"/>
    </row>
    <row r="197" spans="1:11" ht="12.75">
      <c r="A197" s="208"/>
      <c r="B197" s="201" t="s">
        <v>334</v>
      </c>
      <c r="C197" s="808" t="s">
        <v>335</v>
      </c>
      <c r="D197" s="808"/>
      <c r="E197" s="808"/>
      <c r="F197" s="202">
        <v>0</v>
      </c>
      <c r="G197" s="202">
        <v>0</v>
      </c>
      <c r="H197" s="202">
        <v>0</v>
      </c>
      <c r="I197" s="202">
        <v>0</v>
      </c>
      <c r="J197" s="203">
        <f t="shared" si="2"/>
        <v>0</v>
      </c>
      <c r="K197" s="597"/>
    </row>
    <row r="198" spans="1:11" ht="12.75">
      <c r="A198" s="208"/>
      <c r="B198" s="201" t="s">
        <v>563</v>
      </c>
      <c r="C198" s="808" t="s">
        <v>564</v>
      </c>
      <c r="D198" s="808"/>
      <c r="E198" s="808"/>
      <c r="F198" s="202">
        <v>0</v>
      </c>
      <c r="G198" s="202">
        <v>0</v>
      </c>
      <c r="H198" s="202">
        <v>0</v>
      </c>
      <c r="I198" s="202">
        <v>0</v>
      </c>
      <c r="J198" s="203">
        <f t="shared" si="2"/>
        <v>0</v>
      </c>
      <c r="K198" s="597"/>
    </row>
    <row r="199" spans="1:11" ht="12.75">
      <c r="A199" s="208"/>
      <c r="B199" s="208"/>
      <c r="C199" s="755"/>
      <c r="D199" s="757"/>
      <c r="E199" s="756"/>
      <c r="F199" s="229"/>
      <c r="G199" s="230"/>
      <c r="H199" s="230"/>
      <c r="I199" s="230"/>
      <c r="J199" s="229">
        <f t="shared" si="2"/>
        <v>0</v>
      </c>
      <c r="K199" s="602"/>
    </row>
    <row r="200" spans="1:11" s="232" customFormat="1" ht="15.75">
      <c r="A200" s="815" t="s">
        <v>441</v>
      </c>
      <c r="B200" s="815"/>
      <c r="C200" s="815"/>
      <c r="D200" s="815"/>
      <c r="E200" s="815"/>
      <c r="F200" s="231">
        <f>SUM(F172+F146+F130+F122+F86+F57+F40+F7)</f>
        <v>2058448824</v>
      </c>
      <c r="G200" s="231">
        <f>SUM(G172+G146+G130+G122+G86+G57+G40+G7)</f>
        <v>6576559</v>
      </c>
      <c r="H200" s="231">
        <f>SUM(H172+H146+H130+H122+H86+H57+H40+H7)</f>
        <v>14526312</v>
      </c>
      <c r="I200" s="231">
        <f>SUM(I172+I146+I130+I122+I86+I57+I40+I7)</f>
        <v>14484381</v>
      </c>
      <c r="J200" s="727">
        <f t="shared" si="2"/>
        <v>2094036076</v>
      </c>
      <c r="K200" s="603"/>
    </row>
  </sheetData>
  <sheetProtection/>
  <mergeCells count="54">
    <mergeCell ref="C16:E16"/>
    <mergeCell ref="C17:E17"/>
    <mergeCell ref="C28:E28"/>
    <mergeCell ref="C45:E45"/>
    <mergeCell ref="A5:E5"/>
    <mergeCell ref="B7:E7"/>
    <mergeCell ref="C8:E8"/>
    <mergeCell ref="C15:E15"/>
    <mergeCell ref="B40:E40"/>
    <mergeCell ref="C29:E29"/>
    <mergeCell ref="B130:E130"/>
    <mergeCell ref="C125:E125"/>
    <mergeCell ref="C127:E127"/>
    <mergeCell ref="D111:E111"/>
    <mergeCell ref="C129:E129"/>
    <mergeCell ref="C123:E123"/>
    <mergeCell ref="B57:E57"/>
    <mergeCell ref="D107:E107"/>
    <mergeCell ref="C60:E60"/>
    <mergeCell ref="D104:E104"/>
    <mergeCell ref="C58:E58"/>
    <mergeCell ref="C75:E75"/>
    <mergeCell ref="B86:E86"/>
    <mergeCell ref="C59:E59"/>
    <mergeCell ref="C147:E147"/>
    <mergeCell ref="C196:E196"/>
    <mergeCell ref="C132:E132"/>
    <mergeCell ref="C133:E133"/>
    <mergeCell ref="C43:E43"/>
    <mergeCell ref="C41:E41"/>
    <mergeCell ref="D119:E119"/>
    <mergeCell ref="B122:E122"/>
    <mergeCell ref="C44:E44"/>
    <mergeCell ref="D112:E112"/>
    <mergeCell ref="A200:E200"/>
    <mergeCell ref="C131:E131"/>
    <mergeCell ref="C134:E134"/>
    <mergeCell ref="C144:E144"/>
    <mergeCell ref="B146:E146"/>
    <mergeCell ref="C198:E198"/>
    <mergeCell ref="B172:E172"/>
    <mergeCell ref="C149:E149"/>
    <mergeCell ref="C150:E150"/>
    <mergeCell ref="C148:E148"/>
    <mergeCell ref="C197:E197"/>
    <mergeCell ref="C173:E173"/>
    <mergeCell ref="F1:J1"/>
    <mergeCell ref="B6:E6"/>
    <mergeCell ref="A2:J2"/>
    <mergeCell ref="C128:E128"/>
    <mergeCell ref="C42:E42"/>
    <mergeCell ref="C61:E61"/>
    <mergeCell ref="C64:E64"/>
    <mergeCell ref="C160:E160"/>
  </mergeCells>
  <printOptions horizontalCentered="1"/>
  <pageMargins left="0.5118110236220472" right="0.5118110236220472" top="0.8661417322834646" bottom="0.8661417322834646" header="0.31496062992125984" footer="0.31496062992125984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V52"/>
  <sheetViews>
    <sheetView zoomScalePageLayoutView="0" workbookViewId="0" topLeftCell="A1">
      <selection activeCell="A2" sqref="A2:K2"/>
    </sheetView>
  </sheetViews>
  <sheetFormatPr defaultColWidth="9.00390625" defaultRowHeight="12.75"/>
  <cols>
    <col min="1" max="1" width="5.125" style="35" bestFit="1" customWidth="1"/>
    <col min="2" max="2" width="8.875" style="31" customWidth="1"/>
    <col min="3" max="3" width="69.25390625" style="31" customWidth="1"/>
    <col min="4" max="4" width="9.75390625" style="31" bestFit="1" customWidth="1"/>
    <col min="5" max="5" width="10.375" style="31" bestFit="1" customWidth="1"/>
    <col min="6" max="6" width="16.125" style="31" bestFit="1" customWidth="1"/>
    <col min="7" max="7" width="9.75390625" style="31" bestFit="1" customWidth="1"/>
    <col min="8" max="8" width="11.25390625" style="31" customWidth="1"/>
    <col min="9" max="9" width="9.625" style="31" customWidth="1"/>
    <col min="10" max="10" width="11.25390625" style="31" customWidth="1"/>
    <col min="11" max="12" width="16.125" style="31" bestFit="1" customWidth="1"/>
    <col min="13" max="13" width="9.125" style="31" customWidth="1"/>
    <col min="14" max="14" width="12.375" style="31" bestFit="1" customWidth="1"/>
    <col min="15" max="16384" width="9.125" style="31" customWidth="1"/>
  </cols>
  <sheetData>
    <row r="1" spans="9:13" ht="15" customHeight="1">
      <c r="I1" s="552" t="s">
        <v>1020</v>
      </c>
      <c r="J1" s="161"/>
      <c r="K1" s="161"/>
      <c r="L1" s="551"/>
      <c r="M1" s="161"/>
    </row>
    <row r="2" spans="1:256" ht="15.75">
      <c r="A2" s="1093" t="s">
        <v>886</v>
      </c>
      <c r="B2" s="1093"/>
      <c r="C2" s="1093"/>
      <c r="D2" s="1093"/>
      <c r="E2" s="1093"/>
      <c r="F2" s="1093"/>
      <c r="G2" s="1093"/>
      <c r="H2" s="1093"/>
      <c r="I2" s="1093"/>
      <c r="J2" s="1093"/>
      <c r="K2" s="1093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15.75">
      <c r="A3" s="1094" t="s">
        <v>887</v>
      </c>
      <c r="B3" s="1094"/>
      <c r="C3" s="1094"/>
      <c r="D3" s="1094"/>
      <c r="E3" s="1094"/>
      <c r="F3" s="1094"/>
      <c r="G3" s="1094"/>
      <c r="H3" s="1094"/>
      <c r="I3" s="1094"/>
      <c r="J3" s="1094"/>
      <c r="K3" s="1094"/>
      <c r="L3" s="23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ht="13.5" thickBot="1"/>
    <row r="5" spans="1:256" ht="12.75">
      <c r="A5" s="1095" t="s">
        <v>445</v>
      </c>
      <c r="B5" s="1096"/>
      <c r="C5" s="1097"/>
      <c r="D5" s="1095" t="s">
        <v>443</v>
      </c>
      <c r="E5" s="1096"/>
      <c r="F5" s="1098"/>
      <c r="G5" s="1099" t="s">
        <v>574</v>
      </c>
      <c r="H5" s="1100"/>
      <c r="I5" s="1100"/>
      <c r="J5" s="1101"/>
      <c r="K5" s="1102"/>
      <c r="L5" s="1109" t="s">
        <v>368</v>
      </c>
      <c r="M5" s="29"/>
      <c r="N5" s="29" t="s">
        <v>476</v>
      </c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ht="25.5">
      <c r="A6" s="1111" t="s">
        <v>446</v>
      </c>
      <c r="B6" s="1112"/>
      <c r="C6" s="24" t="s">
        <v>447</v>
      </c>
      <c r="D6" s="25" t="s">
        <v>448</v>
      </c>
      <c r="E6" s="27" t="s">
        <v>449</v>
      </c>
      <c r="F6" s="28" t="s">
        <v>475</v>
      </c>
      <c r="G6" s="25" t="s">
        <v>450</v>
      </c>
      <c r="H6" s="26" t="s">
        <v>461</v>
      </c>
      <c r="I6" s="26" t="s">
        <v>451</v>
      </c>
      <c r="J6" s="26" t="s">
        <v>461</v>
      </c>
      <c r="K6" s="28" t="s">
        <v>617</v>
      </c>
      <c r="L6" s="1110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ht="12.75">
      <c r="A7" s="1113" t="s">
        <v>428</v>
      </c>
      <c r="B7" s="1114"/>
      <c r="C7" s="101" t="s">
        <v>429</v>
      </c>
      <c r="D7" s="102" t="s">
        <v>430</v>
      </c>
      <c r="E7" s="103" t="s">
        <v>431</v>
      </c>
      <c r="F7" s="104" t="s">
        <v>432</v>
      </c>
      <c r="G7" s="102" t="s">
        <v>433</v>
      </c>
      <c r="H7" s="105" t="s">
        <v>435</v>
      </c>
      <c r="I7" s="105" t="s">
        <v>436</v>
      </c>
      <c r="J7" s="105" t="s">
        <v>387</v>
      </c>
      <c r="K7" s="104" t="s">
        <v>388</v>
      </c>
      <c r="L7" s="142" t="s">
        <v>389</v>
      </c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</row>
    <row r="8" spans="1:256" ht="12.75">
      <c r="A8" s="731" t="s">
        <v>464</v>
      </c>
      <c r="B8" s="122"/>
      <c r="C8" s="123" t="s">
        <v>473</v>
      </c>
      <c r="D8" s="124"/>
      <c r="E8" s="125"/>
      <c r="F8" s="126">
        <f>F9+F10+F15+F16+F17</f>
        <v>209343981</v>
      </c>
      <c r="G8" s="124"/>
      <c r="H8" s="127"/>
      <c r="I8" s="127"/>
      <c r="J8" s="125"/>
      <c r="K8" s="126"/>
      <c r="L8" s="143">
        <f aca="true" t="shared" si="0" ref="L8:L14">F8+K8</f>
        <v>209343981</v>
      </c>
      <c r="M8" s="120"/>
      <c r="N8" s="145">
        <f>SUM(N9:N17)</f>
        <v>209343981</v>
      </c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  <c r="IT8" s="121"/>
      <c r="IU8" s="121"/>
      <c r="IV8" s="121"/>
    </row>
    <row r="9" spans="1:256" ht="12.75">
      <c r="A9" s="732"/>
      <c r="B9" s="115" t="s">
        <v>515</v>
      </c>
      <c r="C9" s="116" t="s">
        <v>462</v>
      </c>
      <c r="D9" s="554">
        <v>26.11</v>
      </c>
      <c r="E9" s="555">
        <v>5450000</v>
      </c>
      <c r="F9" s="556">
        <f>D9*E9</f>
        <v>142299500</v>
      </c>
      <c r="G9" s="557"/>
      <c r="H9" s="558"/>
      <c r="I9" s="558"/>
      <c r="J9" s="555"/>
      <c r="K9" s="556"/>
      <c r="L9" s="559">
        <f t="shared" si="0"/>
        <v>142299500</v>
      </c>
      <c r="M9" s="117"/>
      <c r="N9" s="160">
        <f>SUM(L9)</f>
        <v>142299500</v>
      </c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</row>
    <row r="10" spans="1:256" ht="12.75">
      <c r="A10" s="732"/>
      <c r="B10" s="115" t="s">
        <v>516</v>
      </c>
      <c r="C10" s="116" t="s">
        <v>792</v>
      </c>
      <c r="D10" s="557"/>
      <c r="E10" s="555"/>
      <c r="F10" s="556">
        <v>65506481</v>
      </c>
      <c r="G10" s="557"/>
      <c r="H10" s="558"/>
      <c r="I10" s="558"/>
      <c r="J10" s="555"/>
      <c r="K10" s="556"/>
      <c r="L10" s="559">
        <f t="shared" si="0"/>
        <v>65506481</v>
      </c>
      <c r="M10" s="117"/>
      <c r="N10" s="160">
        <f>SUM(L11:L14)</f>
        <v>65506481</v>
      </c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  <c r="IU10" s="118"/>
      <c r="IV10" s="118"/>
    </row>
    <row r="11" spans="1:14" ht="12.75">
      <c r="A11" s="733"/>
      <c r="B11" s="113" t="s">
        <v>517</v>
      </c>
      <c r="C11" s="114" t="s">
        <v>793</v>
      </c>
      <c r="D11" s="560"/>
      <c r="E11" s="561">
        <v>25200</v>
      </c>
      <c r="F11" s="562">
        <v>20189141</v>
      </c>
      <c r="G11" s="560"/>
      <c r="H11" s="563"/>
      <c r="I11" s="563"/>
      <c r="J11" s="561"/>
      <c r="K11" s="562"/>
      <c r="L11" s="564">
        <f t="shared" si="0"/>
        <v>20189141</v>
      </c>
      <c r="M11" s="30"/>
      <c r="N11" s="160"/>
    </row>
    <row r="12" spans="1:14" ht="12.75">
      <c r="A12" s="733"/>
      <c r="B12" s="113" t="s">
        <v>518</v>
      </c>
      <c r="C12" s="114" t="s">
        <v>794</v>
      </c>
      <c r="D12" s="560"/>
      <c r="E12" s="561"/>
      <c r="F12" s="562">
        <v>30240000</v>
      </c>
      <c r="G12" s="560"/>
      <c r="H12" s="563"/>
      <c r="I12" s="563"/>
      <c r="J12" s="561"/>
      <c r="K12" s="562"/>
      <c r="L12" s="564">
        <f t="shared" si="0"/>
        <v>30240000</v>
      </c>
      <c r="M12" s="30"/>
      <c r="N12" s="160"/>
    </row>
    <row r="13" spans="1:14" ht="12.75">
      <c r="A13" s="733"/>
      <c r="B13" s="113" t="s">
        <v>519</v>
      </c>
      <c r="C13" s="114" t="s">
        <v>795</v>
      </c>
      <c r="D13" s="560"/>
      <c r="E13" s="561"/>
      <c r="F13" s="562">
        <v>0</v>
      </c>
      <c r="G13" s="560"/>
      <c r="H13" s="563"/>
      <c r="I13" s="563"/>
      <c r="J13" s="561"/>
      <c r="K13" s="562"/>
      <c r="L13" s="564">
        <f t="shared" si="0"/>
        <v>0</v>
      </c>
      <c r="M13" s="30"/>
      <c r="N13" s="160"/>
    </row>
    <row r="14" spans="1:14" ht="12.75">
      <c r="A14" s="733"/>
      <c r="B14" s="113" t="s">
        <v>520</v>
      </c>
      <c r="C14" s="114" t="s">
        <v>796</v>
      </c>
      <c r="D14" s="560"/>
      <c r="E14" s="561"/>
      <c r="F14" s="562">
        <v>15077340</v>
      </c>
      <c r="G14" s="560"/>
      <c r="H14" s="563"/>
      <c r="I14" s="563"/>
      <c r="J14" s="561"/>
      <c r="K14" s="562"/>
      <c r="L14" s="564">
        <f t="shared" si="0"/>
        <v>15077340</v>
      </c>
      <c r="M14" s="30"/>
      <c r="N14" s="160"/>
    </row>
    <row r="15" spans="1:256" ht="12.75">
      <c r="A15" s="732"/>
      <c r="B15" s="115" t="s">
        <v>521</v>
      </c>
      <c r="C15" s="119" t="s">
        <v>799</v>
      </c>
      <c r="D15" s="557">
        <v>8650</v>
      </c>
      <c r="E15" s="555">
        <v>2700</v>
      </c>
      <c r="F15" s="556">
        <v>0</v>
      </c>
      <c r="G15" s="557"/>
      <c r="H15" s="558"/>
      <c r="I15" s="558"/>
      <c r="J15" s="555"/>
      <c r="K15" s="556"/>
      <c r="L15" s="559">
        <f>F15+K15</f>
        <v>0</v>
      </c>
      <c r="M15" s="117"/>
      <c r="N15" s="160">
        <f>SUM(L15)</f>
        <v>0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</row>
    <row r="16" spans="1:256" ht="12.75">
      <c r="A16" s="732"/>
      <c r="B16" s="115" t="s">
        <v>522</v>
      </c>
      <c r="C16" s="119" t="s">
        <v>90</v>
      </c>
      <c r="D16" s="557">
        <v>264</v>
      </c>
      <c r="E16" s="555">
        <v>2550</v>
      </c>
      <c r="F16" s="556">
        <v>0</v>
      </c>
      <c r="G16" s="557"/>
      <c r="H16" s="558"/>
      <c r="I16" s="558"/>
      <c r="J16" s="555"/>
      <c r="K16" s="556"/>
      <c r="L16" s="559">
        <f>F16+K16</f>
        <v>0</v>
      </c>
      <c r="M16" s="117"/>
      <c r="N16" s="160">
        <f>SUM(L16)</f>
        <v>0</v>
      </c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</row>
    <row r="17" spans="1:256" ht="12.75">
      <c r="A17" s="732"/>
      <c r="B17" s="115" t="s">
        <v>733</v>
      </c>
      <c r="C17" s="119" t="s">
        <v>734</v>
      </c>
      <c r="D17" s="557"/>
      <c r="E17" s="555"/>
      <c r="F17" s="556">
        <v>1538000</v>
      </c>
      <c r="G17" s="557"/>
      <c r="H17" s="558"/>
      <c r="I17" s="558"/>
      <c r="J17" s="555"/>
      <c r="K17" s="556"/>
      <c r="L17" s="559">
        <f>F17+K17</f>
        <v>1538000</v>
      </c>
      <c r="M17" s="117"/>
      <c r="N17" s="160">
        <f>SUM(L17)</f>
        <v>1538000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</row>
    <row r="18" spans="1:14" ht="25.5">
      <c r="A18" s="731" t="s">
        <v>463</v>
      </c>
      <c r="B18" s="128"/>
      <c r="C18" s="123" t="s">
        <v>111</v>
      </c>
      <c r="D18" s="565"/>
      <c r="E18" s="566"/>
      <c r="F18" s="126"/>
      <c r="G18" s="565"/>
      <c r="H18" s="567"/>
      <c r="I18" s="567"/>
      <c r="J18" s="566"/>
      <c r="K18" s="126">
        <f>K19+K22+K23+K24</f>
        <v>118098200</v>
      </c>
      <c r="L18" s="143">
        <f>F18+K18</f>
        <v>118098200</v>
      </c>
      <c r="M18" s="30"/>
      <c r="N18" s="144">
        <f>SUM(N22:N24,+N19)</f>
        <v>118098200</v>
      </c>
    </row>
    <row r="19" spans="1:256" ht="25.5">
      <c r="A19" s="734"/>
      <c r="B19" s="115" t="s">
        <v>465</v>
      </c>
      <c r="C19" s="116" t="s">
        <v>112</v>
      </c>
      <c r="D19" s="557"/>
      <c r="E19" s="555"/>
      <c r="F19" s="556"/>
      <c r="G19" s="557"/>
      <c r="H19" s="558"/>
      <c r="I19" s="558"/>
      <c r="J19" s="555"/>
      <c r="K19" s="556">
        <f>SUM(K20:K21)</f>
        <v>94595400</v>
      </c>
      <c r="L19" s="559">
        <f>SUM(K19,F19)</f>
        <v>94595400</v>
      </c>
      <c r="M19" s="117"/>
      <c r="N19" s="160">
        <f>SUM(L20:L21)</f>
        <v>94595400</v>
      </c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</row>
    <row r="20" spans="1:14" ht="12.75">
      <c r="A20" s="733"/>
      <c r="B20" s="113" t="s">
        <v>735</v>
      </c>
      <c r="C20" s="114" t="s">
        <v>466</v>
      </c>
      <c r="D20" s="560"/>
      <c r="E20" s="561"/>
      <c r="F20" s="562"/>
      <c r="G20" s="568">
        <v>15.6</v>
      </c>
      <c r="H20" s="563">
        <v>4371500</v>
      </c>
      <c r="I20" s="569">
        <v>15.6</v>
      </c>
      <c r="J20" s="563">
        <v>4371500</v>
      </c>
      <c r="K20" s="562">
        <f>(G20*H20/12*8)+(I20*J20/12*4)</f>
        <v>68195400</v>
      </c>
      <c r="L20" s="564">
        <f aca="true" t="shared" si="1" ref="L20:L44">F20+K20</f>
        <v>68195400</v>
      </c>
      <c r="M20" s="30"/>
      <c r="N20" s="160"/>
    </row>
    <row r="21" spans="1:14" ht="25.5">
      <c r="A21" s="733"/>
      <c r="B21" s="113" t="s">
        <v>736</v>
      </c>
      <c r="C21" s="148" t="s">
        <v>576</v>
      </c>
      <c r="D21" s="560"/>
      <c r="E21" s="561"/>
      <c r="F21" s="562"/>
      <c r="G21" s="560">
        <v>11</v>
      </c>
      <c r="H21" s="563">
        <v>2400000</v>
      </c>
      <c r="I21" s="563">
        <v>11</v>
      </c>
      <c r="J21" s="561">
        <v>2400000</v>
      </c>
      <c r="K21" s="562">
        <f>(G21*H21/12*8)+(I21*J21/12*4)</f>
        <v>26400000</v>
      </c>
      <c r="L21" s="564">
        <f t="shared" si="1"/>
        <v>26400000</v>
      </c>
      <c r="M21" s="30"/>
      <c r="N21" s="160"/>
    </row>
    <row r="22" spans="1:256" ht="12.75">
      <c r="A22" s="732"/>
      <c r="B22" s="115" t="s">
        <v>467</v>
      </c>
      <c r="C22" s="119" t="s">
        <v>468</v>
      </c>
      <c r="D22" s="570"/>
      <c r="E22" s="571"/>
      <c r="F22" s="556"/>
      <c r="G22" s="572">
        <v>179</v>
      </c>
      <c r="H22" s="558">
        <v>97400</v>
      </c>
      <c r="I22" s="573">
        <v>179</v>
      </c>
      <c r="J22" s="555">
        <v>97400</v>
      </c>
      <c r="K22" s="556">
        <f>(G22*H22/12*8)+(I22*J22/12*4)</f>
        <v>17434600</v>
      </c>
      <c r="L22" s="559">
        <f t="shared" si="1"/>
        <v>17434600</v>
      </c>
      <c r="M22" s="117"/>
      <c r="N22" s="160">
        <f>SUM(L22)</f>
        <v>17434600</v>
      </c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  <c r="IR22" s="118"/>
      <c r="IS22" s="118"/>
      <c r="IT22" s="118"/>
      <c r="IU22" s="118"/>
      <c r="IV22" s="118"/>
    </row>
    <row r="23" spans="1:256" ht="12.75">
      <c r="A23" s="732"/>
      <c r="B23" s="115" t="s">
        <v>618</v>
      </c>
      <c r="C23" s="119" t="s">
        <v>619</v>
      </c>
      <c r="D23" s="574"/>
      <c r="E23" s="575"/>
      <c r="F23" s="556"/>
      <c r="G23" s="572"/>
      <c r="H23" s="558"/>
      <c r="I23" s="573"/>
      <c r="J23" s="555"/>
      <c r="K23" s="556">
        <v>0</v>
      </c>
      <c r="L23" s="559">
        <f>F23+K23</f>
        <v>0</v>
      </c>
      <c r="M23" s="117"/>
      <c r="N23" s="160">
        <f>SUM(L23)</f>
        <v>0</v>
      </c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  <c r="IT23" s="118"/>
      <c r="IU23" s="118"/>
      <c r="IV23" s="118"/>
    </row>
    <row r="24" spans="1:256" ht="25.5">
      <c r="A24" s="732"/>
      <c r="B24" s="115" t="s">
        <v>523</v>
      </c>
      <c r="C24" s="116" t="s">
        <v>524</v>
      </c>
      <c r="D24" s="570"/>
      <c r="E24" s="571"/>
      <c r="F24" s="556"/>
      <c r="G24" s="572"/>
      <c r="H24" s="558"/>
      <c r="I24" s="573"/>
      <c r="J24" s="555"/>
      <c r="K24" s="556">
        <f>SUM(K25:K28)</f>
        <v>6068200</v>
      </c>
      <c r="L24" s="559">
        <f>F24+K24</f>
        <v>6068200</v>
      </c>
      <c r="M24" s="117"/>
      <c r="N24" s="160">
        <f>SUM(L25:L28)</f>
        <v>6068200</v>
      </c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  <c r="IT24" s="118"/>
      <c r="IU24" s="118"/>
      <c r="IV24" s="118"/>
    </row>
    <row r="25" spans="1:14" ht="25.5">
      <c r="A25" s="733"/>
      <c r="B25" s="113" t="s">
        <v>620</v>
      </c>
      <c r="C25" s="148" t="s">
        <v>888</v>
      </c>
      <c r="D25" s="560"/>
      <c r="E25" s="561"/>
      <c r="F25" s="562"/>
      <c r="G25" s="560">
        <v>8</v>
      </c>
      <c r="H25" s="563">
        <v>396700</v>
      </c>
      <c r="I25" s="563"/>
      <c r="J25" s="561"/>
      <c r="K25" s="562">
        <f>G25*H25</f>
        <v>3173600</v>
      </c>
      <c r="L25" s="564">
        <f>SUM(K25)</f>
        <v>3173600</v>
      </c>
      <c r="M25" s="30"/>
      <c r="N25" s="160"/>
    </row>
    <row r="26" spans="1:14" ht="38.25">
      <c r="A26" s="733"/>
      <c r="B26" s="113"/>
      <c r="C26" s="148" t="s">
        <v>889</v>
      </c>
      <c r="D26" s="560"/>
      <c r="E26" s="561"/>
      <c r="F26" s="562"/>
      <c r="G26" s="560">
        <v>0</v>
      </c>
      <c r="H26" s="563">
        <v>363642</v>
      </c>
      <c r="I26" s="563"/>
      <c r="J26" s="561"/>
      <c r="K26" s="562">
        <f>G26*H26</f>
        <v>0</v>
      </c>
      <c r="L26" s="564">
        <f>SUM(K26)</f>
        <v>0</v>
      </c>
      <c r="M26" s="30"/>
      <c r="N26" s="160"/>
    </row>
    <row r="27" spans="1:14" ht="25.5">
      <c r="A27" s="733"/>
      <c r="B27" s="113" t="s">
        <v>621</v>
      </c>
      <c r="C27" s="148" t="s">
        <v>890</v>
      </c>
      <c r="D27" s="560"/>
      <c r="E27" s="561"/>
      <c r="F27" s="562"/>
      <c r="G27" s="560">
        <v>2</v>
      </c>
      <c r="H27" s="563">
        <v>1447300</v>
      </c>
      <c r="I27" s="563"/>
      <c r="J27" s="561"/>
      <c r="K27" s="562">
        <f>G27*H27</f>
        <v>2894600</v>
      </c>
      <c r="L27" s="564">
        <f>SUM(K27)</f>
        <v>2894600</v>
      </c>
      <c r="M27" s="30"/>
      <c r="N27" s="160"/>
    </row>
    <row r="28" spans="1:14" ht="38.25">
      <c r="A28" s="733"/>
      <c r="B28" s="113"/>
      <c r="C28" s="148" t="s">
        <v>891</v>
      </c>
      <c r="D28" s="560"/>
      <c r="E28" s="561"/>
      <c r="F28" s="562"/>
      <c r="G28" s="560">
        <v>0</v>
      </c>
      <c r="H28" s="563">
        <v>1326692</v>
      </c>
      <c r="I28" s="563"/>
      <c r="J28" s="561"/>
      <c r="K28" s="562">
        <f>G28*H28</f>
        <v>0</v>
      </c>
      <c r="L28" s="564">
        <f>SUM(K28)</f>
        <v>0</v>
      </c>
      <c r="M28" s="30"/>
      <c r="N28" s="160"/>
    </row>
    <row r="29" spans="1:256" ht="25.5">
      <c r="A29" s="731" t="s">
        <v>469</v>
      </c>
      <c r="B29" s="129"/>
      <c r="C29" s="123" t="s">
        <v>113</v>
      </c>
      <c r="D29" s="124"/>
      <c r="E29" s="125"/>
      <c r="F29" s="126">
        <f>SUM(F30:F31,F39)</f>
        <v>125574661</v>
      </c>
      <c r="G29" s="576"/>
      <c r="H29" s="127"/>
      <c r="I29" s="577"/>
      <c r="J29" s="125"/>
      <c r="K29" s="126">
        <f>SUM(K30:K31,K35,K39)</f>
        <v>41555142</v>
      </c>
      <c r="L29" s="126">
        <f>SUM(L30:L31,L39,L35)</f>
        <v>167129803</v>
      </c>
      <c r="M29" s="117"/>
      <c r="N29" s="144">
        <f>SUM(N30:N42)</f>
        <v>167129803</v>
      </c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  <c r="IM29" s="118"/>
      <c r="IN29" s="118"/>
      <c r="IO29" s="118"/>
      <c r="IP29" s="118"/>
      <c r="IQ29" s="118"/>
      <c r="IR29" s="118"/>
      <c r="IS29" s="118"/>
      <c r="IT29" s="118"/>
      <c r="IU29" s="118"/>
      <c r="IV29" s="118"/>
    </row>
    <row r="30" spans="1:256" ht="12.75">
      <c r="A30" s="732"/>
      <c r="B30" s="115" t="s">
        <v>470</v>
      </c>
      <c r="C30" s="119" t="s">
        <v>857</v>
      </c>
      <c r="D30" s="570"/>
      <c r="E30" s="571"/>
      <c r="F30" s="556">
        <v>48822917</v>
      </c>
      <c r="G30" s="572"/>
      <c r="H30" s="558"/>
      <c r="I30" s="573"/>
      <c r="J30" s="555"/>
      <c r="K30" s="556"/>
      <c r="L30" s="559">
        <f t="shared" si="1"/>
        <v>48822917</v>
      </c>
      <c r="M30" s="117"/>
      <c r="N30" s="160">
        <f>SUM(L30)</f>
        <v>48822917</v>
      </c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  <c r="HZ30" s="118"/>
      <c r="IA30" s="118"/>
      <c r="IB30" s="118"/>
      <c r="IC30" s="118"/>
      <c r="ID30" s="118"/>
      <c r="IE30" s="118"/>
      <c r="IF30" s="118"/>
      <c r="IG30" s="118"/>
      <c r="IH30" s="118"/>
      <c r="II30" s="118"/>
      <c r="IJ30" s="118"/>
      <c r="IK30" s="118"/>
      <c r="IL30" s="118"/>
      <c r="IM30" s="118"/>
      <c r="IN30" s="118"/>
      <c r="IO30" s="118"/>
      <c r="IP30" s="118"/>
      <c r="IQ30" s="118"/>
      <c r="IR30" s="118"/>
      <c r="IS30" s="118"/>
      <c r="IT30" s="118"/>
      <c r="IU30" s="118"/>
      <c r="IV30" s="118"/>
    </row>
    <row r="31" spans="1:256" ht="12.75">
      <c r="A31" s="732"/>
      <c r="B31" s="115" t="s">
        <v>471</v>
      </c>
      <c r="C31" s="119" t="s">
        <v>472</v>
      </c>
      <c r="D31" s="570"/>
      <c r="E31" s="571"/>
      <c r="F31" s="556">
        <f>SUM(F32:F33)</f>
        <v>0</v>
      </c>
      <c r="G31" s="572"/>
      <c r="H31" s="558"/>
      <c r="I31" s="573"/>
      <c r="J31" s="555"/>
      <c r="K31" s="556">
        <f>SUM(K32:K34)</f>
        <v>29611142</v>
      </c>
      <c r="L31" s="559">
        <f t="shared" si="1"/>
        <v>29611142</v>
      </c>
      <c r="M31" s="117"/>
      <c r="N31" s="160">
        <f>SUM(L32:L33)</f>
        <v>22308000</v>
      </c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  <c r="IM31" s="118"/>
      <c r="IN31" s="118"/>
      <c r="IO31" s="118"/>
      <c r="IP31" s="118"/>
      <c r="IQ31" s="118"/>
      <c r="IR31" s="118"/>
      <c r="IS31" s="118"/>
      <c r="IT31" s="118"/>
      <c r="IU31" s="118"/>
      <c r="IV31" s="118"/>
    </row>
    <row r="32" spans="1:14" ht="12.75">
      <c r="A32" s="733"/>
      <c r="B32" s="113" t="s">
        <v>892</v>
      </c>
      <c r="C32" s="114" t="s">
        <v>577</v>
      </c>
      <c r="D32" s="568"/>
      <c r="E32" s="561"/>
      <c r="F32" s="562"/>
      <c r="G32" s="578"/>
      <c r="H32" s="563"/>
      <c r="I32" s="579"/>
      <c r="J32" s="561"/>
      <c r="K32" s="562">
        <v>4158000</v>
      </c>
      <c r="L32" s="564">
        <f t="shared" si="1"/>
        <v>4158000</v>
      </c>
      <c r="M32" s="30"/>
      <c r="N32" s="30"/>
    </row>
    <row r="33" spans="1:14" ht="12.75">
      <c r="A33" s="733"/>
      <c r="B33" s="113" t="s">
        <v>893</v>
      </c>
      <c r="C33" s="114" t="s">
        <v>578</v>
      </c>
      <c r="D33" s="568"/>
      <c r="E33" s="561"/>
      <c r="F33" s="562"/>
      <c r="G33" s="578"/>
      <c r="H33" s="563"/>
      <c r="I33" s="579"/>
      <c r="J33" s="561"/>
      <c r="K33" s="562">
        <v>18150000</v>
      </c>
      <c r="L33" s="564">
        <f t="shared" si="1"/>
        <v>18150000</v>
      </c>
      <c r="M33" s="30"/>
      <c r="N33" s="30"/>
    </row>
    <row r="34" spans="1:14" ht="12.75">
      <c r="A34" s="733"/>
      <c r="B34" s="113" t="s">
        <v>894</v>
      </c>
      <c r="C34" s="114" t="s">
        <v>800</v>
      </c>
      <c r="D34" s="560"/>
      <c r="E34" s="561"/>
      <c r="F34" s="562"/>
      <c r="G34" s="578"/>
      <c r="H34" s="563"/>
      <c r="I34" s="579"/>
      <c r="J34" s="561"/>
      <c r="K34" s="562">
        <v>7303142</v>
      </c>
      <c r="L34" s="564">
        <f t="shared" si="1"/>
        <v>7303142</v>
      </c>
      <c r="M34" s="30"/>
      <c r="N34" s="30">
        <f>SUM(L34)</f>
        <v>7303142</v>
      </c>
    </row>
    <row r="35" spans="1:256" ht="12.75">
      <c r="A35" s="732"/>
      <c r="B35" s="115" t="s">
        <v>895</v>
      </c>
      <c r="C35" s="119" t="s">
        <v>737</v>
      </c>
      <c r="D35" s="570"/>
      <c r="E35" s="571"/>
      <c r="F35" s="556"/>
      <c r="G35" s="572"/>
      <c r="H35" s="558"/>
      <c r="I35" s="573"/>
      <c r="J35" s="555"/>
      <c r="K35" s="556">
        <f>SUM(K36:K38)</f>
        <v>11944000</v>
      </c>
      <c r="L35" s="559">
        <f>F35+K35</f>
        <v>11944000</v>
      </c>
      <c r="M35" s="117"/>
      <c r="N35" s="160">
        <f>SUM(L36:L37)</f>
        <v>10405000</v>
      </c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  <c r="FF35" s="118"/>
      <c r="FG35" s="118"/>
      <c r="FH35" s="118"/>
      <c r="FI35" s="118"/>
      <c r="FJ35" s="118"/>
      <c r="FK35" s="118"/>
      <c r="FL35" s="118"/>
      <c r="FM35" s="118"/>
      <c r="FN35" s="118"/>
      <c r="FO35" s="118"/>
      <c r="FP35" s="118"/>
      <c r="FQ35" s="118"/>
      <c r="FR35" s="118"/>
      <c r="FS35" s="118"/>
      <c r="FT35" s="118"/>
      <c r="FU35" s="118"/>
      <c r="FV35" s="118"/>
      <c r="FW35" s="118"/>
      <c r="FX35" s="118"/>
      <c r="FY35" s="118"/>
      <c r="FZ35" s="118"/>
      <c r="GA35" s="118"/>
      <c r="GB35" s="118"/>
      <c r="GC35" s="118"/>
      <c r="GD35" s="118"/>
      <c r="GE35" s="118"/>
      <c r="GF35" s="118"/>
      <c r="GG35" s="118"/>
      <c r="GH35" s="118"/>
      <c r="GI35" s="118"/>
      <c r="GJ35" s="118"/>
      <c r="GK35" s="118"/>
      <c r="GL35" s="118"/>
      <c r="GM35" s="118"/>
      <c r="GN35" s="118"/>
      <c r="GO35" s="118"/>
      <c r="GP35" s="118"/>
      <c r="GQ35" s="118"/>
      <c r="GR35" s="118"/>
      <c r="GS35" s="118"/>
      <c r="GT35" s="118"/>
      <c r="GU35" s="118"/>
      <c r="GV35" s="118"/>
      <c r="GW35" s="118"/>
      <c r="GX35" s="118"/>
      <c r="GY35" s="118"/>
      <c r="GZ35" s="118"/>
      <c r="HA35" s="118"/>
      <c r="HB35" s="118"/>
      <c r="HC35" s="118"/>
      <c r="HD35" s="118"/>
      <c r="HE35" s="118"/>
      <c r="HF35" s="118"/>
      <c r="HG35" s="118"/>
      <c r="HH35" s="118"/>
      <c r="HI35" s="118"/>
      <c r="HJ35" s="118"/>
      <c r="HK35" s="118"/>
      <c r="HL35" s="118"/>
      <c r="HM35" s="118"/>
      <c r="HN35" s="118"/>
      <c r="HO35" s="118"/>
      <c r="HP35" s="118"/>
      <c r="HQ35" s="118"/>
      <c r="HR35" s="118"/>
      <c r="HS35" s="118"/>
      <c r="HT35" s="118"/>
      <c r="HU35" s="118"/>
      <c r="HV35" s="118"/>
      <c r="HW35" s="118"/>
      <c r="HX35" s="118"/>
      <c r="HY35" s="118"/>
      <c r="HZ35" s="118"/>
      <c r="IA35" s="118"/>
      <c r="IB35" s="118"/>
      <c r="IC35" s="118"/>
      <c r="ID35" s="118"/>
      <c r="IE35" s="118"/>
      <c r="IF35" s="118"/>
      <c r="IG35" s="118"/>
      <c r="IH35" s="118"/>
      <c r="II35" s="118"/>
      <c r="IJ35" s="118"/>
      <c r="IK35" s="118"/>
      <c r="IL35" s="118"/>
      <c r="IM35" s="118"/>
      <c r="IN35" s="118"/>
      <c r="IO35" s="118"/>
      <c r="IP35" s="118"/>
      <c r="IQ35" s="118"/>
      <c r="IR35" s="118"/>
      <c r="IS35" s="118"/>
      <c r="IT35" s="118"/>
      <c r="IU35" s="118"/>
      <c r="IV35" s="118"/>
    </row>
    <row r="36" spans="1:14" ht="12.75">
      <c r="A36" s="733"/>
      <c r="B36" s="113" t="s">
        <v>896</v>
      </c>
      <c r="C36" s="148" t="s">
        <v>738</v>
      </c>
      <c r="D36" s="580"/>
      <c r="E36" s="561"/>
      <c r="F36" s="562"/>
      <c r="G36" s="560">
        <v>1</v>
      </c>
      <c r="H36" s="563">
        <v>4419000</v>
      </c>
      <c r="I36" s="563"/>
      <c r="J36" s="561"/>
      <c r="K36" s="562">
        <f>G36*H36</f>
        <v>4419000</v>
      </c>
      <c r="L36" s="582">
        <f>F36+K36</f>
        <v>4419000</v>
      </c>
      <c r="M36" s="30"/>
      <c r="N36" s="30"/>
    </row>
    <row r="37" spans="1:14" ht="25.5">
      <c r="A37" s="733"/>
      <c r="B37" s="113" t="s">
        <v>897</v>
      </c>
      <c r="C37" s="148" t="s">
        <v>739</v>
      </c>
      <c r="D37" s="580"/>
      <c r="E37" s="561"/>
      <c r="F37" s="562"/>
      <c r="G37" s="560">
        <v>2</v>
      </c>
      <c r="H37" s="563">
        <v>2993000</v>
      </c>
      <c r="I37" s="563"/>
      <c r="J37" s="561"/>
      <c r="K37" s="562">
        <f>G37*H37</f>
        <v>5986000</v>
      </c>
      <c r="L37" s="582">
        <f>F37+K37</f>
        <v>5986000</v>
      </c>
      <c r="M37" s="30"/>
      <c r="N37" s="30"/>
    </row>
    <row r="38" spans="1:14" ht="12.75">
      <c r="A38" s="733"/>
      <c r="B38" s="113" t="s">
        <v>579</v>
      </c>
      <c r="C38" s="148" t="s">
        <v>740</v>
      </c>
      <c r="D38" s="580"/>
      <c r="E38" s="561"/>
      <c r="F38" s="562"/>
      <c r="G38" s="560"/>
      <c r="H38" s="563"/>
      <c r="I38" s="563"/>
      <c r="J38" s="561"/>
      <c r="K38" s="709">
        <v>1539000</v>
      </c>
      <c r="L38" s="582">
        <f>F38+K38</f>
        <v>1539000</v>
      </c>
      <c r="M38" s="30"/>
      <c r="N38" s="30">
        <f>SUM(L38)</f>
        <v>1539000</v>
      </c>
    </row>
    <row r="39" spans="1:256" ht="12.75">
      <c r="A39" s="732"/>
      <c r="B39" s="115" t="s">
        <v>114</v>
      </c>
      <c r="C39" s="119" t="s">
        <v>741</v>
      </c>
      <c r="D39" s="570"/>
      <c r="E39" s="571"/>
      <c r="F39" s="556">
        <f>SUM(F40:F42)</f>
        <v>76751744</v>
      </c>
      <c r="G39" s="572"/>
      <c r="H39" s="558"/>
      <c r="I39" s="573"/>
      <c r="J39" s="555"/>
      <c r="K39" s="556">
        <f>SUM(K40:K42)</f>
        <v>0</v>
      </c>
      <c r="L39" s="559">
        <f t="shared" si="1"/>
        <v>76751744</v>
      </c>
      <c r="M39" s="117"/>
      <c r="N39" s="160">
        <f>SUM(L40:L42)</f>
        <v>76751744</v>
      </c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8"/>
      <c r="DV39" s="118"/>
      <c r="DW39" s="118"/>
      <c r="DX39" s="118"/>
      <c r="DY39" s="118"/>
      <c r="DZ39" s="118"/>
      <c r="EA39" s="118"/>
      <c r="EB39" s="118"/>
      <c r="EC39" s="118"/>
      <c r="ED39" s="118"/>
      <c r="EE39" s="118"/>
      <c r="EF39" s="118"/>
      <c r="EG39" s="118"/>
      <c r="EH39" s="118"/>
      <c r="EI39" s="118"/>
      <c r="EJ39" s="118"/>
      <c r="EK39" s="118"/>
      <c r="EL39" s="118"/>
      <c r="EM39" s="118"/>
      <c r="EN39" s="118"/>
      <c r="EO39" s="118"/>
      <c r="EP39" s="118"/>
      <c r="EQ39" s="118"/>
      <c r="ER39" s="118"/>
      <c r="ES39" s="118"/>
      <c r="ET39" s="118"/>
      <c r="EU39" s="118"/>
      <c r="EV39" s="118"/>
      <c r="EW39" s="118"/>
      <c r="EX39" s="118"/>
      <c r="EY39" s="118"/>
      <c r="EZ39" s="118"/>
      <c r="FA39" s="118"/>
      <c r="FB39" s="118"/>
      <c r="FC39" s="118"/>
      <c r="FD39" s="118"/>
      <c r="FE39" s="118"/>
      <c r="FF39" s="118"/>
      <c r="FG39" s="118"/>
      <c r="FH39" s="118"/>
      <c r="FI39" s="118"/>
      <c r="FJ39" s="118"/>
      <c r="FK39" s="118"/>
      <c r="FL39" s="118"/>
      <c r="FM39" s="118"/>
      <c r="FN39" s="118"/>
      <c r="FO39" s="118"/>
      <c r="FP39" s="118"/>
      <c r="FQ39" s="118"/>
      <c r="FR39" s="118"/>
      <c r="FS39" s="118"/>
      <c r="FT39" s="118"/>
      <c r="FU39" s="118"/>
      <c r="FV39" s="118"/>
      <c r="FW39" s="118"/>
      <c r="FX39" s="118"/>
      <c r="FY39" s="118"/>
      <c r="FZ39" s="118"/>
      <c r="GA39" s="118"/>
      <c r="GB39" s="118"/>
      <c r="GC39" s="118"/>
      <c r="GD39" s="118"/>
      <c r="GE39" s="118"/>
      <c r="GF39" s="118"/>
      <c r="GG39" s="118"/>
      <c r="GH39" s="118"/>
      <c r="GI39" s="118"/>
      <c r="GJ39" s="118"/>
      <c r="GK39" s="118"/>
      <c r="GL39" s="118"/>
      <c r="GM39" s="118"/>
      <c r="GN39" s="118"/>
      <c r="GO39" s="118"/>
      <c r="GP39" s="118"/>
      <c r="GQ39" s="118"/>
      <c r="GR39" s="118"/>
      <c r="GS39" s="118"/>
      <c r="GT39" s="118"/>
      <c r="GU39" s="118"/>
      <c r="GV39" s="118"/>
      <c r="GW39" s="118"/>
      <c r="GX39" s="118"/>
      <c r="GY39" s="118"/>
      <c r="GZ39" s="118"/>
      <c r="HA39" s="118"/>
      <c r="HB39" s="118"/>
      <c r="HC39" s="118"/>
      <c r="HD39" s="118"/>
      <c r="HE39" s="118"/>
      <c r="HF39" s="118"/>
      <c r="HG39" s="118"/>
      <c r="HH39" s="118"/>
      <c r="HI39" s="118"/>
      <c r="HJ39" s="118"/>
      <c r="HK39" s="118"/>
      <c r="HL39" s="118"/>
      <c r="HM39" s="118"/>
      <c r="HN39" s="118"/>
      <c r="HO39" s="118"/>
      <c r="HP39" s="118"/>
      <c r="HQ39" s="118"/>
      <c r="HR39" s="118"/>
      <c r="HS39" s="118"/>
      <c r="HT39" s="118"/>
      <c r="HU39" s="118"/>
      <c r="HV39" s="118"/>
      <c r="HW39" s="118"/>
      <c r="HX39" s="118"/>
      <c r="HY39" s="118"/>
      <c r="HZ39" s="118"/>
      <c r="IA39" s="118"/>
      <c r="IB39" s="118"/>
      <c r="IC39" s="118"/>
      <c r="ID39" s="118"/>
      <c r="IE39" s="118"/>
      <c r="IF39" s="118"/>
      <c r="IG39" s="118"/>
      <c r="IH39" s="118"/>
      <c r="II39" s="118"/>
      <c r="IJ39" s="118"/>
      <c r="IK39" s="118"/>
      <c r="IL39" s="118"/>
      <c r="IM39" s="118"/>
      <c r="IN39" s="118"/>
      <c r="IO39" s="118"/>
      <c r="IP39" s="118"/>
      <c r="IQ39" s="118"/>
      <c r="IR39" s="118"/>
      <c r="IS39" s="118"/>
      <c r="IT39" s="118"/>
      <c r="IU39" s="118"/>
      <c r="IV39" s="118"/>
    </row>
    <row r="40" spans="1:14" ht="12.75">
      <c r="A40" s="733"/>
      <c r="B40" s="113" t="s">
        <v>797</v>
      </c>
      <c r="C40" s="148" t="s">
        <v>742</v>
      </c>
      <c r="D40" s="580">
        <v>10.3</v>
      </c>
      <c r="E40" s="581">
        <v>2200000</v>
      </c>
      <c r="F40" s="562">
        <f>E40*D40</f>
        <v>22660000</v>
      </c>
      <c r="G40" s="568"/>
      <c r="H40" s="563"/>
      <c r="I40" s="569"/>
      <c r="J40" s="561"/>
      <c r="K40" s="562"/>
      <c r="L40" s="582">
        <f t="shared" si="1"/>
        <v>22660000</v>
      </c>
      <c r="M40" s="30"/>
      <c r="N40" s="160"/>
    </row>
    <row r="41" spans="1:14" ht="12.75">
      <c r="A41" s="733"/>
      <c r="B41" s="113" t="s">
        <v>798</v>
      </c>
      <c r="C41" s="148" t="s">
        <v>116</v>
      </c>
      <c r="D41" s="580"/>
      <c r="E41" s="561"/>
      <c r="F41" s="709">
        <v>52368184</v>
      </c>
      <c r="G41" s="560"/>
      <c r="H41" s="563"/>
      <c r="I41" s="563"/>
      <c r="J41" s="561"/>
      <c r="K41" s="562"/>
      <c r="L41" s="582">
        <f>F41+K41</f>
        <v>52368184</v>
      </c>
      <c r="M41" s="30"/>
      <c r="N41" s="30"/>
    </row>
    <row r="42" spans="1:256" ht="12.75">
      <c r="A42" s="732"/>
      <c r="B42" s="113" t="s">
        <v>115</v>
      </c>
      <c r="C42" s="148" t="s">
        <v>743</v>
      </c>
      <c r="D42" s="704">
        <v>3180</v>
      </c>
      <c r="E42" s="705">
        <v>542</v>
      </c>
      <c r="F42" s="706">
        <f>D42*E42</f>
        <v>1723560</v>
      </c>
      <c r="G42" s="572"/>
      <c r="H42" s="558"/>
      <c r="I42" s="573"/>
      <c r="J42" s="555"/>
      <c r="K42" s="556"/>
      <c r="L42" s="582">
        <f t="shared" si="1"/>
        <v>1723560</v>
      </c>
      <c r="M42" s="117"/>
      <c r="N42" s="160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8"/>
      <c r="EF42" s="118"/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8"/>
      <c r="ES42" s="118"/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  <c r="FH42" s="118"/>
      <c r="FI42" s="118"/>
      <c r="FJ42" s="118"/>
      <c r="FK42" s="118"/>
      <c r="FL42" s="118"/>
      <c r="FM42" s="118"/>
      <c r="FN42" s="118"/>
      <c r="FO42" s="118"/>
      <c r="FP42" s="118"/>
      <c r="FQ42" s="118"/>
      <c r="FR42" s="118"/>
      <c r="FS42" s="118"/>
      <c r="FT42" s="118"/>
      <c r="FU42" s="118"/>
      <c r="FV42" s="118"/>
      <c r="FW42" s="118"/>
      <c r="FX42" s="118"/>
      <c r="FY42" s="118"/>
      <c r="FZ42" s="118"/>
      <c r="GA42" s="118"/>
      <c r="GB42" s="118"/>
      <c r="GC42" s="118"/>
      <c r="GD42" s="118"/>
      <c r="GE42" s="118"/>
      <c r="GF42" s="118"/>
      <c r="GG42" s="118"/>
      <c r="GH42" s="118"/>
      <c r="GI42" s="118"/>
      <c r="GJ42" s="118"/>
      <c r="GK42" s="118"/>
      <c r="GL42" s="118"/>
      <c r="GM42" s="118"/>
      <c r="GN42" s="118"/>
      <c r="GO42" s="118"/>
      <c r="GP42" s="118"/>
      <c r="GQ42" s="118"/>
      <c r="GR42" s="118"/>
      <c r="GS42" s="118"/>
      <c r="GT42" s="118"/>
      <c r="GU42" s="118"/>
      <c r="GV42" s="118"/>
      <c r="GW42" s="118"/>
      <c r="GX42" s="118"/>
      <c r="GY42" s="118"/>
      <c r="GZ42" s="118"/>
      <c r="HA42" s="118"/>
      <c r="HB42" s="118"/>
      <c r="HC42" s="118"/>
      <c r="HD42" s="118"/>
      <c r="HE42" s="118"/>
      <c r="HF42" s="118"/>
      <c r="HG42" s="118"/>
      <c r="HH42" s="118"/>
      <c r="HI42" s="118"/>
      <c r="HJ42" s="118"/>
      <c r="HK42" s="118"/>
      <c r="HL42" s="118"/>
      <c r="HM42" s="118"/>
      <c r="HN42" s="118"/>
      <c r="HO42" s="118"/>
      <c r="HP42" s="118"/>
      <c r="HQ42" s="118"/>
      <c r="HR42" s="118"/>
      <c r="HS42" s="118"/>
      <c r="HT42" s="118"/>
      <c r="HU42" s="118"/>
      <c r="HV42" s="118"/>
      <c r="HW42" s="118"/>
      <c r="HX42" s="118"/>
      <c r="HY42" s="118"/>
      <c r="HZ42" s="118"/>
      <c r="IA42" s="118"/>
      <c r="IB42" s="118"/>
      <c r="IC42" s="118"/>
      <c r="ID42" s="118"/>
      <c r="IE42" s="118"/>
      <c r="IF42" s="118"/>
      <c r="IG42" s="118"/>
      <c r="IH42" s="118"/>
      <c r="II42" s="118"/>
      <c r="IJ42" s="118"/>
      <c r="IK42" s="118"/>
      <c r="IL42" s="118"/>
      <c r="IM42" s="118"/>
      <c r="IN42" s="118"/>
      <c r="IO42" s="118"/>
      <c r="IP42" s="118"/>
      <c r="IQ42" s="118"/>
      <c r="IR42" s="118"/>
      <c r="IS42" s="118"/>
      <c r="IT42" s="118"/>
      <c r="IU42" s="118"/>
      <c r="IV42" s="118"/>
    </row>
    <row r="43" spans="1:256" ht="12.75">
      <c r="A43" s="731" t="s">
        <v>474</v>
      </c>
      <c r="B43" s="129"/>
      <c r="C43" s="123" t="s">
        <v>460</v>
      </c>
      <c r="D43" s="124"/>
      <c r="E43" s="125"/>
      <c r="F43" s="126">
        <f>SUM(F44)</f>
        <v>10821150</v>
      </c>
      <c r="G43" s="576"/>
      <c r="H43" s="127"/>
      <c r="I43" s="577"/>
      <c r="J43" s="125"/>
      <c r="K43" s="126"/>
      <c r="L43" s="143">
        <f t="shared" si="1"/>
        <v>10821150</v>
      </c>
      <c r="M43" s="117"/>
      <c r="N43" s="144">
        <f>SUM(L44)</f>
        <v>10821150</v>
      </c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  <c r="FH43" s="118"/>
      <c r="FI43" s="118"/>
      <c r="FJ43" s="118"/>
      <c r="FK43" s="118"/>
      <c r="FL43" s="118"/>
      <c r="FM43" s="118"/>
      <c r="FN43" s="118"/>
      <c r="FO43" s="118"/>
      <c r="FP43" s="118"/>
      <c r="FQ43" s="118"/>
      <c r="FR43" s="118"/>
      <c r="FS43" s="118"/>
      <c r="FT43" s="118"/>
      <c r="FU43" s="118"/>
      <c r="FV43" s="118"/>
      <c r="FW43" s="118"/>
      <c r="FX43" s="118"/>
      <c r="FY43" s="118"/>
      <c r="FZ43" s="118"/>
      <c r="GA43" s="118"/>
      <c r="GB43" s="118"/>
      <c r="GC43" s="118"/>
      <c r="GD43" s="118"/>
      <c r="GE43" s="118"/>
      <c r="GF43" s="118"/>
      <c r="GG43" s="118"/>
      <c r="GH43" s="118"/>
      <c r="GI43" s="118"/>
      <c r="GJ43" s="118"/>
      <c r="GK43" s="118"/>
      <c r="GL43" s="118"/>
      <c r="GM43" s="118"/>
      <c r="GN43" s="118"/>
      <c r="GO43" s="118"/>
      <c r="GP43" s="118"/>
      <c r="GQ43" s="118"/>
      <c r="GR43" s="118"/>
      <c r="GS43" s="118"/>
      <c r="GT43" s="118"/>
      <c r="GU43" s="118"/>
      <c r="GV43" s="118"/>
      <c r="GW43" s="118"/>
      <c r="GX43" s="118"/>
      <c r="GY43" s="118"/>
      <c r="GZ43" s="118"/>
      <c r="HA43" s="118"/>
      <c r="HB43" s="118"/>
      <c r="HC43" s="118"/>
      <c r="HD43" s="118"/>
      <c r="HE43" s="118"/>
      <c r="HF43" s="118"/>
      <c r="HG43" s="118"/>
      <c r="HH43" s="118"/>
      <c r="HI43" s="118"/>
      <c r="HJ43" s="118"/>
      <c r="HK43" s="118"/>
      <c r="HL43" s="118"/>
      <c r="HM43" s="118"/>
      <c r="HN43" s="118"/>
      <c r="HO43" s="118"/>
      <c r="HP43" s="118"/>
      <c r="HQ43" s="118"/>
      <c r="HR43" s="118"/>
      <c r="HS43" s="118"/>
      <c r="HT43" s="118"/>
      <c r="HU43" s="118"/>
      <c r="HV43" s="118"/>
      <c r="HW43" s="118"/>
      <c r="HX43" s="118"/>
      <c r="HY43" s="118"/>
      <c r="HZ43" s="118"/>
      <c r="IA43" s="118"/>
      <c r="IB43" s="118"/>
      <c r="IC43" s="118"/>
      <c r="ID43" s="118"/>
      <c r="IE43" s="118"/>
      <c r="IF43" s="118"/>
      <c r="IG43" s="118"/>
      <c r="IH43" s="118"/>
      <c r="II43" s="118"/>
      <c r="IJ43" s="118"/>
      <c r="IK43" s="118"/>
      <c r="IL43" s="118"/>
      <c r="IM43" s="118"/>
      <c r="IN43" s="118"/>
      <c r="IO43" s="118"/>
      <c r="IP43" s="118"/>
      <c r="IQ43" s="118"/>
      <c r="IR43" s="118"/>
      <c r="IS43" s="118"/>
      <c r="IT43" s="118"/>
      <c r="IU43" s="118"/>
      <c r="IV43" s="118"/>
    </row>
    <row r="44" spans="1:14" ht="25.5">
      <c r="A44" s="733"/>
      <c r="B44" s="113" t="s">
        <v>898</v>
      </c>
      <c r="C44" s="148" t="s">
        <v>117</v>
      </c>
      <c r="D44" s="560">
        <v>8650</v>
      </c>
      <c r="E44" s="561">
        <v>1251</v>
      </c>
      <c r="F44" s="562">
        <f>D44*E44</f>
        <v>10821150</v>
      </c>
      <c r="G44" s="583"/>
      <c r="H44" s="584"/>
      <c r="I44" s="579"/>
      <c r="J44" s="581"/>
      <c r="K44" s="562"/>
      <c r="L44" s="564">
        <f t="shared" si="1"/>
        <v>10821150</v>
      </c>
      <c r="M44" s="30"/>
      <c r="N44" s="30"/>
    </row>
    <row r="45" spans="1:256" ht="12.75">
      <c r="A45" s="732"/>
      <c r="B45" s="115"/>
      <c r="C45" s="119"/>
      <c r="D45" s="570"/>
      <c r="E45" s="571"/>
      <c r="F45" s="556"/>
      <c r="G45" s="572"/>
      <c r="H45" s="558"/>
      <c r="I45" s="573"/>
      <c r="J45" s="555"/>
      <c r="K45" s="556"/>
      <c r="L45" s="559"/>
      <c r="M45" s="117"/>
      <c r="N45" s="160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  <c r="EC45" s="118"/>
      <c r="ED45" s="118"/>
      <c r="EE45" s="118"/>
      <c r="EF45" s="118"/>
      <c r="EG45" s="118"/>
      <c r="EH45" s="118"/>
      <c r="EI45" s="118"/>
      <c r="EJ45" s="118"/>
      <c r="EK45" s="118"/>
      <c r="EL45" s="118"/>
      <c r="EM45" s="118"/>
      <c r="EN45" s="118"/>
      <c r="EO45" s="118"/>
      <c r="EP45" s="118"/>
      <c r="EQ45" s="118"/>
      <c r="ER45" s="118"/>
      <c r="ES45" s="118"/>
      <c r="ET45" s="118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  <c r="FH45" s="118"/>
      <c r="FI45" s="118"/>
      <c r="FJ45" s="118"/>
      <c r="FK45" s="118"/>
      <c r="FL45" s="118"/>
      <c r="FM45" s="118"/>
      <c r="FN45" s="118"/>
      <c r="FO45" s="118"/>
      <c r="FP45" s="118"/>
      <c r="FQ45" s="118"/>
      <c r="FR45" s="118"/>
      <c r="FS45" s="118"/>
      <c r="FT45" s="118"/>
      <c r="FU45" s="118"/>
      <c r="FV45" s="118"/>
      <c r="FW45" s="118"/>
      <c r="FX45" s="118"/>
      <c r="FY45" s="118"/>
      <c r="FZ45" s="118"/>
      <c r="GA45" s="118"/>
      <c r="GB45" s="118"/>
      <c r="GC45" s="118"/>
      <c r="GD45" s="118"/>
      <c r="GE45" s="118"/>
      <c r="GF45" s="118"/>
      <c r="GG45" s="118"/>
      <c r="GH45" s="118"/>
      <c r="GI45" s="118"/>
      <c r="GJ45" s="118"/>
      <c r="GK45" s="118"/>
      <c r="GL45" s="118"/>
      <c r="GM45" s="118"/>
      <c r="GN45" s="118"/>
      <c r="GO45" s="118"/>
      <c r="GP45" s="118"/>
      <c r="GQ45" s="118"/>
      <c r="GR45" s="118"/>
      <c r="GS45" s="118"/>
      <c r="GT45" s="118"/>
      <c r="GU45" s="118"/>
      <c r="GV45" s="118"/>
      <c r="GW45" s="118"/>
      <c r="GX45" s="118"/>
      <c r="GY45" s="118"/>
      <c r="GZ45" s="118"/>
      <c r="HA45" s="118"/>
      <c r="HB45" s="118"/>
      <c r="HC45" s="118"/>
      <c r="HD45" s="118"/>
      <c r="HE45" s="118"/>
      <c r="HF45" s="118"/>
      <c r="HG45" s="118"/>
      <c r="HH45" s="118"/>
      <c r="HI45" s="118"/>
      <c r="HJ45" s="118"/>
      <c r="HK45" s="118"/>
      <c r="HL45" s="118"/>
      <c r="HM45" s="118"/>
      <c r="HN45" s="118"/>
      <c r="HO45" s="118"/>
      <c r="HP45" s="118"/>
      <c r="HQ45" s="118"/>
      <c r="HR45" s="118"/>
      <c r="HS45" s="118"/>
      <c r="HT45" s="118"/>
      <c r="HU45" s="118"/>
      <c r="HV45" s="118"/>
      <c r="HW45" s="118"/>
      <c r="HX45" s="118"/>
      <c r="HY45" s="118"/>
      <c r="HZ45" s="118"/>
      <c r="IA45" s="118"/>
      <c r="IB45" s="118"/>
      <c r="IC45" s="118"/>
      <c r="ID45" s="118"/>
      <c r="IE45" s="118"/>
      <c r="IF45" s="118"/>
      <c r="IG45" s="118"/>
      <c r="IH45" s="118"/>
      <c r="II45" s="118"/>
      <c r="IJ45" s="118"/>
      <c r="IK45" s="118"/>
      <c r="IL45" s="118"/>
      <c r="IM45" s="118"/>
      <c r="IN45" s="118"/>
      <c r="IO45" s="118"/>
      <c r="IP45" s="118"/>
      <c r="IQ45" s="118"/>
      <c r="IR45" s="118"/>
      <c r="IS45" s="118"/>
      <c r="IT45" s="118"/>
      <c r="IU45" s="118"/>
      <c r="IV45" s="118"/>
    </row>
    <row r="46" spans="1:256" ht="15">
      <c r="A46" s="1103" t="s">
        <v>477</v>
      </c>
      <c r="B46" s="1104"/>
      <c r="C46" s="1105"/>
      <c r="D46" s="585" t="s">
        <v>452</v>
      </c>
      <c r="E46" s="586" t="s">
        <v>452</v>
      </c>
      <c r="F46" s="587">
        <f>SUM(F43,F29,F18,F8)</f>
        <v>345739792</v>
      </c>
      <c r="G46" s="585" t="s">
        <v>452</v>
      </c>
      <c r="H46" s="588" t="s">
        <v>452</v>
      </c>
      <c r="I46" s="588" t="s">
        <v>452</v>
      </c>
      <c r="J46" s="586" t="s">
        <v>452</v>
      </c>
      <c r="K46" s="587">
        <f>SUM(K43,K29,K18,K8)</f>
        <v>159653342</v>
      </c>
      <c r="L46" s="589">
        <f>SUM(L43,L29,L18,L8)</f>
        <v>505393134</v>
      </c>
      <c r="M46" s="32"/>
      <c r="N46" s="33">
        <f>SUM(N43,N29,N18,N8)</f>
        <v>505393134</v>
      </c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</row>
    <row r="47" spans="1:256" ht="12.75">
      <c r="A47" s="731"/>
      <c r="B47" s="122"/>
      <c r="C47" s="123" t="s">
        <v>1003</v>
      </c>
      <c r="D47" s="124"/>
      <c r="E47" s="125"/>
      <c r="F47" s="126">
        <f>SUM(F48:F50)</f>
        <v>11343384</v>
      </c>
      <c r="G47" s="124"/>
      <c r="H47" s="127"/>
      <c r="I47" s="127"/>
      <c r="J47" s="125"/>
      <c r="K47" s="126"/>
      <c r="L47" s="143">
        <f>F47+K47</f>
        <v>11343384</v>
      </c>
      <c r="M47" s="120"/>
      <c r="N47" s="145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  <c r="IL47" s="121"/>
      <c r="IM47" s="121"/>
      <c r="IN47" s="121"/>
      <c r="IO47" s="121"/>
      <c r="IP47" s="121"/>
      <c r="IQ47" s="121"/>
      <c r="IR47" s="121"/>
      <c r="IS47" s="121"/>
      <c r="IT47" s="121"/>
      <c r="IU47" s="121"/>
      <c r="IV47" s="121"/>
    </row>
    <row r="48" spans="1:256" ht="25.5">
      <c r="A48" s="732"/>
      <c r="B48" s="115" t="s">
        <v>1004</v>
      </c>
      <c r="C48" s="116" t="s">
        <v>1005</v>
      </c>
      <c r="D48" s="570"/>
      <c r="E48" s="571"/>
      <c r="F48" s="556">
        <f>383873+42300</f>
        <v>426173</v>
      </c>
      <c r="G48" s="572"/>
      <c r="H48" s="558"/>
      <c r="I48" s="573"/>
      <c r="J48" s="555"/>
      <c r="K48" s="556"/>
      <c r="L48" s="559">
        <f>F48+K48</f>
        <v>426173</v>
      </c>
      <c r="M48" s="117"/>
      <c r="N48" s="30">
        <f>SUM(L48)</f>
        <v>426173</v>
      </c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  <c r="DU48" s="118"/>
      <c r="DV48" s="118"/>
      <c r="DW48" s="118"/>
      <c r="DX48" s="118"/>
      <c r="DY48" s="118"/>
      <c r="DZ48" s="118"/>
      <c r="EA48" s="118"/>
      <c r="EB48" s="118"/>
      <c r="EC48" s="118"/>
      <c r="ED48" s="118"/>
      <c r="EE48" s="118"/>
      <c r="EF48" s="118"/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8"/>
      <c r="ER48" s="118"/>
      <c r="ES48" s="118"/>
      <c r="ET48" s="118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  <c r="FG48" s="118"/>
      <c r="FH48" s="118"/>
      <c r="FI48" s="118"/>
      <c r="FJ48" s="118"/>
      <c r="FK48" s="118"/>
      <c r="FL48" s="118"/>
      <c r="FM48" s="118"/>
      <c r="FN48" s="118"/>
      <c r="FO48" s="118"/>
      <c r="FP48" s="118"/>
      <c r="FQ48" s="118"/>
      <c r="FR48" s="118"/>
      <c r="FS48" s="118"/>
      <c r="FT48" s="118"/>
      <c r="FU48" s="118"/>
      <c r="FV48" s="118"/>
      <c r="FW48" s="118"/>
      <c r="FX48" s="118"/>
      <c r="FY48" s="118"/>
      <c r="FZ48" s="118"/>
      <c r="GA48" s="118"/>
      <c r="GB48" s="118"/>
      <c r="GC48" s="118"/>
      <c r="GD48" s="118"/>
      <c r="GE48" s="118"/>
      <c r="GF48" s="118"/>
      <c r="GG48" s="118"/>
      <c r="GH48" s="118"/>
      <c r="GI48" s="118"/>
      <c r="GJ48" s="118"/>
      <c r="GK48" s="118"/>
      <c r="GL48" s="118"/>
      <c r="GM48" s="118"/>
      <c r="GN48" s="118"/>
      <c r="GO48" s="118"/>
      <c r="GP48" s="118"/>
      <c r="GQ48" s="118"/>
      <c r="GR48" s="118"/>
      <c r="GS48" s="118"/>
      <c r="GT48" s="118"/>
      <c r="GU48" s="118"/>
      <c r="GV48" s="118"/>
      <c r="GW48" s="118"/>
      <c r="GX48" s="118"/>
      <c r="GY48" s="118"/>
      <c r="GZ48" s="118"/>
      <c r="HA48" s="118"/>
      <c r="HB48" s="118"/>
      <c r="HC48" s="118"/>
      <c r="HD48" s="118"/>
      <c r="HE48" s="118"/>
      <c r="HF48" s="118"/>
      <c r="HG48" s="118"/>
      <c r="HH48" s="118"/>
      <c r="HI48" s="118"/>
      <c r="HJ48" s="118"/>
      <c r="HK48" s="118"/>
      <c r="HL48" s="118"/>
      <c r="HM48" s="118"/>
      <c r="HN48" s="118"/>
      <c r="HO48" s="118"/>
      <c r="HP48" s="118"/>
      <c r="HQ48" s="118"/>
      <c r="HR48" s="118"/>
      <c r="HS48" s="118"/>
      <c r="HT48" s="118"/>
      <c r="HU48" s="118"/>
      <c r="HV48" s="118"/>
      <c r="HW48" s="118"/>
      <c r="HX48" s="118"/>
      <c r="HY48" s="118"/>
      <c r="HZ48" s="118"/>
      <c r="IA48" s="118"/>
      <c r="IB48" s="118"/>
      <c r="IC48" s="118"/>
      <c r="ID48" s="118"/>
      <c r="IE48" s="118"/>
      <c r="IF48" s="118"/>
      <c r="IG48" s="118"/>
      <c r="IH48" s="118"/>
      <c r="II48" s="118"/>
      <c r="IJ48" s="118"/>
      <c r="IK48" s="118"/>
      <c r="IL48" s="118"/>
      <c r="IM48" s="118"/>
      <c r="IN48" s="118"/>
      <c r="IO48" s="118"/>
      <c r="IP48" s="118"/>
      <c r="IQ48" s="118"/>
      <c r="IR48" s="118"/>
      <c r="IS48" s="118"/>
      <c r="IT48" s="118"/>
      <c r="IU48" s="118"/>
      <c r="IV48" s="118"/>
    </row>
    <row r="49" spans="1:256" ht="12.75">
      <c r="A49" s="732"/>
      <c r="B49" s="115" t="s">
        <v>1006</v>
      </c>
      <c r="C49" s="116" t="s">
        <v>1007</v>
      </c>
      <c r="D49" s="570"/>
      <c r="E49" s="571"/>
      <c r="F49" s="556">
        <f>10068391</f>
        <v>10068391</v>
      </c>
      <c r="G49" s="572"/>
      <c r="H49" s="558"/>
      <c r="I49" s="573"/>
      <c r="J49" s="555"/>
      <c r="K49" s="556"/>
      <c r="L49" s="559">
        <f>F49+K49</f>
        <v>10068391</v>
      </c>
      <c r="M49" s="117"/>
      <c r="N49" s="30">
        <f>SUM(L49)</f>
        <v>10068391</v>
      </c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/>
      <c r="EF49" s="118"/>
      <c r="EG49" s="118"/>
      <c r="EH49" s="118"/>
      <c r="EI49" s="118"/>
      <c r="EJ49" s="118"/>
      <c r="EK49" s="118"/>
      <c r="EL49" s="118"/>
      <c r="EM49" s="118"/>
      <c r="EN49" s="118"/>
      <c r="EO49" s="118"/>
      <c r="EP49" s="118"/>
      <c r="EQ49" s="118"/>
      <c r="ER49" s="118"/>
      <c r="ES49" s="118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/>
      <c r="FF49" s="118"/>
      <c r="FG49" s="118"/>
      <c r="FH49" s="118"/>
      <c r="FI49" s="118"/>
      <c r="FJ49" s="118"/>
      <c r="FK49" s="118"/>
      <c r="FL49" s="118"/>
      <c r="FM49" s="118"/>
      <c r="FN49" s="118"/>
      <c r="FO49" s="118"/>
      <c r="FP49" s="118"/>
      <c r="FQ49" s="118"/>
      <c r="FR49" s="118"/>
      <c r="FS49" s="118"/>
      <c r="FT49" s="118"/>
      <c r="FU49" s="118"/>
      <c r="FV49" s="118"/>
      <c r="FW49" s="118"/>
      <c r="FX49" s="118"/>
      <c r="FY49" s="118"/>
      <c r="FZ49" s="118"/>
      <c r="GA49" s="118"/>
      <c r="GB49" s="118"/>
      <c r="GC49" s="118"/>
      <c r="GD49" s="118"/>
      <c r="GE49" s="118"/>
      <c r="GF49" s="118"/>
      <c r="GG49" s="118"/>
      <c r="GH49" s="118"/>
      <c r="GI49" s="118"/>
      <c r="GJ49" s="118"/>
      <c r="GK49" s="118"/>
      <c r="GL49" s="118"/>
      <c r="GM49" s="118"/>
      <c r="GN49" s="118"/>
      <c r="GO49" s="118"/>
      <c r="GP49" s="118"/>
      <c r="GQ49" s="118"/>
      <c r="GR49" s="118"/>
      <c r="GS49" s="118"/>
      <c r="GT49" s="118"/>
      <c r="GU49" s="118"/>
      <c r="GV49" s="118"/>
      <c r="GW49" s="118"/>
      <c r="GX49" s="118"/>
      <c r="GY49" s="118"/>
      <c r="GZ49" s="118"/>
      <c r="HA49" s="118"/>
      <c r="HB49" s="118"/>
      <c r="HC49" s="118"/>
      <c r="HD49" s="118"/>
      <c r="HE49" s="118"/>
      <c r="HF49" s="118"/>
      <c r="HG49" s="118"/>
      <c r="HH49" s="118"/>
      <c r="HI49" s="118"/>
      <c r="HJ49" s="118"/>
      <c r="HK49" s="118"/>
      <c r="HL49" s="118"/>
      <c r="HM49" s="118"/>
      <c r="HN49" s="118"/>
      <c r="HO49" s="118"/>
      <c r="HP49" s="118"/>
      <c r="HQ49" s="118"/>
      <c r="HR49" s="118"/>
      <c r="HS49" s="118"/>
      <c r="HT49" s="118"/>
      <c r="HU49" s="118"/>
      <c r="HV49" s="118"/>
      <c r="HW49" s="118"/>
      <c r="HX49" s="118"/>
      <c r="HY49" s="118"/>
      <c r="HZ49" s="118"/>
      <c r="IA49" s="118"/>
      <c r="IB49" s="118"/>
      <c r="IC49" s="118"/>
      <c r="ID49" s="118"/>
      <c r="IE49" s="118"/>
      <c r="IF49" s="118"/>
      <c r="IG49" s="118"/>
      <c r="IH49" s="118"/>
      <c r="II49" s="118"/>
      <c r="IJ49" s="118"/>
      <c r="IK49" s="118"/>
      <c r="IL49" s="118"/>
      <c r="IM49" s="118"/>
      <c r="IN49" s="118"/>
      <c r="IO49" s="118"/>
      <c r="IP49" s="118"/>
      <c r="IQ49" s="118"/>
      <c r="IR49" s="118"/>
      <c r="IS49" s="118"/>
      <c r="IT49" s="118"/>
      <c r="IU49" s="118"/>
      <c r="IV49" s="118"/>
    </row>
    <row r="50" spans="1:256" ht="12.75">
      <c r="A50" s="732"/>
      <c r="B50" s="115" t="s">
        <v>1008</v>
      </c>
      <c r="C50" s="116" t="s">
        <v>1009</v>
      </c>
      <c r="D50" s="570"/>
      <c r="E50" s="571"/>
      <c r="F50" s="556">
        <v>848820</v>
      </c>
      <c r="G50" s="572"/>
      <c r="H50" s="558"/>
      <c r="I50" s="573"/>
      <c r="J50" s="555"/>
      <c r="K50" s="556"/>
      <c r="L50" s="559">
        <f>F50+K50</f>
        <v>848820</v>
      </c>
      <c r="M50" s="117"/>
      <c r="N50" s="30">
        <f>SUM(L50)</f>
        <v>848820</v>
      </c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8"/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  <c r="ES50" s="118"/>
      <c r="ET50" s="118"/>
      <c r="EU50" s="118"/>
      <c r="EV50" s="118"/>
      <c r="EW50" s="118"/>
      <c r="EX50" s="118"/>
      <c r="EY50" s="118"/>
      <c r="EZ50" s="118"/>
      <c r="FA50" s="118"/>
      <c r="FB50" s="118"/>
      <c r="FC50" s="118"/>
      <c r="FD50" s="118"/>
      <c r="FE50" s="118"/>
      <c r="FF50" s="118"/>
      <c r="FG50" s="118"/>
      <c r="FH50" s="118"/>
      <c r="FI50" s="118"/>
      <c r="FJ50" s="118"/>
      <c r="FK50" s="118"/>
      <c r="FL50" s="118"/>
      <c r="FM50" s="118"/>
      <c r="FN50" s="118"/>
      <c r="FO50" s="118"/>
      <c r="FP50" s="118"/>
      <c r="FQ50" s="118"/>
      <c r="FR50" s="118"/>
      <c r="FS50" s="118"/>
      <c r="FT50" s="118"/>
      <c r="FU50" s="118"/>
      <c r="FV50" s="118"/>
      <c r="FW50" s="118"/>
      <c r="FX50" s="118"/>
      <c r="FY50" s="118"/>
      <c r="FZ50" s="118"/>
      <c r="GA50" s="118"/>
      <c r="GB50" s="118"/>
      <c r="GC50" s="118"/>
      <c r="GD50" s="118"/>
      <c r="GE50" s="118"/>
      <c r="GF50" s="118"/>
      <c r="GG50" s="118"/>
      <c r="GH50" s="118"/>
      <c r="GI50" s="118"/>
      <c r="GJ50" s="118"/>
      <c r="GK50" s="118"/>
      <c r="GL50" s="118"/>
      <c r="GM50" s="118"/>
      <c r="GN50" s="118"/>
      <c r="GO50" s="118"/>
      <c r="GP50" s="118"/>
      <c r="GQ50" s="118"/>
      <c r="GR50" s="118"/>
      <c r="GS50" s="118"/>
      <c r="GT50" s="118"/>
      <c r="GU50" s="118"/>
      <c r="GV50" s="118"/>
      <c r="GW50" s="118"/>
      <c r="GX50" s="118"/>
      <c r="GY50" s="118"/>
      <c r="GZ50" s="118"/>
      <c r="HA50" s="118"/>
      <c r="HB50" s="118"/>
      <c r="HC50" s="118"/>
      <c r="HD50" s="118"/>
      <c r="HE50" s="118"/>
      <c r="HF50" s="118"/>
      <c r="HG50" s="118"/>
      <c r="HH50" s="118"/>
      <c r="HI50" s="118"/>
      <c r="HJ50" s="118"/>
      <c r="HK50" s="118"/>
      <c r="HL50" s="118"/>
      <c r="HM50" s="118"/>
      <c r="HN50" s="118"/>
      <c r="HO50" s="118"/>
      <c r="HP50" s="118"/>
      <c r="HQ50" s="118"/>
      <c r="HR50" s="118"/>
      <c r="HS50" s="118"/>
      <c r="HT50" s="118"/>
      <c r="HU50" s="118"/>
      <c r="HV50" s="118"/>
      <c r="HW50" s="118"/>
      <c r="HX50" s="118"/>
      <c r="HY50" s="118"/>
      <c r="HZ50" s="118"/>
      <c r="IA50" s="118"/>
      <c r="IB50" s="118"/>
      <c r="IC50" s="118"/>
      <c r="ID50" s="118"/>
      <c r="IE50" s="118"/>
      <c r="IF50" s="118"/>
      <c r="IG50" s="118"/>
      <c r="IH50" s="118"/>
      <c r="II50" s="118"/>
      <c r="IJ50" s="118"/>
      <c r="IK50" s="118"/>
      <c r="IL50" s="118"/>
      <c r="IM50" s="118"/>
      <c r="IN50" s="118"/>
      <c r="IO50" s="118"/>
      <c r="IP50" s="118"/>
      <c r="IQ50" s="118"/>
      <c r="IR50" s="118"/>
      <c r="IS50" s="118"/>
      <c r="IT50" s="118"/>
      <c r="IU50" s="118"/>
      <c r="IV50" s="118"/>
    </row>
    <row r="51" spans="1:256" ht="15">
      <c r="A51" s="1103" t="s">
        <v>1010</v>
      </c>
      <c r="B51" s="1104"/>
      <c r="C51" s="1105"/>
      <c r="D51" s="585" t="s">
        <v>452</v>
      </c>
      <c r="E51" s="586" t="s">
        <v>452</v>
      </c>
      <c r="F51" s="587">
        <f>SUM(F47)</f>
        <v>11343384</v>
      </c>
      <c r="G51" s="585" t="s">
        <v>452</v>
      </c>
      <c r="H51" s="588" t="s">
        <v>452</v>
      </c>
      <c r="I51" s="588" t="s">
        <v>452</v>
      </c>
      <c r="J51" s="586" t="s">
        <v>452</v>
      </c>
      <c r="K51" s="586" t="s">
        <v>452</v>
      </c>
      <c r="L51" s="589">
        <f>SUM(L47)</f>
        <v>11343384</v>
      </c>
      <c r="M51" s="32"/>
      <c r="N51" s="33">
        <f>SUM(N48:N50)</f>
        <v>11343384</v>
      </c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  <c r="IV51" s="34"/>
    </row>
    <row r="52" spans="1:256" ht="17.25" thickBot="1">
      <c r="A52" s="1106" t="s">
        <v>118</v>
      </c>
      <c r="B52" s="1107"/>
      <c r="C52" s="1108"/>
      <c r="D52" s="735" t="s">
        <v>452</v>
      </c>
      <c r="E52" s="736" t="s">
        <v>452</v>
      </c>
      <c r="F52" s="737">
        <f>SUM(F46+F51)</f>
        <v>357083176</v>
      </c>
      <c r="G52" s="735" t="s">
        <v>452</v>
      </c>
      <c r="H52" s="738" t="s">
        <v>452</v>
      </c>
      <c r="I52" s="738" t="s">
        <v>452</v>
      </c>
      <c r="J52" s="736" t="s">
        <v>452</v>
      </c>
      <c r="K52" s="737">
        <f>SUM(K46)</f>
        <v>159653342</v>
      </c>
      <c r="L52" s="739">
        <f>SUM(K52+F52)</f>
        <v>516736518</v>
      </c>
      <c r="M52" s="32"/>
      <c r="N52" s="33">
        <f>SUM(N46+N51)</f>
        <v>516736518</v>
      </c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  <c r="IV52" s="34"/>
    </row>
  </sheetData>
  <sheetProtection/>
  <mergeCells count="11">
    <mergeCell ref="A52:C52"/>
    <mergeCell ref="L5:L6"/>
    <mergeCell ref="A6:B6"/>
    <mergeCell ref="A7:B7"/>
    <mergeCell ref="A2:K2"/>
    <mergeCell ref="A3:K3"/>
    <mergeCell ref="A5:C5"/>
    <mergeCell ref="D5:F5"/>
    <mergeCell ref="G5:K5"/>
    <mergeCell ref="A51:C51"/>
    <mergeCell ref="A46:C46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3" sqref="O23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7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125" style="168" customWidth="1"/>
    <col min="2" max="4" width="9.125" style="168" customWidth="1"/>
    <col min="5" max="5" width="40.375" style="168" customWidth="1"/>
    <col min="6" max="6" width="16.125" style="168" bestFit="1" customWidth="1"/>
    <col min="7" max="7" width="14.125" style="168" bestFit="1" customWidth="1"/>
    <col min="8" max="9" width="14.875" style="168" customWidth="1"/>
    <col min="10" max="10" width="16.00390625" style="168" bestFit="1" customWidth="1"/>
    <col min="11" max="16384" width="9.125" style="168" customWidth="1"/>
  </cols>
  <sheetData>
    <row r="1" spans="1:10" s="172" customFormat="1" ht="12.75">
      <c r="A1" s="835" t="s">
        <v>1012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s="172" customFormat="1" ht="9.75" customHeight="1">
      <c r="A2" s="173"/>
      <c r="B2" s="174"/>
      <c r="C2" s="174"/>
      <c r="D2" s="174"/>
      <c r="E2" s="174"/>
      <c r="F2" s="174"/>
      <c r="G2" s="174"/>
      <c r="H2" s="174"/>
      <c r="I2" s="174"/>
      <c r="J2" s="174"/>
    </row>
    <row r="3" spans="1:10" s="172" customFormat="1" ht="16.5">
      <c r="A3" s="836" t="s">
        <v>865</v>
      </c>
      <c r="B3" s="836"/>
      <c r="C3" s="836"/>
      <c r="D3" s="836"/>
      <c r="E3" s="836"/>
      <c r="F3" s="836"/>
      <c r="G3" s="836"/>
      <c r="H3" s="836"/>
      <c r="I3" s="836"/>
      <c r="J3" s="836"/>
    </row>
    <row r="4" spans="1:10" s="172" customFormat="1" ht="12.75">
      <c r="A4" s="173"/>
      <c r="B4" s="174"/>
      <c r="C4" s="174"/>
      <c r="D4" s="174"/>
      <c r="E4" s="174"/>
      <c r="F4" s="174"/>
      <c r="G4" s="174"/>
      <c r="H4" s="174"/>
      <c r="I4" s="174"/>
      <c r="J4" s="174"/>
    </row>
    <row r="5" spans="1:10" ht="78" customHeight="1">
      <c r="A5" s="837" t="s">
        <v>0</v>
      </c>
      <c r="B5" s="838"/>
      <c r="C5" s="838"/>
      <c r="D5" s="838"/>
      <c r="E5" s="839"/>
      <c r="F5" s="175" t="s">
        <v>86</v>
      </c>
      <c r="G5" s="175" t="s">
        <v>373</v>
      </c>
      <c r="H5" s="175" t="s">
        <v>744</v>
      </c>
      <c r="I5" s="175" t="s">
        <v>785</v>
      </c>
      <c r="J5" s="176" t="s">
        <v>367</v>
      </c>
    </row>
    <row r="6" spans="1:10" s="179" customFormat="1" ht="15">
      <c r="A6" s="177" t="s">
        <v>428</v>
      </c>
      <c r="B6" s="840" t="s">
        <v>429</v>
      </c>
      <c r="C6" s="841"/>
      <c r="D6" s="841"/>
      <c r="E6" s="842"/>
      <c r="F6" s="178" t="s">
        <v>430</v>
      </c>
      <c r="G6" s="178" t="s">
        <v>431</v>
      </c>
      <c r="H6" s="178" t="s">
        <v>432</v>
      </c>
      <c r="I6" s="178" t="s">
        <v>433</v>
      </c>
      <c r="J6" s="178" t="s">
        <v>435</v>
      </c>
    </row>
    <row r="7" spans="1:11" ht="14.25" customHeight="1">
      <c r="A7" s="180" t="s">
        <v>1</v>
      </c>
      <c r="B7" s="843" t="s">
        <v>346</v>
      </c>
      <c r="C7" s="843"/>
      <c r="D7" s="843"/>
      <c r="E7" s="843"/>
      <c r="F7" s="167">
        <f>34989435+3693375+12115695+1044000+609406+25000+27396716+80000+5400000+8650000+2543600+24650000+18342800+33000+1350000+1125000+23197320+11080125+6600</f>
        <v>176332072</v>
      </c>
      <c r="G7" s="167">
        <f>91562414+4740000+2452125+103400</f>
        <v>98857939</v>
      </c>
      <c r="H7" s="167">
        <f>169355757+3215520+639450-330000-1461600+2756937+1035000-976500+1125000-1245375+216700</f>
        <v>174330889</v>
      </c>
      <c r="I7" s="167">
        <f>2802000+11931088+1980314+1800000-775591</f>
        <v>17737811</v>
      </c>
      <c r="J7" s="725">
        <f>SUM(F7:I7)</f>
        <v>467258711</v>
      </c>
      <c r="K7" s="611"/>
    </row>
    <row r="8" spans="1:11" ht="13.5" customHeight="1">
      <c r="A8" s="180" t="s">
        <v>3</v>
      </c>
      <c r="B8" s="843" t="s">
        <v>4</v>
      </c>
      <c r="C8" s="843"/>
      <c r="D8" s="843"/>
      <c r="E8" s="843"/>
      <c r="F8" s="167">
        <f>8083672+323170+1060123+164430+143206+3938+4793101+38963+927500+1409909+445130+4900455+3773040+5197+236250+196875+2029806+969525+1155</f>
        <v>29505445</v>
      </c>
      <c r="G8" s="167">
        <f>16696818+829500+429122+18095</f>
        <v>17973535</v>
      </c>
      <c r="H8" s="167">
        <f>33361183+562716+111904-57750-255780+482464+181125-170887+196875-217940+37923</f>
        <v>34231833</v>
      </c>
      <c r="I8" s="167">
        <f>490350+2122958+964502+315000-377745</f>
        <v>3515065</v>
      </c>
      <c r="J8" s="725">
        <f aca="true" t="shared" si="0" ref="J8:J70">SUM(F8:I8)</f>
        <v>85225878</v>
      </c>
      <c r="K8" s="611"/>
    </row>
    <row r="9" spans="1:11" ht="12" customHeight="1">
      <c r="A9" s="180" t="s">
        <v>5</v>
      </c>
      <c r="B9" s="843" t="s">
        <v>6</v>
      </c>
      <c r="C9" s="843"/>
      <c r="D9" s="843"/>
      <c r="E9" s="843"/>
      <c r="F9" s="167">
        <f>15275133+40527704+52070+15377340+5249710+4571244+3416864+9798424+4276480+1377000+640554+4667808+416194+24094440+2640000+14028933+360000+27644450+120000+2949420+1830220+73660+5902169+2242300+57876511+11650000+1812600+17254444+2600000+22523810+8285000-54000-254000+500000+1500000+1310301+4441343</f>
        <v>316978126</v>
      </c>
      <c r="G9" s="167">
        <v>26913440</v>
      </c>
      <c r="H9" s="167">
        <f>56130277-781083+2114762</f>
        <v>57463956</v>
      </c>
      <c r="I9" s="167">
        <f>1082115+290700+14446890+7003586+3527681-317500+144779-2575544-800000</f>
        <v>22802707</v>
      </c>
      <c r="J9" s="725">
        <f t="shared" si="0"/>
        <v>424158229</v>
      </c>
      <c r="K9" s="611"/>
    </row>
    <row r="10" spans="1:11" ht="12.75">
      <c r="A10" s="180" t="s">
        <v>8</v>
      </c>
      <c r="B10" s="843" t="s">
        <v>9</v>
      </c>
      <c r="C10" s="843"/>
      <c r="D10" s="843"/>
      <c r="E10" s="843"/>
      <c r="F10" s="167">
        <f>SUM(F11,F12,F15:F20)</f>
        <v>3804900</v>
      </c>
      <c r="G10" s="167">
        <f>SUM(G11,G12,G15:G20)</f>
        <v>0</v>
      </c>
      <c r="H10" s="167">
        <f>SUM(H11,H12,H15:H20)</f>
        <v>0</v>
      </c>
      <c r="I10" s="167">
        <f>SUM(I11,I12,I15:I20)</f>
        <v>0</v>
      </c>
      <c r="J10" s="725">
        <f t="shared" si="0"/>
        <v>3804900</v>
      </c>
      <c r="K10" s="611"/>
    </row>
    <row r="11" spans="1:11" ht="12.75">
      <c r="A11" s="163"/>
      <c r="B11" s="163" t="s">
        <v>10</v>
      </c>
      <c r="C11" s="826" t="s">
        <v>11</v>
      </c>
      <c r="D11" s="828"/>
      <c r="E11" s="827"/>
      <c r="F11" s="166">
        <v>0</v>
      </c>
      <c r="G11" s="166">
        <v>0</v>
      </c>
      <c r="H11" s="166">
        <v>0</v>
      </c>
      <c r="I11" s="166">
        <v>0</v>
      </c>
      <c r="J11" s="167">
        <f t="shared" si="0"/>
        <v>0</v>
      </c>
      <c r="K11" s="611"/>
    </row>
    <row r="12" spans="1:11" ht="12.75">
      <c r="A12" s="163"/>
      <c r="B12" s="163" t="s">
        <v>12</v>
      </c>
      <c r="C12" s="829" t="s">
        <v>13</v>
      </c>
      <c r="D12" s="829"/>
      <c r="E12" s="829"/>
      <c r="F12" s="166">
        <f>SUM(F13:F14)</f>
        <v>0</v>
      </c>
      <c r="G12" s="166">
        <f>SUM(G13:G14)</f>
        <v>0</v>
      </c>
      <c r="H12" s="166">
        <f>SUM(H13:H14)</f>
        <v>0</v>
      </c>
      <c r="I12" s="166">
        <f>SUM(I13:I14)</f>
        <v>0</v>
      </c>
      <c r="J12" s="167">
        <f t="shared" si="0"/>
        <v>0</v>
      </c>
      <c r="K12" s="611"/>
    </row>
    <row r="13" spans="1:11" ht="23.25" customHeight="1" hidden="1">
      <c r="A13" s="169"/>
      <c r="B13" s="163"/>
      <c r="C13" s="169"/>
      <c r="D13" s="824" t="s">
        <v>639</v>
      </c>
      <c r="E13" s="825"/>
      <c r="F13" s="170">
        <v>0</v>
      </c>
      <c r="G13" s="170"/>
      <c r="H13" s="170">
        <v>0</v>
      </c>
      <c r="I13" s="170">
        <v>0</v>
      </c>
      <c r="J13" s="181">
        <f t="shared" si="0"/>
        <v>0</v>
      </c>
      <c r="K13" s="611"/>
    </row>
    <row r="14" spans="1:11" ht="22.5" customHeight="1" hidden="1">
      <c r="A14" s="169"/>
      <c r="B14" s="163"/>
      <c r="C14" s="169"/>
      <c r="D14" s="844" t="s">
        <v>640</v>
      </c>
      <c r="E14" s="845"/>
      <c r="F14" s="170">
        <v>0</v>
      </c>
      <c r="G14" s="170">
        <v>0</v>
      </c>
      <c r="H14" s="170">
        <v>0</v>
      </c>
      <c r="I14" s="170">
        <v>0</v>
      </c>
      <c r="J14" s="181">
        <f t="shared" si="0"/>
        <v>0</v>
      </c>
      <c r="K14" s="611"/>
    </row>
    <row r="15" spans="1:11" ht="12.75">
      <c r="A15" s="163"/>
      <c r="B15" s="163" t="s">
        <v>127</v>
      </c>
      <c r="C15" s="829" t="s">
        <v>128</v>
      </c>
      <c r="D15" s="829"/>
      <c r="E15" s="829"/>
      <c r="F15" s="166">
        <v>0</v>
      </c>
      <c r="G15" s="166">
        <v>0</v>
      </c>
      <c r="H15" s="166">
        <v>0</v>
      </c>
      <c r="I15" s="166">
        <v>0</v>
      </c>
      <c r="J15" s="181">
        <f t="shared" si="0"/>
        <v>0</v>
      </c>
      <c r="K15" s="611"/>
    </row>
    <row r="16" spans="1:11" ht="12" customHeight="1">
      <c r="A16" s="163"/>
      <c r="B16" s="163" t="s">
        <v>129</v>
      </c>
      <c r="C16" s="826" t="s">
        <v>130</v>
      </c>
      <c r="D16" s="828"/>
      <c r="E16" s="827"/>
      <c r="F16" s="166">
        <f aca="true" t="shared" si="1" ref="F16:I17">SUM(F17:F18)</f>
        <v>0</v>
      </c>
      <c r="G16" s="166">
        <f t="shared" si="1"/>
        <v>0</v>
      </c>
      <c r="H16" s="166">
        <f t="shared" si="1"/>
        <v>0</v>
      </c>
      <c r="I16" s="166">
        <f t="shared" si="1"/>
        <v>0</v>
      </c>
      <c r="J16" s="181">
        <f t="shared" si="0"/>
        <v>0</v>
      </c>
      <c r="K16" s="611"/>
    </row>
    <row r="17" spans="1:11" ht="13.5" customHeight="1">
      <c r="A17" s="169"/>
      <c r="B17" s="163" t="s">
        <v>131</v>
      </c>
      <c r="C17" s="163" t="s">
        <v>132</v>
      </c>
      <c r="D17" s="164"/>
      <c r="E17" s="165"/>
      <c r="F17" s="166">
        <f t="shared" si="1"/>
        <v>0</v>
      </c>
      <c r="G17" s="166">
        <f t="shared" si="1"/>
        <v>0</v>
      </c>
      <c r="H17" s="166">
        <f t="shared" si="1"/>
        <v>0</v>
      </c>
      <c r="I17" s="166">
        <f t="shared" si="1"/>
        <v>0</v>
      </c>
      <c r="J17" s="181">
        <f t="shared" si="0"/>
        <v>0</v>
      </c>
      <c r="K17" s="611"/>
    </row>
    <row r="18" spans="1:11" ht="12.75">
      <c r="A18" s="163"/>
      <c r="B18" s="163" t="s">
        <v>133</v>
      </c>
      <c r="C18" s="826" t="s">
        <v>134</v>
      </c>
      <c r="D18" s="828"/>
      <c r="E18" s="827"/>
      <c r="F18" s="166">
        <f>SUM(F19)</f>
        <v>0</v>
      </c>
      <c r="G18" s="166">
        <f>SUM(G19)</f>
        <v>0</v>
      </c>
      <c r="H18" s="166">
        <f>SUM(H19)</f>
        <v>0</v>
      </c>
      <c r="I18" s="166">
        <f>SUM(I19)</f>
        <v>0</v>
      </c>
      <c r="J18" s="181">
        <f t="shared" si="0"/>
        <v>0</v>
      </c>
      <c r="K18" s="611"/>
    </row>
    <row r="19" spans="1:11" ht="12.75">
      <c r="A19" s="163"/>
      <c r="B19" s="163" t="s">
        <v>135</v>
      </c>
      <c r="C19" s="829" t="s">
        <v>14</v>
      </c>
      <c r="D19" s="829"/>
      <c r="E19" s="829"/>
      <c r="F19" s="166">
        <v>0</v>
      </c>
      <c r="G19" s="166">
        <v>0</v>
      </c>
      <c r="H19" s="166">
        <v>0</v>
      </c>
      <c r="I19" s="166">
        <v>0</v>
      </c>
      <c r="J19" s="181">
        <f t="shared" si="0"/>
        <v>0</v>
      </c>
      <c r="K19" s="611"/>
    </row>
    <row r="20" spans="1:11" ht="12.75">
      <c r="A20" s="163"/>
      <c r="B20" s="163" t="s">
        <v>136</v>
      </c>
      <c r="C20" s="826" t="s">
        <v>137</v>
      </c>
      <c r="D20" s="828"/>
      <c r="E20" s="827"/>
      <c r="F20" s="166">
        <f>SUM(F21:F22)</f>
        <v>3804900</v>
      </c>
      <c r="G20" s="166">
        <f>SUM(G21:G22)</f>
        <v>0</v>
      </c>
      <c r="H20" s="166">
        <f>SUM(H21:H22)</f>
        <v>0</v>
      </c>
      <c r="I20" s="166">
        <f>SUM(I21:I22)</f>
        <v>0</v>
      </c>
      <c r="J20" s="181">
        <f t="shared" si="0"/>
        <v>3804900</v>
      </c>
      <c r="K20" s="611"/>
    </row>
    <row r="21" spans="1:11" ht="12.75">
      <c r="A21" s="169"/>
      <c r="B21" s="169"/>
      <c r="C21" s="169"/>
      <c r="D21" s="826" t="s">
        <v>597</v>
      </c>
      <c r="E21" s="827"/>
      <c r="F21" s="170">
        <v>1500000</v>
      </c>
      <c r="G21" s="170">
        <v>0</v>
      </c>
      <c r="H21" s="170">
        <v>0</v>
      </c>
      <c r="I21" s="170">
        <v>0</v>
      </c>
      <c r="J21" s="181">
        <f t="shared" si="0"/>
        <v>1500000</v>
      </c>
      <c r="K21" s="611"/>
    </row>
    <row r="22" spans="1:11" s="171" customFormat="1" ht="12.75">
      <c r="A22" s="169"/>
      <c r="B22" s="169"/>
      <c r="C22" s="169"/>
      <c r="D22" s="826" t="s">
        <v>596</v>
      </c>
      <c r="E22" s="827"/>
      <c r="F22" s="170">
        <v>2304900</v>
      </c>
      <c r="G22" s="170">
        <v>0</v>
      </c>
      <c r="H22" s="170">
        <v>0</v>
      </c>
      <c r="I22" s="170">
        <v>0</v>
      </c>
      <c r="J22" s="181">
        <f t="shared" si="0"/>
        <v>2304900</v>
      </c>
      <c r="K22" s="611"/>
    </row>
    <row r="23" spans="1:11" ht="12" customHeight="1">
      <c r="A23" s="180" t="s">
        <v>138</v>
      </c>
      <c r="B23" s="830" t="s">
        <v>139</v>
      </c>
      <c r="C23" s="831"/>
      <c r="D23" s="831"/>
      <c r="E23" s="832"/>
      <c r="F23" s="167">
        <f>SUM(F57+F46+F45+F43+F42+F41+F40+F29+F28+F27+F26+F24+F25)</f>
        <v>140982385</v>
      </c>
      <c r="G23" s="167">
        <f>SUM(G57+G46+G43+G42+G41+G40+G29+G28+G27+G26+G24+G25)</f>
        <v>0</v>
      </c>
      <c r="H23" s="167">
        <f>SUM(H57+H46+H43+H42+H41+H40+H29+H28+H27+H26+H24+H25)</f>
        <v>0</v>
      </c>
      <c r="I23" s="167">
        <f>SUM(I57+I46+I43+I42+I41+I40+I29+I28+I27+I26+I24+I25)</f>
        <v>0</v>
      </c>
      <c r="J23" s="725">
        <f t="shared" si="0"/>
        <v>140982385</v>
      </c>
      <c r="K23" s="611"/>
    </row>
    <row r="24" spans="1:11" ht="6" customHeight="1" hidden="1">
      <c r="A24" s="169"/>
      <c r="B24" s="169"/>
      <c r="C24" s="169" t="s">
        <v>140</v>
      </c>
      <c r="D24" s="169" t="s">
        <v>141</v>
      </c>
      <c r="E24" s="169"/>
      <c r="F24" s="170">
        <v>0</v>
      </c>
      <c r="G24" s="170">
        <v>0</v>
      </c>
      <c r="H24" s="170">
        <v>0</v>
      </c>
      <c r="I24" s="170">
        <v>0</v>
      </c>
      <c r="J24" s="181">
        <f t="shared" si="0"/>
        <v>0</v>
      </c>
      <c r="K24" s="612"/>
    </row>
    <row r="25" spans="1:11" ht="15" customHeight="1">
      <c r="A25" s="169"/>
      <c r="B25" s="169"/>
      <c r="C25" s="169" t="s">
        <v>142</v>
      </c>
      <c r="D25" s="169" t="s">
        <v>143</v>
      </c>
      <c r="E25" s="169"/>
      <c r="F25" s="170">
        <v>0</v>
      </c>
      <c r="G25" s="170">
        <v>0</v>
      </c>
      <c r="H25" s="170">
        <v>0</v>
      </c>
      <c r="I25" s="170">
        <v>0</v>
      </c>
      <c r="J25" s="181">
        <f t="shared" si="0"/>
        <v>0</v>
      </c>
      <c r="K25" s="612"/>
    </row>
    <row r="26" spans="1:11" ht="12.75" hidden="1">
      <c r="A26" s="169"/>
      <c r="B26" s="169"/>
      <c r="C26" s="169" t="s">
        <v>144</v>
      </c>
      <c r="D26" s="833" t="s">
        <v>145</v>
      </c>
      <c r="E26" s="834"/>
      <c r="F26" s="170">
        <v>0</v>
      </c>
      <c r="G26" s="170">
        <v>0</v>
      </c>
      <c r="H26" s="170">
        <v>0</v>
      </c>
      <c r="I26" s="170">
        <v>0</v>
      </c>
      <c r="J26" s="181">
        <f t="shared" si="0"/>
        <v>0</v>
      </c>
      <c r="K26" s="612"/>
    </row>
    <row r="27" spans="1:11" ht="12.75" hidden="1">
      <c r="A27" s="169"/>
      <c r="B27" s="169"/>
      <c r="C27" s="169" t="s">
        <v>146</v>
      </c>
      <c r="D27" s="833" t="s">
        <v>147</v>
      </c>
      <c r="E27" s="834"/>
      <c r="F27" s="170">
        <v>0</v>
      </c>
      <c r="G27" s="170">
        <v>0</v>
      </c>
      <c r="H27" s="170">
        <v>0</v>
      </c>
      <c r="I27" s="170">
        <v>0</v>
      </c>
      <c r="J27" s="181">
        <f t="shared" si="0"/>
        <v>0</v>
      </c>
      <c r="K27" s="612"/>
    </row>
    <row r="28" spans="1:11" ht="12.75" hidden="1">
      <c r="A28" s="169"/>
      <c r="B28" s="169"/>
      <c r="C28" s="169" t="s">
        <v>168</v>
      </c>
      <c r="D28" s="833" t="s">
        <v>169</v>
      </c>
      <c r="E28" s="834"/>
      <c r="F28" s="170">
        <v>0</v>
      </c>
      <c r="G28" s="170">
        <v>0</v>
      </c>
      <c r="H28" s="170">
        <v>0</v>
      </c>
      <c r="I28" s="170">
        <v>0</v>
      </c>
      <c r="J28" s="181">
        <f t="shared" si="0"/>
        <v>0</v>
      </c>
      <c r="K28" s="612"/>
    </row>
    <row r="29" spans="1:11" ht="12.75" hidden="1">
      <c r="A29" s="169"/>
      <c r="B29" s="169"/>
      <c r="C29" s="169" t="s">
        <v>170</v>
      </c>
      <c r="D29" s="833" t="s">
        <v>171</v>
      </c>
      <c r="E29" s="834"/>
      <c r="F29" s="170">
        <f>SUM(F30:F39)</f>
        <v>0</v>
      </c>
      <c r="G29" s="170">
        <f>SUM(G30:G39)</f>
        <v>0</v>
      </c>
      <c r="H29" s="170">
        <f>SUM(H30:H39)</f>
        <v>0</v>
      </c>
      <c r="I29" s="170">
        <f>SUM(I30:I39)</f>
        <v>0</v>
      </c>
      <c r="J29" s="181">
        <f t="shared" si="0"/>
        <v>0</v>
      </c>
      <c r="K29" s="612"/>
    </row>
    <row r="30" spans="1:11" ht="12.75" hidden="1">
      <c r="A30" s="182"/>
      <c r="B30" s="182"/>
      <c r="C30" s="183" t="s">
        <v>2</v>
      </c>
      <c r="D30" s="183" t="s">
        <v>148</v>
      </c>
      <c r="E30" s="183" t="s">
        <v>149</v>
      </c>
      <c r="F30" s="184">
        <v>0</v>
      </c>
      <c r="G30" s="184">
        <v>0</v>
      </c>
      <c r="H30" s="184">
        <v>0</v>
      </c>
      <c r="I30" s="184">
        <v>0</v>
      </c>
      <c r="J30" s="181">
        <f t="shared" si="0"/>
        <v>0</v>
      </c>
      <c r="K30" s="612"/>
    </row>
    <row r="31" spans="1:11" ht="12.75" hidden="1">
      <c r="A31" s="182"/>
      <c r="B31" s="182"/>
      <c r="C31" s="183"/>
      <c r="D31" s="183" t="s">
        <v>150</v>
      </c>
      <c r="E31" s="183" t="s">
        <v>151</v>
      </c>
      <c r="F31" s="184">
        <v>0</v>
      </c>
      <c r="G31" s="184">
        <v>0</v>
      </c>
      <c r="H31" s="184">
        <v>0</v>
      </c>
      <c r="I31" s="184">
        <v>0</v>
      </c>
      <c r="J31" s="181">
        <f t="shared" si="0"/>
        <v>0</v>
      </c>
      <c r="K31" s="612"/>
    </row>
    <row r="32" spans="1:11" ht="12.75" hidden="1">
      <c r="A32" s="182"/>
      <c r="B32" s="182"/>
      <c r="C32" s="183"/>
      <c r="D32" s="183" t="s">
        <v>152</v>
      </c>
      <c r="E32" s="183" t="s">
        <v>153</v>
      </c>
      <c r="F32" s="184">
        <v>0</v>
      </c>
      <c r="G32" s="184">
        <v>0</v>
      </c>
      <c r="H32" s="184">
        <v>0</v>
      </c>
      <c r="I32" s="184">
        <v>0</v>
      </c>
      <c r="J32" s="181">
        <f t="shared" si="0"/>
        <v>0</v>
      </c>
      <c r="K32" s="612"/>
    </row>
    <row r="33" spans="1:11" ht="12.75" hidden="1">
      <c r="A33" s="182"/>
      <c r="B33" s="182"/>
      <c r="C33" s="183"/>
      <c r="D33" s="183" t="s">
        <v>154</v>
      </c>
      <c r="E33" s="183" t="s">
        <v>155</v>
      </c>
      <c r="F33" s="184">
        <v>0</v>
      </c>
      <c r="G33" s="184">
        <v>0</v>
      </c>
      <c r="H33" s="184">
        <v>0</v>
      </c>
      <c r="I33" s="184">
        <v>0</v>
      </c>
      <c r="J33" s="181">
        <f t="shared" si="0"/>
        <v>0</v>
      </c>
      <c r="K33" s="612"/>
    </row>
    <row r="34" spans="1:11" ht="12.75" hidden="1">
      <c r="A34" s="182"/>
      <c r="B34" s="182"/>
      <c r="C34" s="183"/>
      <c r="D34" s="183" t="s">
        <v>156</v>
      </c>
      <c r="E34" s="183" t="s">
        <v>157</v>
      </c>
      <c r="F34" s="184">
        <v>0</v>
      </c>
      <c r="G34" s="184">
        <v>0</v>
      </c>
      <c r="H34" s="184">
        <v>0</v>
      </c>
      <c r="I34" s="184">
        <v>0</v>
      </c>
      <c r="J34" s="181">
        <f t="shared" si="0"/>
        <v>0</v>
      </c>
      <c r="K34" s="612"/>
    </row>
    <row r="35" spans="1:11" ht="12.75" hidden="1">
      <c r="A35" s="182"/>
      <c r="B35" s="182"/>
      <c r="C35" s="183"/>
      <c r="D35" s="183" t="s">
        <v>158</v>
      </c>
      <c r="E35" s="183" t="s">
        <v>159</v>
      </c>
      <c r="F35" s="184">
        <v>0</v>
      </c>
      <c r="G35" s="184">
        <v>0</v>
      </c>
      <c r="H35" s="184">
        <v>0</v>
      </c>
      <c r="I35" s="184">
        <v>0</v>
      </c>
      <c r="J35" s="181">
        <f t="shared" si="0"/>
        <v>0</v>
      </c>
      <c r="K35" s="612"/>
    </row>
    <row r="36" spans="1:11" ht="0.75" customHeight="1" hidden="1">
      <c r="A36" s="182"/>
      <c r="B36" s="182"/>
      <c r="C36" s="183"/>
      <c r="D36" s="183" t="s">
        <v>160</v>
      </c>
      <c r="E36" s="183" t="s">
        <v>161</v>
      </c>
      <c r="F36" s="184">
        <v>0</v>
      </c>
      <c r="G36" s="184">
        <v>0</v>
      </c>
      <c r="H36" s="184">
        <v>0</v>
      </c>
      <c r="I36" s="184">
        <v>0</v>
      </c>
      <c r="J36" s="181">
        <f t="shared" si="0"/>
        <v>0</v>
      </c>
      <c r="K36" s="612"/>
    </row>
    <row r="37" spans="1:11" ht="12.75" hidden="1">
      <c r="A37" s="182"/>
      <c r="B37" s="182"/>
      <c r="C37" s="183"/>
      <c r="D37" s="183" t="s">
        <v>162</v>
      </c>
      <c r="E37" s="183" t="s">
        <v>163</v>
      </c>
      <c r="F37" s="184">
        <v>0</v>
      </c>
      <c r="G37" s="184">
        <v>0</v>
      </c>
      <c r="H37" s="184">
        <v>0</v>
      </c>
      <c r="I37" s="184">
        <v>0</v>
      </c>
      <c r="J37" s="181">
        <f t="shared" si="0"/>
        <v>0</v>
      </c>
      <c r="K37" s="612"/>
    </row>
    <row r="38" spans="1:11" ht="12.75" hidden="1">
      <c r="A38" s="182"/>
      <c r="B38" s="182"/>
      <c r="C38" s="183"/>
      <c r="D38" s="183" t="s">
        <v>164</v>
      </c>
      <c r="E38" s="183" t="s">
        <v>165</v>
      </c>
      <c r="F38" s="184">
        <v>0</v>
      </c>
      <c r="G38" s="184">
        <v>0</v>
      </c>
      <c r="H38" s="184">
        <v>0</v>
      </c>
      <c r="I38" s="184">
        <v>0</v>
      </c>
      <c r="J38" s="181">
        <f t="shared" si="0"/>
        <v>0</v>
      </c>
      <c r="K38" s="612"/>
    </row>
    <row r="39" spans="1:11" ht="12.75" hidden="1">
      <c r="A39" s="182"/>
      <c r="B39" s="182"/>
      <c r="C39" s="183"/>
      <c r="D39" s="183" t="s">
        <v>166</v>
      </c>
      <c r="E39" s="183" t="s">
        <v>167</v>
      </c>
      <c r="F39" s="184">
        <v>0</v>
      </c>
      <c r="G39" s="184">
        <v>0</v>
      </c>
      <c r="H39" s="184">
        <v>0</v>
      </c>
      <c r="I39" s="184">
        <v>0</v>
      </c>
      <c r="J39" s="181">
        <f t="shared" si="0"/>
        <v>0</v>
      </c>
      <c r="K39" s="612"/>
    </row>
    <row r="40" spans="1:11" ht="12.75" hidden="1">
      <c r="A40" s="169"/>
      <c r="B40" s="169"/>
      <c r="C40" s="169" t="s">
        <v>172</v>
      </c>
      <c r="D40" s="833" t="s">
        <v>173</v>
      </c>
      <c r="E40" s="834"/>
      <c r="F40" s="170">
        <v>0</v>
      </c>
      <c r="G40" s="170">
        <v>0</v>
      </c>
      <c r="H40" s="170">
        <v>0</v>
      </c>
      <c r="I40" s="170">
        <v>0</v>
      </c>
      <c r="J40" s="181">
        <f t="shared" si="0"/>
        <v>0</v>
      </c>
      <c r="K40" s="612"/>
    </row>
    <row r="41" spans="1:11" ht="12.75" hidden="1">
      <c r="A41" s="169"/>
      <c r="B41" s="169"/>
      <c r="C41" s="169" t="s">
        <v>174</v>
      </c>
      <c r="D41" s="833" t="s">
        <v>528</v>
      </c>
      <c r="E41" s="834"/>
      <c r="F41" s="170">
        <v>0</v>
      </c>
      <c r="G41" s="170">
        <v>0</v>
      </c>
      <c r="H41" s="170">
        <v>0</v>
      </c>
      <c r="I41" s="170">
        <v>0</v>
      </c>
      <c r="J41" s="181">
        <f t="shared" si="0"/>
        <v>0</v>
      </c>
      <c r="K41" s="612"/>
    </row>
    <row r="42" spans="1:11" ht="12.75" hidden="1">
      <c r="A42" s="169"/>
      <c r="B42" s="169"/>
      <c r="C42" s="169" t="s">
        <v>185</v>
      </c>
      <c r="D42" s="833" t="s">
        <v>186</v>
      </c>
      <c r="E42" s="834"/>
      <c r="F42" s="170">
        <v>0</v>
      </c>
      <c r="G42" s="170">
        <v>0</v>
      </c>
      <c r="H42" s="170">
        <v>0</v>
      </c>
      <c r="I42" s="170">
        <v>0</v>
      </c>
      <c r="J42" s="181">
        <f t="shared" si="0"/>
        <v>0</v>
      </c>
      <c r="K42" s="612"/>
    </row>
    <row r="43" spans="1:11" ht="12.75" hidden="1">
      <c r="A43" s="169"/>
      <c r="B43" s="169"/>
      <c r="C43" s="169" t="s">
        <v>187</v>
      </c>
      <c r="D43" s="833" t="s">
        <v>188</v>
      </c>
      <c r="E43" s="834"/>
      <c r="F43" s="170">
        <v>0</v>
      </c>
      <c r="G43" s="170">
        <v>0</v>
      </c>
      <c r="H43" s="170">
        <v>0</v>
      </c>
      <c r="I43" s="170">
        <v>0</v>
      </c>
      <c r="J43" s="181">
        <f t="shared" si="0"/>
        <v>0</v>
      </c>
      <c r="K43" s="612"/>
    </row>
    <row r="44" spans="1:11" ht="12.75" hidden="1">
      <c r="A44" s="169"/>
      <c r="B44" s="169"/>
      <c r="C44" s="169" t="s">
        <v>189</v>
      </c>
      <c r="D44" s="833" t="s">
        <v>569</v>
      </c>
      <c r="E44" s="834"/>
      <c r="F44" s="170">
        <v>0</v>
      </c>
      <c r="G44" s="170">
        <v>0</v>
      </c>
      <c r="H44" s="170">
        <v>0</v>
      </c>
      <c r="I44" s="170">
        <v>0</v>
      </c>
      <c r="J44" s="181">
        <f t="shared" si="0"/>
        <v>0</v>
      </c>
      <c r="K44" s="612"/>
    </row>
    <row r="45" spans="1:11" ht="12.75">
      <c r="A45" s="169"/>
      <c r="B45" s="169"/>
      <c r="C45" s="169" t="s">
        <v>170</v>
      </c>
      <c r="D45" s="824" t="s">
        <v>801</v>
      </c>
      <c r="E45" s="825"/>
      <c r="F45" s="170">
        <f>100000+15000</f>
        <v>115000</v>
      </c>
      <c r="G45" s="170">
        <v>0</v>
      </c>
      <c r="H45" s="170">
        <v>0</v>
      </c>
      <c r="I45" s="170">
        <v>0</v>
      </c>
      <c r="J45" s="181">
        <f t="shared" si="0"/>
        <v>115000</v>
      </c>
      <c r="K45" s="612"/>
    </row>
    <row r="46" spans="1:11" ht="12.75">
      <c r="A46" s="169"/>
      <c r="B46" s="169"/>
      <c r="C46" s="169" t="s">
        <v>191</v>
      </c>
      <c r="D46" s="824" t="s">
        <v>190</v>
      </c>
      <c r="E46" s="825"/>
      <c r="F46" s="170">
        <f>22297000+42084000+12311385+32277000+14018000+16949000+10000000+2032000+2286000-70000-4779000-1444000-6364000-3280000</f>
        <v>138317385</v>
      </c>
      <c r="G46" s="170">
        <f>SUM(G47:G56)</f>
        <v>0</v>
      </c>
      <c r="H46" s="170">
        <f>SUM(H47:H56)</f>
        <v>0</v>
      </c>
      <c r="I46" s="170">
        <f>SUM(I47:I56)</f>
        <v>0</v>
      </c>
      <c r="J46" s="181">
        <f t="shared" si="0"/>
        <v>138317385</v>
      </c>
      <c r="K46" s="612"/>
    </row>
    <row r="47" spans="1:11" ht="12.75" hidden="1">
      <c r="A47" s="185"/>
      <c r="B47" s="185"/>
      <c r="C47" s="183" t="s">
        <v>2</v>
      </c>
      <c r="D47" s="233" t="s">
        <v>148</v>
      </c>
      <c r="E47" s="233" t="s">
        <v>175</v>
      </c>
      <c r="F47" s="184">
        <v>0</v>
      </c>
      <c r="G47" s="184">
        <v>0</v>
      </c>
      <c r="H47" s="184">
        <v>0</v>
      </c>
      <c r="I47" s="184">
        <v>0</v>
      </c>
      <c r="J47" s="181">
        <f t="shared" si="0"/>
        <v>0</v>
      </c>
      <c r="K47" s="612"/>
    </row>
    <row r="48" spans="1:11" ht="12.75" hidden="1">
      <c r="A48" s="185"/>
      <c r="B48" s="185"/>
      <c r="C48" s="183"/>
      <c r="D48" s="233" t="s">
        <v>150</v>
      </c>
      <c r="E48" s="233" t="s">
        <v>566</v>
      </c>
      <c r="F48" s="184">
        <v>0</v>
      </c>
      <c r="G48" s="184"/>
      <c r="H48" s="184"/>
      <c r="I48" s="184"/>
      <c r="J48" s="181">
        <f t="shared" si="0"/>
        <v>0</v>
      </c>
      <c r="K48" s="612"/>
    </row>
    <row r="49" spans="1:11" ht="12.75" hidden="1">
      <c r="A49" s="185"/>
      <c r="B49" s="185"/>
      <c r="C49" s="183"/>
      <c r="D49" s="233" t="s">
        <v>152</v>
      </c>
      <c r="E49" s="233" t="s">
        <v>176</v>
      </c>
      <c r="F49" s="184">
        <f>100000</f>
        <v>100000</v>
      </c>
      <c r="G49" s="184">
        <v>0</v>
      </c>
      <c r="H49" s="184">
        <v>0</v>
      </c>
      <c r="I49" s="184">
        <v>0</v>
      </c>
      <c r="J49" s="181">
        <f t="shared" si="0"/>
        <v>100000</v>
      </c>
      <c r="K49" s="612"/>
    </row>
    <row r="50" spans="1:11" ht="12.75" hidden="1">
      <c r="A50" s="185"/>
      <c r="B50" s="185"/>
      <c r="C50" s="183"/>
      <c r="D50" s="233" t="s">
        <v>154</v>
      </c>
      <c r="E50" s="233" t="s">
        <v>177</v>
      </c>
      <c r="F50" s="184">
        <v>0</v>
      </c>
      <c r="G50" s="184">
        <v>0</v>
      </c>
      <c r="H50" s="184">
        <v>0</v>
      </c>
      <c r="I50" s="184">
        <v>0</v>
      </c>
      <c r="J50" s="181">
        <f t="shared" si="0"/>
        <v>0</v>
      </c>
      <c r="K50" s="612"/>
    </row>
    <row r="51" spans="1:11" ht="12.75" hidden="1">
      <c r="A51" s="185"/>
      <c r="B51" s="185"/>
      <c r="C51" s="183"/>
      <c r="D51" s="233" t="s">
        <v>156</v>
      </c>
      <c r="E51" s="233" t="s">
        <v>178</v>
      </c>
      <c r="F51" s="184">
        <v>0</v>
      </c>
      <c r="G51" s="184">
        <v>0</v>
      </c>
      <c r="H51" s="184">
        <v>0</v>
      </c>
      <c r="I51" s="184">
        <v>0</v>
      </c>
      <c r="J51" s="181">
        <f t="shared" si="0"/>
        <v>0</v>
      </c>
      <c r="K51" s="612"/>
    </row>
    <row r="52" spans="1:11" ht="12.75" hidden="1">
      <c r="A52" s="185"/>
      <c r="B52" s="185"/>
      <c r="C52" s="183"/>
      <c r="D52" s="233" t="s">
        <v>158</v>
      </c>
      <c r="E52" s="233" t="s">
        <v>179</v>
      </c>
      <c r="F52" s="184">
        <v>0</v>
      </c>
      <c r="G52" s="184">
        <v>0</v>
      </c>
      <c r="H52" s="184">
        <v>0</v>
      </c>
      <c r="I52" s="184">
        <v>0</v>
      </c>
      <c r="J52" s="181">
        <f t="shared" si="0"/>
        <v>0</v>
      </c>
      <c r="K52" s="612"/>
    </row>
    <row r="53" spans="1:11" ht="12.75" hidden="1">
      <c r="A53" s="182"/>
      <c r="B53" s="182"/>
      <c r="C53" s="183"/>
      <c r="D53" s="233" t="s">
        <v>160</v>
      </c>
      <c r="E53" s="233" t="s">
        <v>180</v>
      </c>
      <c r="F53" s="184">
        <f>16916206+43528000+9850000+2500000+32626000+18843000+37833000+1100000+3374212+13435298+6711326+25701000+11294000+3419000+5394000+8971000+5744000-782000-854000-8393000-50329-262038-267633-9876000-2249000-653000-1203000-2187000-868000-8000000-1200000+782000+854000-1607000-1500000</f>
        <v>208924042</v>
      </c>
      <c r="G53" s="184">
        <v>0</v>
      </c>
      <c r="H53" s="184">
        <v>0</v>
      </c>
      <c r="I53" s="184">
        <v>0</v>
      </c>
      <c r="J53" s="181">
        <f t="shared" si="0"/>
        <v>208924042</v>
      </c>
      <c r="K53" s="612"/>
    </row>
    <row r="54" spans="1:11" ht="12.75" hidden="1">
      <c r="A54" s="182"/>
      <c r="B54" s="182"/>
      <c r="C54" s="183"/>
      <c r="D54" s="233" t="s">
        <v>162</v>
      </c>
      <c r="E54" s="233" t="s">
        <v>181</v>
      </c>
      <c r="F54" s="184">
        <f>3224350+35026110</f>
        <v>38250460</v>
      </c>
      <c r="G54" s="184">
        <v>0</v>
      </c>
      <c r="H54" s="184">
        <v>0</v>
      </c>
      <c r="I54" s="184">
        <v>0</v>
      </c>
      <c r="J54" s="181">
        <f t="shared" si="0"/>
        <v>38250460</v>
      </c>
      <c r="K54" s="612"/>
    </row>
    <row r="55" spans="1:11" ht="12.75" hidden="1">
      <c r="A55" s="185"/>
      <c r="B55" s="185"/>
      <c r="C55" s="183"/>
      <c r="D55" s="233" t="s">
        <v>164</v>
      </c>
      <c r="E55" s="233" t="s">
        <v>183</v>
      </c>
      <c r="F55" s="184">
        <v>0</v>
      </c>
      <c r="G55" s="184">
        <v>0</v>
      </c>
      <c r="H55" s="184">
        <v>0</v>
      </c>
      <c r="I55" s="184">
        <v>0</v>
      </c>
      <c r="J55" s="181">
        <f t="shared" si="0"/>
        <v>0</v>
      </c>
      <c r="K55" s="612"/>
    </row>
    <row r="56" spans="1:11" ht="12.75" hidden="1">
      <c r="A56" s="185"/>
      <c r="B56" s="185"/>
      <c r="C56" s="183"/>
      <c r="D56" s="233" t="s">
        <v>166</v>
      </c>
      <c r="E56" s="233" t="s">
        <v>184</v>
      </c>
      <c r="F56" s="184">
        <v>0</v>
      </c>
      <c r="G56" s="184">
        <v>0</v>
      </c>
      <c r="H56" s="184">
        <v>0</v>
      </c>
      <c r="I56" s="184">
        <v>0</v>
      </c>
      <c r="J56" s="181">
        <f t="shared" si="0"/>
        <v>0</v>
      </c>
      <c r="K56" s="612"/>
    </row>
    <row r="57" spans="1:11" ht="12.75">
      <c r="A57" s="185"/>
      <c r="B57" s="185"/>
      <c r="C57" s="169" t="s">
        <v>570</v>
      </c>
      <c r="D57" s="824" t="s">
        <v>192</v>
      </c>
      <c r="E57" s="825"/>
      <c r="F57" s="170">
        <f>SUM(F58:F61)</f>
        <v>2550000</v>
      </c>
      <c r="G57" s="170">
        <f>SUM(G58:G61)</f>
        <v>0</v>
      </c>
      <c r="H57" s="170">
        <f>SUM(H58:H61)</f>
        <v>0</v>
      </c>
      <c r="I57" s="170">
        <f>SUM(I58:I61)</f>
        <v>0</v>
      </c>
      <c r="J57" s="181">
        <f t="shared" si="0"/>
        <v>2550000</v>
      </c>
      <c r="K57" s="612"/>
    </row>
    <row r="58" spans="1:11" ht="12.75">
      <c r="A58" s="182"/>
      <c r="B58" s="182"/>
      <c r="C58" s="186" t="s">
        <v>2</v>
      </c>
      <c r="D58" s="187"/>
      <c r="E58" s="188" t="s">
        <v>427</v>
      </c>
      <c r="F58" s="184">
        <v>1000000</v>
      </c>
      <c r="G58" s="184">
        <v>0</v>
      </c>
      <c r="H58" s="184">
        <v>0</v>
      </c>
      <c r="I58" s="184">
        <v>0</v>
      </c>
      <c r="J58" s="181">
        <f t="shared" si="0"/>
        <v>1000000</v>
      </c>
      <c r="K58" s="612"/>
    </row>
    <row r="59" spans="1:11" ht="12.75">
      <c r="A59" s="182"/>
      <c r="B59" s="182"/>
      <c r="C59" s="183"/>
      <c r="D59" s="187"/>
      <c r="E59" s="188" t="s">
        <v>459</v>
      </c>
      <c r="F59" s="184">
        <v>1000000</v>
      </c>
      <c r="G59" s="184">
        <v>0</v>
      </c>
      <c r="H59" s="184">
        <v>0</v>
      </c>
      <c r="I59" s="184">
        <v>0</v>
      </c>
      <c r="J59" s="181">
        <f t="shared" si="0"/>
        <v>1000000</v>
      </c>
      <c r="K59" s="612"/>
    </row>
    <row r="60" spans="1:11" ht="12.75">
      <c r="A60" s="182"/>
      <c r="B60" s="182"/>
      <c r="C60" s="183"/>
      <c r="D60" s="187"/>
      <c r="E60" s="188" t="s">
        <v>682</v>
      </c>
      <c r="F60" s="184">
        <v>350000</v>
      </c>
      <c r="G60" s="184">
        <v>0</v>
      </c>
      <c r="H60" s="184">
        <v>0</v>
      </c>
      <c r="I60" s="184">
        <v>0</v>
      </c>
      <c r="J60" s="181">
        <f t="shared" si="0"/>
        <v>350000</v>
      </c>
      <c r="K60" s="612"/>
    </row>
    <row r="61" spans="1:11" ht="22.5">
      <c r="A61" s="182"/>
      <c r="B61" s="182"/>
      <c r="C61" s="183"/>
      <c r="D61" s="187"/>
      <c r="E61" s="610" t="s">
        <v>861</v>
      </c>
      <c r="F61" s="750">
        <v>200000</v>
      </c>
      <c r="G61" s="750">
        <v>0</v>
      </c>
      <c r="H61" s="750">
        <v>0</v>
      </c>
      <c r="I61" s="750">
        <v>0</v>
      </c>
      <c r="J61" s="751">
        <f t="shared" si="0"/>
        <v>200000</v>
      </c>
      <c r="K61" s="612"/>
    </row>
    <row r="62" spans="1:11" ht="12" customHeight="1">
      <c r="A62" s="180" t="s">
        <v>120</v>
      </c>
      <c r="B62" s="830" t="s">
        <v>369</v>
      </c>
      <c r="C62" s="831"/>
      <c r="D62" s="831"/>
      <c r="E62" s="832"/>
      <c r="F62" s="167">
        <f>452341169+25000000+363120+101682090+187978206+1940000+973100+19510500+3348220+190500+730250+74930+2460790-20000000-1730500+1000000+74295+190500</f>
        <v>776127170</v>
      </c>
      <c r="G62" s="167">
        <v>1934590</v>
      </c>
      <c r="H62" s="167">
        <v>1174115</v>
      </c>
      <c r="I62" s="167">
        <f>304800-177800+800000</f>
        <v>927000</v>
      </c>
      <c r="J62" s="725">
        <f t="shared" si="0"/>
        <v>780162875</v>
      </c>
      <c r="K62" s="611"/>
    </row>
    <row r="63" spans="1:11" ht="12.75">
      <c r="A63" s="180" t="s">
        <v>122</v>
      </c>
      <c r="B63" s="830" t="s">
        <v>121</v>
      </c>
      <c r="C63" s="831"/>
      <c r="D63" s="831"/>
      <c r="E63" s="832"/>
      <c r="F63" s="167">
        <f>8794813+21830061+91442680+6759599+2794000+2000000+31599998+523290+863600</f>
        <v>166608041</v>
      </c>
      <c r="G63" s="167">
        <v>0</v>
      </c>
      <c r="H63" s="167">
        <v>508000</v>
      </c>
      <c r="I63" s="167">
        <v>578000</v>
      </c>
      <c r="J63" s="725">
        <f t="shared" si="0"/>
        <v>167694041</v>
      </c>
      <c r="K63" s="611"/>
    </row>
    <row r="64" spans="1:11" ht="12.75">
      <c r="A64" s="180" t="s">
        <v>124</v>
      </c>
      <c r="B64" s="830" t="s">
        <v>123</v>
      </c>
      <c r="C64" s="831"/>
      <c r="D64" s="831"/>
      <c r="E64" s="832"/>
      <c r="F64" s="167">
        <f>SUM(F73)</f>
        <v>5449520</v>
      </c>
      <c r="G64" s="167">
        <f>SUM(G73)</f>
        <v>0</v>
      </c>
      <c r="H64" s="167">
        <f>SUM(H73)</f>
        <v>0</v>
      </c>
      <c r="I64" s="167">
        <f>SUM(I73)</f>
        <v>0</v>
      </c>
      <c r="J64" s="725">
        <f t="shared" si="0"/>
        <v>5449520</v>
      </c>
      <c r="K64" s="611"/>
    </row>
    <row r="65" spans="1:11" ht="12.75" hidden="1">
      <c r="A65" s="163"/>
      <c r="B65" s="163" t="s">
        <v>194</v>
      </c>
      <c r="C65" s="829" t="s">
        <v>195</v>
      </c>
      <c r="D65" s="829"/>
      <c r="E65" s="829"/>
      <c r="F65" s="166">
        <v>0</v>
      </c>
      <c r="G65" s="166">
        <v>0</v>
      </c>
      <c r="H65" s="166">
        <v>0</v>
      </c>
      <c r="I65" s="166">
        <v>0</v>
      </c>
      <c r="J65" s="167">
        <f t="shared" si="0"/>
        <v>0</v>
      </c>
      <c r="K65" s="611"/>
    </row>
    <row r="66" spans="1:11" ht="12.75" hidden="1">
      <c r="A66" s="163"/>
      <c r="B66" s="163" t="s">
        <v>196</v>
      </c>
      <c r="C66" s="829" t="s">
        <v>197</v>
      </c>
      <c r="D66" s="829"/>
      <c r="E66" s="829"/>
      <c r="F66" s="166">
        <v>0</v>
      </c>
      <c r="G66" s="166">
        <v>0</v>
      </c>
      <c r="H66" s="166">
        <v>0</v>
      </c>
      <c r="I66" s="166">
        <v>0</v>
      </c>
      <c r="J66" s="167">
        <f t="shared" si="0"/>
        <v>0</v>
      </c>
      <c r="K66" s="611"/>
    </row>
    <row r="67" spans="1:11" ht="12.75" hidden="1">
      <c r="A67" s="163" t="s">
        <v>193</v>
      </c>
      <c r="B67" s="163" t="s">
        <v>198</v>
      </c>
      <c r="C67" s="829" t="s">
        <v>199</v>
      </c>
      <c r="D67" s="829"/>
      <c r="E67" s="829"/>
      <c r="F67" s="166">
        <v>0</v>
      </c>
      <c r="G67" s="166">
        <v>0</v>
      </c>
      <c r="H67" s="166">
        <v>0</v>
      </c>
      <c r="I67" s="166">
        <v>0</v>
      </c>
      <c r="J67" s="167">
        <f t="shared" si="0"/>
        <v>0</v>
      </c>
      <c r="K67" s="611"/>
    </row>
    <row r="68" spans="1:11" ht="12.75" hidden="1">
      <c r="A68" s="163"/>
      <c r="B68" s="163" t="s">
        <v>200</v>
      </c>
      <c r="C68" s="829" t="s">
        <v>201</v>
      </c>
      <c r="D68" s="829"/>
      <c r="E68" s="829"/>
      <c r="F68" s="166">
        <v>0</v>
      </c>
      <c r="G68" s="166">
        <v>0</v>
      </c>
      <c r="H68" s="166">
        <v>0</v>
      </c>
      <c r="I68" s="166">
        <v>0</v>
      </c>
      <c r="J68" s="167">
        <f t="shared" si="0"/>
        <v>0</v>
      </c>
      <c r="K68" s="611"/>
    </row>
    <row r="69" spans="1:11" ht="12.75" hidden="1">
      <c r="A69" s="163"/>
      <c r="B69" s="163" t="s">
        <v>202</v>
      </c>
      <c r="C69" s="829" t="s">
        <v>203</v>
      </c>
      <c r="D69" s="829"/>
      <c r="E69" s="829"/>
      <c r="F69" s="166">
        <v>0</v>
      </c>
      <c r="G69" s="166">
        <v>0</v>
      </c>
      <c r="H69" s="166">
        <v>0</v>
      </c>
      <c r="I69" s="166">
        <v>0</v>
      </c>
      <c r="J69" s="167">
        <f t="shared" si="0"/>
        <v>0</v>
      </c>
      <c r="K69" s="611"/>
    </row>
    <row r="70" spans="1:11" ht="12.75" hidden="1">
      <c r="A70" s="163"/>
      <c r="B70" s="163" t="s">
        <v>204</v>
      </c>
      <c r="C70" s="829" t="s">
        <v>205</v>
      </c>
      <c r="D70" s="829"/>
      <c r="E70" s="829"/>
      <c r="F70" s="166">
        <v>0</v>
      </c>
      <c r="G70" s="166">
        <v>0</v>
      </c>
      <c r="H70" s="166">
        <v>0</v>
      </c>
      <c r="I70" s="166">
        <v>0</v>
      </c>
      <c r="J70" s="167">
        <f t="shared" si="0"/>
        <v>0</v>
      </c>
      <c r="K70" s="611"/>
    </row>
    <row r="71" spans="1:11" ht="12.75" hidden="1">
      <c r="A71" s="163"/>
      <c r="B71" s="163" t="s">
        <v>206</v>
      </c>
      <c r="C71" s="829" t="s">
        <v>207</v>
      </c>
      <c r="D71" s="829"/>
      <c r="E71" s="829"/>
      <c r="F71" s="166">
        <v>0</v>
      </c>
      <c r="G71" s="166">
        <v>0</v>
      </c>
      <c r="H71" s="166">
        <v>0</v>
      </c>
      <c r="I71" s="166">
        <v>0</v>
      </c>
      <c r="J71" s="167">
        <f>SUM(F71:I71)</f>
        <v>0</v>
      </c>
      <c r="K71" s="611"/>
    </row>
    <row r="72" spans="1:11" ht="12.75" hidden="1">
      <c r="A72" s="163"/>
      <c r="B72" s="163" t="s">
        <v>208</v>
      </c>
      <c r="C72" s="829" t="s">
        <v>572</v>
      </c>
      <c r="D72" s="829"/>
      <c r="E72" s="829"/>
      <c r="F72" s="166">
        <v>0</v>
      </c>
      <c r="G72" s="166">
        <v>0</v>
      </c>
      <c r="H72" s="166">
        <v>0</v>
      </c>
      <c r="I72" s="166">
        <v>0</v>
      </c>
      <c r="J72" s="167">
        <f>SUM(F72:I72)</f>
        <v>0</v>
      </c>
      <c r="K72" s="611"/>
    </row>
    <row r="73" spans="1:11" ht="12.75">
      <c r="A73" s="163"/>
      <c r="B73" s="163" t="s">
        <v>571</v>
      </c>
      <c r="C73" s="829" t="s">
        <v>681</v>
      </c>
      <c r="D73" s="829"/>
      <c r="E73" s="829"/>
      <c r="F73" s="166">
        <f>449520+5000000</f>
        <v>5449520</v>
      </c>
      <c r="G73" s="166">
        <v>0</v>
      </c>
      <c r="H73" s="166">
        <v>0</v>
      </c>
      <c r="I73" s="166">
        <v>0</v>
      </c>
      <c r="J73" s="181">
        <f>SUM(F73:I73)</f>
        <v>5449520</v>
      </c>
      <c r="K73" s="611"/>
    </row>
    <row r="74" spans="1:11" ht="12.75">
      <c r="A74" s="180" t="s">
        <v>126</v>
      </c>
      <c r="B74" s="830" t="s">
        <v>125</v>
      </c>
      <c r="C74" s="831"/>
      <c r="D74" s="831"/>
      <c r="E74" s="832"/>
      <c r="F74" s="167">
        <v>19299537</v>
      </c>
      <c r="G74" s="167">
        <v>0</v>
      </c>
      <c r="H74" s="167">
        <v>0</v>
      </c>
      <c r="I74" s="167">
        <v>0</v>
      </c>
      <c r="J74" s="725">
        <f>SUM(F74:I74)</f>
        <v>19299537</v>
      </c>
      <c r="K74" s="611"/>
    </row>
    <row r="75" spans="1:10" ht="12.75">
      <c r="A75" s="189"/>
      <c r="B75" s="190"/>
      <c r="C75" s="190"/>
      <c r="D75" s="190"/>
      <c r="E75" s="190"/>
      <c r="F75" s="191"/>
      <c r="G75" s="752"/>
      <c r="H75" s="752"/>
      <c r="I75" s="752"/>
      <c r="J75" s="192"/>
    </row>
    <row r="76" spans="1:10" ht="15.75">
      <c r="A76" s="846" t="s">
        <v>209</v>
      </c>
      <c r="B76" s="847"/>
      <c r="C76" s="847"/>
      <c r="D76" s="847"/>
      <c r="E76" s="848"/>
      <c r="F76" s="193">
        <f>SUM(F7+F8+F9+F10+F23+F62+F63+F64+F74)</f>
        <v>1635087196</v>
      </c>
      <c r="G76" s="193">
        <f>SUM(G7+G8+G9+G10+G23+G62+G63+G64+G74)</f>
        <v>145679504</v>
      </c>
      <c r="H76" s="193">
        <f>SUM(H7+H8+H9+H10+H23+H62+H63+H64+H74)</f>
        <v>267708793</v>
      </c>
      <c r="I76" s="193">
        <f>SUM(I7+I8+I9+I10+I23+I62+I63+I64+I74)</f>
        <v>45560583</v>
      </c>
      <c r="J76" s="193">
        <f>SUM(J7+J8+J9+J10+J23+J62+J63+J64+J74)</f>
        <v>2094036076</v>
      </c>
    </row>
  </sheetData>
  <sheetProtection/>
  <mergeCells count="46">
    <mergeCell ref="C73:E73"/>
    <mergeCell ref="B74:E74"/>
    <mergeCell ref="A76:E76"/>
    <mergeCell ref="C67:E67"/>
    <mergeCell ref="C68:E68"/>
    <mergeCell ref="C69:E69"/>
    <mergeCell ref="C70:E70"/>
    <mergeCell ref="C71:E71"/>
    <mergeCell ref="C72:E72"/>
    <mergeCell ref="B64:E64"/>
    <mergeCell ref="C65:E65"/>
    <mergeCell ref="C66:E66"/>
    <mergeCell ref="B63:E63"/>
    <mergeCell ref="D46:E46"/>
    <mergeCell ref="D57:E57"/>
    <mergeCell ref="B62:E62"/>
    <mergeCell ref="D29:E29"/>
    <mergeCell ref="D40:E40"/>
    <mergeCell ref="D41:E41"/>
    <mergeCell ref="D42:E42"/>
    <mergeCell ref="D43:E43"/>
    <mergeCell ref="D44:E44"/>
    <mergeCell ref="D28:E28"/>
    <mergeCell ref="B10:E10"/>
    <mergeCell ref="B8:E8"/>
    <mergeCell ref="B9:E9"/>
    <mergeCell ref="D13:E13"/>
    <mergeCell ref="D14:E14"/>
    <mergeCell ref="C15:E15"/>
    <mergeCell ref="A1:J1"/>
    <mergeCell ref="A3:J3"/>
    <mergeCell ref="A5:E5"/>
    <mergeCell ref="B6:E6"/>
    <mergeCell ref="B7:E7"/>
    <mergeCell ref="C12:E12"/>
    <mergeCell ref="C11:E11"/>
    <mergeCell ref="D45:E45"/>
    <mergeCell ref="D21:E21"/>
    <mergeCell ref="D22:E22"/>
    <mergeCell ref="C16:E16"/>
    <mergeCell ref="C18:E18"/>
    <mergeCell ref="C19:E19"/>
    <mergeCell ref="C20:E20"/>
    <mergeCell ref="B23:E23"/>
    <mergeCell ref="D26:E26"/>
    <mergeCell ref="D27:E27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61"/>
  <sheetViews>
    <sheetView zoomScalePageLayoutView="0" workbookViewId="0" topLeftCell="C1">
      <selection activeCell="B2" sqref="B2:I2"/>
    </sheetView>
  </sheetViews>
  <sheetFormatPr defaultColWidth="9.00390625" defaultRowHeight="12.75"/>
  <cols>
    <col min="1" max="1" width="4.125" style="88" bestFit="1" customWidth="1"/>
    <col min="2" max="2" width="55.125" style="37" bestFit="1" customWidth="1"/>
    <col min="3" max="3" width="13.375" style="37" bestFit="1" customWidth="1"/>
    <col min="4" max="5" width="15.125" style="37" bestFit="1" customWidth="1"/>
    <col min="6" max="6" width="53.875" style="37" bestFit="1" customWidth="1"/>
    <col min="7" max="7" width="15.00390625" style="37" bestFit="1" customWidth="1"/>
    <col min="8" max="9" width="15.875" style="37" bestFit="1" customWidth="1"/>
    <col min="10" max="16384" width="9.125" style="37" customWidth="1"/>
  </cols>
  <sheetData>
    <row r="1" spans="6:10" ht="12.75" customHeight="1">
      <c r="F1" s="852" t="s">
        <v>1013</v>
      </c>
      <c r="G1" s="853"/>
      <c r="H1" s="853"/>
      <c r="I1" s="853"/>
      <c r="J1" s="81"/>
    </row>
    <row r="2" spans="2:9" ht="15.75">
      <c r="B2" s="854" t="s">
        <v>866</v>
      </c>
      <c r="C2" s="854"/>
      <c r="D2" s="854"/>
      <c r="E2" s="854"/>
      <c r="F2" s="854"/>
      <c r="G2" s="854"/>
      <c r="H2" s="854"/>
      <c r="I2" s="854"/>
    </row>
    <row r="3" ht="8.25" customHeight="1"/>
    <row r="4" spans="1:9" s="38" customFormat="1" ht="15" customHeight="1">
      <c r="A4" s="856" t="s">
        <v>434</v>
      </c>
      <c r="B4" s="855" t="s">
        <v>440</v>
      </c>
      <c r="C4" s="855"/>
      <c r="D4" s="855"/>
      <c r="E4" s="855"/>
      <c r="F4" s="855" t="s">
        <v>364</v>
      </c>
      <c r="G4" s="855"/>
      <c r="H4" s="855"/>
      <c r="I4" s="855"/>
    </row>
    <row r="5" spans="1:9" s="41" customFormat="1" ht="14.25">
      <c r="A5" s="856"/>
      <c r="B5" s="39" t="s">
        <v>363</v>
      </c>
      <c r="C5" s="40" t="s">
        <v>341</v>
      </c>
      <c r="D5" s="40" t="s">
        <v>340</v>
      </c>
      <c r="E5" s="40" t="s">
        <v>423</v>
      </c>
      <c r="F5" s="39" t="s">
        <v>363</v>
      </c>
      <c r="G5" s="40" t="s">
        <v>341</v>
      </c>
      <c r="H5" s="40" t="s">
        <v>340</v>
      </c>
      <c r="I5" s="40" t="s">
        <v>423</v>
      </c>
    </row>
    <row r="6" spans="1:9" s="87" customFormat="1" ht="12">
      <c r="A6" s="856"/>
      <c r="B6" s="86" t="s">
        <v>428</v>
      </c>
      <c r="C6" s="86" t="s">
        <v>429</v>
      </c>
      <c r="D6" s="86" t="s">
        <v>430</v>
      </c>
      <c r="E6" s="86" t="s">
        <v>431</v>
      </c>
      <c r="F6" s="86" t="s">
        <v>432</v>
      </c>
      <c r="G6" s="86" t="s">
        <v>433</v>
      </c>
      <c r="H6" s="86" t="s">
        <v>435</v>
      </c>
      <c r="I6" s="86" t="s">
        <v>436</v>
      </c>
    </row>
    <row r="7" spans="1:9" s="57" customFormat="1" ht="14.25">
      <c r="A7" s="86">
        <v>1</v>
      </c>
      <c r="B7" s="56" t="s">
        <v>512</v>
      </c>
      <c r="C7" s="74">
        <f>SUM(C8)</f>
        <v>990448596</v>
      </c>
      <c r="D7" s="74">
        <f>SUM(D32,D8)</f>
        <v>53439219</v>
      </c>
      <c r="E7" s="74">
        <f aca="true" t="shared" si="0" ref="E7:E30">SUM(C7:D7)</f>
        <v>1043887815</v>
      </c>
      <c r="F7" s="56" t="s">
        <v>513</v>
      </c>
      <c r="G7" s="74">
        <f>SUM(G8,G32)</f>
        <v>1121430103</v>
      </c>
      <c r="H7" s="74">
        <f>SUM(H8,H32)</f>
        <v>953306436</v>
      </c>
      <c r="I7" s="74">
        <f aca="true" t="shared" si="1" ref="I7:I18">SUM(G7:H7)</f>
        <v>2074736539</v>
      </c>
    </row>
    <row r="8" spans="1:9" s="66" customFormat="1" ht="12.75">
      <c r="A8" s="89">
        <v>2</v>
      </c>
      <c r="B8" s="63" t="s">
        <v>453</v>
      </c>
      <c r="C8" s="64">
        <f>SUM(C28+C18+C13+C9)</f>
        <v>990448596</v>
      </c>
      <c r="D8" s="64">
        <f>SUM(D28+D18+D13+D9)</f>
        <v>0</v>
      </c>
      <c r="E8" s="64">
        <f t="shared" si="0"/>
        <v>990448596</v>
      </c>
      <c r="F8" s="65" t="s">
        <v>456</v>
      </c>
      <c r="G8" s="64">
        <f>SUM(G9:G13)</f>
        <v>1121430103</v>
      </c>
      <c r="H8" s="64">
        <f>SUM(H9:H13)</f>
        <v>0</v>
      </c>
      <c r="I8" s="64">
        <f t="shared" si="1"/>
        <v>1121430103</v>
      </c>
    </row>
    <row r="9" spans="1:9" s="44" customFormat="1" ht="12.75">
      <c r="A9" s="89">
        <v>3</v>
      </c>
      <c r="B9" s="72" t="s">
        <v>15</v>
      </c>
      <c r="C9" s="53">
        <f>SUM(C10:C12)</f>
        <v>675582390</v>
      </c>
      <c r="D9" s="53">
        <v>0</v>
      </c>
      <c r="E9" s="53">
        <f t="shared" si="0"/>
        <v>675582390</v>
      </c>
      <c r="F9" s="73" t="s">
        <v>457</v>
      </c>
      <c r="G9" s="53">
        <f>426163725+33000+1350000+1125000+3215520+639450-330000-1461600+2756937+1035000-976500+1125000-1245375-775591+23197320+11080125+6600+103400+216700</f>
        <v>467258711</v>
      </c>
      <c r="H9" s="53">
        <v>0</v>
      </c>
      <c r="I9" s="53">
        <f t="shared" si="1"/>
        <v>467258711</v>
      </c>
    </row>
    <row r="10" spans="1:9" s="44" customFormat="1" ht="12.75">
      <c r="A10" s="86">
        <v>4</v>
      </c>
      <c r="B10" s="50" t="s">
        <v>16</v>
      </c>
      <c r="C10" s="55">
        <f>482488434+22486700+418000+383873+10959511</f>
        <v>516736518</v>
      </c>
      <c r="D10" s="55">
        <v>0</v>
      </c>
      <c r="E10" s="55">
        <f t="shared" si="0"/>
        <v>516736518</v>
      </c>
      <c r="F10" s="73" t="s">
        <v>695</v>
      </c>
      <c r="G10" s="53">
        <f>81276070+5197+236250+196875+562716+111904-57750-255780+482464+181125-170887+196875-217940-377745+2029806+969525+1155+18095+37923</f>
        <v>85225878</v>
      </c>
      <c r="H10" s="53">
        <v>0</v>
      </c>
      <c r="I10" s="53">
        <f t="shared" si="1"/>
        <v>85225878</v>
      </c>
    </row>
    <row r="11" spans="1:9" s="44" customFormat="1" ht="12.75">
      <c r="A11" s="89">
        <v>5</v>
      </c>
      <c r="B11" s="50" t="s">
        <v>693</v>
      </c>
      <c r="C11" s="55">
        <v>0</v>
      </c>
      <c r="D11" s="55">
        <v>0</v>
      </c>
      <c r="E11" s="55">
        <f t="shared" si="0"/>
        <v>0</v>
      </c>
      <c r="F11" s="73" t="s">
        <v>38</v>
      </c>
      <c r="G11" s="53">
        <f>418929171-54000-254000+500000-781083+2114762-317500+144779-2575544+1500000+1310301+4441343-800000</f>
        <v>424158229</v>
      </c>
      <c r="H11" s="53">
        <v>0</v>
      </c>
      <c r="I11" s="53">
        <f t="shared" si="1"/>
        <v>424158229</v>
      </c>
    </row>
    <row r="12" spans="1:9" s="44" customFormat="1" ht="12.75">
      <c r="A12" s="89">
        <v>6</v>
      </c>
      <c r="B12" s="50" t="s">
        <v>17</v>
      </c>
      <c r="C12" s="55">
        <f>110463289+5354163+26537427+16490993</f>
        <v>158845872</v>
      </c>
      <c r="D12" s="55">
        <v>0</v>
      </c>
      <c r="E12" s="55">
        <f t="shared" si="0"/>
        <v>158845872</v>
      </c>
      <c r="F12" s="73" t="s">
        <v>39</v>
      </c>
      <c r="G12" s="53">
        <v>3804900</v>
      </c>
      <c r="H12" s="53">
        <v>0</v>
      </c>
      <c r="I12" s="53">
        <f t="shared" si="1"/>
        <v>3804900</v>
      </c>
    </row>
    <row r="13" spans="1:9" s="44" customFormat="1" ht="12.75">
      <c r="A13" s="86">
        <v>7</v>
      </c>
      <c r="B13" s="72" t="s">
        <v>21</v>
      </c>
      <c r="C13" s="53">
        <f>SUM(C14:C17)</f>
        <v>261700000</v>
      </c>
      <c r="D13" s="53">
        <f>SUM(D14:D17)</f>
        <v>0</v>
      </c>
      <c r="E13" s="53">
        <f t="shared" si="0"/>
        <v>261700000</v>
      </c>
      <c r="F13" s="76" t="s">
        <v>40</v>
      </c>
      <c r="G13" s="53">
        <f>SUM(G14:G18)</f>
        <v>140982385</v>
      </c>
      <c r="H13" s="53">
        <f>SUM(H14:H18)</f>
        <v>0</v>
      </c>
      <c r="I13" s="53">
        <f t="shared" si="1"/>
        <v>140982385</v>
      </c>
    </row>
    <row r="14" spans="1:9" s="45" customFormat="1" ht="12.75">
      <c r="A14" s="89">
        <v>8</v>
      </c>
      <c r="B14" s="50" t="s">
        <v>110</v>
      </c>
      <c r="C14" s="55">
        <v>239000000</v>
      </c>
      <c r="D14" s="55">
        <v>0</v>
      </c>
      <c r="E14" s="55">
        <f t="shared" si="0"/>
        <v>239000000</v>
      </c>
      <c r="F14" s="52" t="s">
        <v>758</v>
      </c>
      <c r="G14" s="55">
        <v>0</v>
      </c>
      <c r="H14" s="55">
        <v>0</v>
      </c>
      <c r="I14" s="55">
        <f t="shared" si="1"/>
        <v>0</v>
      </c>
    </row>
    <row r="15" spans="1:9" s="45" customFormat="1" ht="12.75">
      <c r="A15" s="89"/>
      <c r="B15" s="51" t="s">
        <v>781</v>
      </c>
      <c r="C15" s="55">
        <v>50000</v>
      </c>
      <c r="D15" s="55">
        <v>0</v>
      </c>
      <c r="E15" s="55">
        <f t="shared" si="0"/>
        <v>50000</v>
      </c>
      <c r="F15" s="52" t="s">
        <v>694</v>
      </c>
      <c r="G15" s="55">
        <v>0</v>
      </c>
      <c r="H15" s="55">
        <v>0</v>
      </c>
      <c r="I15" s="55">
        <f t="shared" si="1"/>
        <v>0</v>
      </c>
    </row>
    <row r="16" spans="1:9" s="45" customFormat="1" ht="12.75">
      <c r="A16" s="89">
        <v>9</v>
      </c>
      <c r="B16" s="51" t="s">
        <v>782</v>
      </c>
      <c r="C16" s="55">
        <v>22000000</v>
      </c>
      <c r="D16" s="55">
        <v>0</v>
      </c>
      <c r="E16" s="55">
        <f t="shared" si="0"/>
        <v>22000000</v>
      </c>
      <c r="F16" s="52" t="s">
        <v>802</v>
      </c>
      <c r="G16" s="55">
        <v>115000</v>
      </c>
      <c r="H16" s="55">
        <v>0</v>
      </c>
      <c r="I16" s="55">
        <f t="shared" si="1"/>
        <v>115000</v>
      </c>
    </row>
    <row r="17" spans="1:9" s="45" customFormat="1" ht="12.75">
      <c r="A17" s="86">
        <v>10</v>
      </c>
      <c r="B17" s="50" t="s">
        <v>783</v>
      </c>
      <c r="C17" s="55">
        <v>650000</v>
      </c>
      <c r="D17" s="55">
        <v>0</v>
      </c>
      <c r="E17" s="55">
        <f t="shared" si="0"/>
        <v>650000</v>
      </c>
      <c r="F17" s="52" t="s">
        <v>803</v>
      </c>
      <c r="G17" s="55">
        <f>154254385-70000-4779000-1444000-6364000-3280000</f>
        <v>138317385</v>
      </c>
      <c r="H17" s="55">
        <v>0</v>
      </c>
      <c r="I17" s="55">
        <f t="shared" si="1"/>
        <v>138317385</v>
      </c>
    </row>
    <row r="18" spans="1:9" s="45" customFormat="1" ht="12.75">
      <c r="A18" s="89">
        <v>11</v>
      </c>
      <c r="B18" s="72" t="s">
        <v>22</v>
      </c>
      <c r="C18" s="53">
        <f>SUM(C19:C27)</f>
        <v>53166206</v>
      </c>
      <c r="D18" s="53">
        <f>SUM(D19:D27)</f>
        <v>0</v>
      </c>
      <c r="E18" s="53">
        <f t="shared" si="0"/>
        <v>53166206</v>
      </c>
      <c r="F18" s="52" t="s">
        <v>804</v>
      </c>
      <c r="G18" s="55">
        <f>26199000-23849000+200000</f>
        <v>2550000</v>
      </c>
      <c r="H18" s="55">
        <v>0</v>
      </c>
      <c r="I18" s="55">
        <f t="shared" si="1"/>
        <v>2550000</v>
      </c>
    </row>
    <row r="19" spans="1:9" s="44" customFormat="1" ht="12.75">
      <c r="A19" s="89">
        <v>12</v>
      </c>
      <c r="B19" s="50" t="s">
        <v>573</v>
      </c>
      <c r="C19" s="55">
        <v>9500000</v>
      </c>
      <c r="D19" s="55">
        <v>0</v>
      </c>
      <c r="E19" s="55">
        <f t="shared" si="0"/>
        <v>9500000</v>
      </c>
      <c r="F19" s="76"/>
      <c r="G19" s="53"/>
      <c r="H19" s="53"/>
      <c r="I19" s="53"/>
    </row>
    <row r="20" spans="1:9" s="44" customFormat="1" ht="12.75">
      <c r="A20" s="86">
        <v>13</v>
      </c>
      <c r="B20" s="50" t="s">
        <v>23</v>
      </c>
      <c r="C20" s="55">
        <f>21002978+536221</f>
        <v>21539199</v>
      </c>
      <c r="D20" s="55">
        <v>0</v>
      </c>
      <c r="E20" s="55">
        <f t="shared" si="0"/>
        <v>21539199</v>
      </c>
      <c r="F20" s="52"/>
      <c r="G20" s="55"/>
      <c r="H20" s="55"/>
      <c r="I20" s="55"/>
    </row>
    <row r="21" spans="1:9" s="44" customFormat="1" ht="12.75">
      <c r="A21" s="89">
        <v>14</v>
      </c>
      <c r="B21" s="50" t="s">
        <v>24</v>
      </c>
      <c r="C21" s="55">
        <v>7687837</v>
      </c>
      <c r="D21" s="55">
        <v>0</v>
      </c>
      <c r="E21" s="55">
        <f t="shared" si="0"/>
        <v>7687837</v>
      </c>
      <c r="F21" s="52"/>
      <c r="G21" s="55"/>
      <c r="H21" s="55"/>
      <c r="I21" s="55"/>
    </row>
    <row r="22" spans="1:9" s="44" customFormat="1" ht="12.75">
      <c r="A22" s="89">
        <v>15</v>
      </c>
      <c r="B22" s="50" t="s">
        <v>529</v>
      </c>
      <c r="C22" s="55">
        <v>746000</v>
      </c>
      <c r="D22" s="55">
        <v>0</v>
      </c>
      <c r="E22" s="55">
        <f t="shared" si="0"/>
        <v>746000</v>
      </c>
      <c r="F22" s="52"/>
      <c r="G22" s="55"/>
      <c r="H22" s="55"/>
      <c r="I22" s="55"/>
    </row>
    <row r="23" spans="1:9" s="44" customFormat="1" ht="12.75">
      <c r="A23" s="86">
        <v>16</v>
      </c>
      <c r="B23" s="50" t="s">
        <v>25</v>
      </c>
      <c r="C23" s="55">
        <v>7036704</v>
      </c>
      <c r="D23" s="55">
        <v>0</v>
      </c>
      <c r="E23" s="55">
        <f t="shared" si="0"/>
        <v>7036704</v>
      </c>
      <c r="F23" s="52"/>
      <c r="G23" s="55"/>
      <c r="H23" s="55"/>
      <c r="I23" s="55"/>
    </row>
    <row r="24" spans="1:9" s="44" customFormat="1" ht="12.75">
      <c r="A24" s="89">
        <v>17</v>
      </c>
      <c r="B24" s="50" t="s">
        <v>26</v>
      </c>
      <c r="C24" s="55">
        <f>6431187+144779</f>
        <v>6575966</v>
      </c>
      <c r="D24" s="55">
        <v>0</v>
      </c>
      <c r="E24" s="55">
        <f t="shared" si="0"/>
        <v>6575966</v>
      </c>
      <c r="F24" s="43"/>
      <c r="G24" s="55"/>
      <c r="H24" s="54"/>
      <c r="I24" s="54"/>
    </row>
    <row r="25" spans="1:9" s="44" customFormat="1" ht="12.75">
      <c r="A25" s="89">
        <v>18</v>
      </c>
      <c r="B25" s="50" t="s">
        <v>302</v>
      </c>
      <c r="C25" s="55">
        <v>0</v>
      </c>
      <c r="D25" s="55">
        <v>0</v>
      </c>
      <c r="E25" s="55">
        <f t="shared" si="0"/>
        <v>0</v>
      </c>
      <c r="F25" s="43"/>
      <c r="G25" s="55"/>
      <c r="H25" s="54"/>
      <c r="I25" s="54"/>
    </row>
    <row r="26" spans="1:9" s="44" customFormat="1" ht="12.75">
      <c r="A26" s="89">
        <v>19</v>
      </c>
      <c r="B26" s="50" t="s">
        <v>714</v>
      </c>
      <c r="C26" s="55">
        <v>500</v>
      </c>
      <c r="D26" s="55">
        <v>0</v>
      </c>
      <c r="E26" s="55">
        <f t="shared" si="0"/>
        <v>500</v>
      </c>
      <c r="F26" s="43"/>
      <c r="G26" s="55"/>
      <c r="H26" s="54"/>
      <c r="I26" s="54"/>
    </row>
    <row r="27" spans="1:9" s="42" customFormat="1" ht="12.75">
      <c r="A27" s="86">
        <v>20</v>
      </c>
      <c r="B27" s="50" t="s">
        <v>715</v>
      </c>
      <c r="C27" s="55">
        <f>11039511-10959511</f>
        <v>80000</v>
      </c>
      <c r="D27" s="55">
        <v>0</v>
      </c>
      <c r="E27" s="55">
        <f t="shared" si="0"/>
        <v>80000</v>
      </c>
      <c r="F27" s="43"/>
      <c r="G27" s="54"/>
      <c r="H27" s="54"/>
      <c r="I27" s="54"/>
    </row>
    <row r="28" spans="1:9" s="42" customFormat="1" ht="12.75">
      <c r="A28" s="89">
        <v>21</v>
      </c>
      <c r="B28" s="72" t="s">
        <v>32</v>
      </c>
      <c r="C28" s="53">
        <f>SUM(C29:C30)</f>
        <v>0</v>
      </c>
      <c r="D28" s="53">
        <v>0</v>
      </c>
      <c r="E28" s="53">
        <f t="shared" si="0"/>
        <v>0</v>
      </c>
      <c r="F28" s="43"/>
      <c r="G28" s="54"/>
      <c r="H28" s="54"/>
      <c r="I28" s="54"/>
    </row>
    <row r="29" spans="1:9" s="42" customFormat="1" ht="12.75">
      <c r="A29" s="89">
        <v>22</v>
      </c>
      <c r="B29" s="50" t="s">
        <v>33</v>
      </c>
      <c r="C29" s="55">
        <v>0</v>
      </c>
      <c r="D29" s="55">
        <v>0</v>
      </c>
      <c r="E29" s="55">
        <f t="shared" si="0"/>
        <v>0</v>
      </c>
      <c r="F29" s="43"/>
      <c r="G29" s="54"/>
      <c r="H29" s="54"/>
      <c r="I29" s="54"/>
    </row>
    <row r="30" spans="1:9" s="42" customFormat="1" ht="12.75">
      <c r="A30" s="86">
        <v>23</v>
      </c>
      <c r="B30" s="50" t="s">
        <v>34</v>
      </c>
      <c r="C30" s="55">
        <v>0</v>
      </c>
      <c r="D30" s="55">
        <v>0</v>
      </c>
      <c r="E30" s="55">
        <f t="shared" si="0"/>
        <v>0</v>
      </c>
      <c r="F30" s="43"/>
      <c r="G30" s="54"/>
      <c r="H30" s="54"/>
      <c r="I30" s="54"/>
    </row>
    <row r="31" spans="1:9" s="42" customFormat="1" ht="12.75">
      <c r="A31" s="89">
        <v>24</v>
      </c>
      <c r="B31" s="50"/>
      <c r="C31" s="55"/>
      <c r="D31" s="55"/>
      <c r="E31" s="55"/>
      <c r="F31" s="43"/>
      <c r="G31" s="54"/>
      <c r="H31" s="54"/>
      <c r="I31" s="54"/>
    </row>
    <row r="32" spans="1:9" s="66" customFormat="1" ht="12.75">
      <c r="A32" s="89">
        <v>25</v>
      </c>
      <c r="B32" s="67" t="s">
        <v>455</v>
      </c>
      <c r="C32" s="64">
        <f>SUM(C41+C36+C33)</f>
        <v>0</v>
      </c>
      <c r="D32" s="64">
        <f>SUM(D41+D36+D33)</f>
        <v>53439219</v>
      </c>
      <c r="E32" s="64">
        <f>SUM(D32:D32)</f>
        <v>53439219</v>
      </c>
      <c r="F32" s="65" t="s">
        <v>336</v>
      </c>
      <c r="G32" s="64">
        <f>SUM(G33:G35)</f>
        <v>0</v>
      </c>
      <c r="H32" s="64">
        <f>SUM(H33:H35)</f>
        <v>953306436</v>
      </c>
      <c r="I32" s="64">
        <f aca="true" t="shared" si="2" ref="I32:I40">SUM(G32:H32)</f>
        <v>953306436</v>
      </c>
    </row>
    <row r="33" spans="1:9" s="42" customFormat="1" ht="12.75">
      <c r="A33" s="86">
        <v>26</v>
      </c>
      <c r="B33" s="72" t="s">
        <v>18</v>
      </c>
      <c r="C33" s="53">
        <f>SUM(C34:C35)</f>
        <v>0</v>
      </c>
      <c r="D33" s="53">
        <f>SUM(D34:D35)</f>
        <v>6264795</v>
      </c>
      <c r="E33" s="53">
        <f>SUM(D33:D33)</f>
        <v>6264795</v>
      </c>
      <c r="F33" s="73" t="s">
        <v>41</v>
      </c>
      <c r="G33" s="53">
        <v>0</v>
      </c>
      <c r="H33" s="53">
        <f>800006380-20000000-1730500-177800+1000000+74295+190500+800000</f>
        <v>780162875</v>
      </c>
      <c r="I33" s="53">
        <f t="shared" si="2"/>
        <v>780162875</v>
      </c>
    </row>
    <row r="34" spans="1:9" s="42" customFormat="1" ht="12.75">
      <c r="A34" s="89">
        <v>27</v>
      </c>
      <c r="B34" s="50" t="s">
        <v>19</v>
      </c>
      <c r="C34" s="55">
        <v>0</v>
      </c>
      <c r="D34" s="55">
        <v>0</v>
      </c>
      <c r="E34" s="55">
        <f aca="true" t="shared" si="3" ref="E34:E43">SUM(D34:D34)</f>
        <v>0</v>
      </c>
      <c r="F34" s="73" t="s">
        <v>42</v>
      </c>
      <c r="G34" s="53">
        <v>0</v>
      </c>
      <c r="H34" s="53">
        <f>166252441+863600+578000</f>
        <v>167694041</v>
      </c>
      <c r="I34" s="53">
        <f t="shared" si="2"/>
        <v>167694041</v>
      </c>
    </row>
    <row r="35" spans="1:9" s="42" customFormat="1" ht="12.75">
      <c r="A35" s="89">
        <v>28</v>
      </c>
      <c r="B35" s="50" t="s">
        <v>20</v>
      </c>
      <c r="C35" s="55">
        <v>0</v>
      </c>
      <c r="D35" s="55">
        <f>6000000+74295+190500</f>
        <v>6264795</v>
      </c>
      <c r="E35" s="55">
        <f t="shared" si="3"/>
        <v>6264795</v>
      </c>
      <c r="F35" s="73" t="s">
        <v>43</v>
      </c>
      <c r="G35" s="53">
        <f>SUM(G36:G40)</f>
        <v>0</v>
      </c>
      <c r="H35" s="53">
        <v>5449520</v>
      </c>
      <c r="I35" s="53">
        <f t="shared" si="2"/>
        <v>5449520</v>
      </c>
    </row>
    <row r="36" spans="1:9" s="42" customFormat="1" ht="12.75">
      <c r="A36" s="86">
        <v>29</v>
      </c>
      <c r="B36" s="72" t="s">
        <v>27</v>
      </c>
      <c r="C36" s="53">
        <f>SUM(C37:C40)</f>
        <v>0</v>
      </c>
      <c r="D36" s="53">
        <f>SUM(D37:D40)</f>
        <v>46906964</v>
      </c>
      <c r="E36" s="53">
        <f t="shared" si="3"/>
        <v>46906964</v>
      </c>
      <c r="F36" s="52" t="s">
        <v>44</v>
      </c>
      <c r="G36" s="55">
        <v>0</v>
      </c>
      <c r="H36" s="55">
        <v>0</v>
      </c>
      <c r="I36" s="55">
        <f t="shared" si="2"/>
        <v>0</v>
      </c>
    </row>
    <row r="37" spans="1:9" s="42" customFormat="1" ht="12.75">
      <c r="A37" s="89">
        <v>30</v>
      </c>
      <c r="B37" s="50" t="s">
        <v>28</v>
      </c>
      <c r="C37" s="55">
        <v>0</v>
      </c>
      <c r="D37" s="55">
        <v>0</v>
      </c>
      <c r="E37" s="55">
        <f t="shared" si="3"/>
        <v>0</v>
      </c>
      <c r="F37" s="52" t="s">
        <v>45</v>
      </c>
      <c r="G37" s="55">
        <v>0</v>
      </c>
      <c r="H37" s="55">
        <v>0</v>
      </c>
      <c r="I37" s="55">
        <f t="shared" si="2"/>
        <v>0</v>
      </c>
    </row>
    <row r="38" spans="1:9" s="44" customFormat="1" ht="12.75">
      <c r="A38" s="89">
        <v>31</v>
      </c>
      <c r="B38" s="50" t="s">
        <v>29</v>
      </c>
      <c r="C38" s="55">
        <f>SUM(C39:C40)</f>
        <v>0</v>
      </c>
      <c r="D38" s="55">
        <f>44406964+1500000+1000000</f>
        <v>46906964</v>
      </c>
      <c r="E38" s="55">
        <f t="shared" si="3"/>
        <v>46906964</v>
      </c>
      <c r="F38" s="52" t="s">
        <v>46</v>
      </c>
      <c r="G38" s="55">
        <v>0</v>
      </c>
      <c r="H38" s="55">
        <v>0</v>
      </c>
      <c r="I38" s="55">
        <f t="shared" si="2"/>
        <v>0</v>
      </c>
    </row>
    <row r="39" spans="1:9" s="44" customFormat="1" ht="12.75">
      <c r="A39" s="86">
        <v>32</v>
      </c>
      <c r="B39" s="50" t="s">
        <v>30</v>
      </c>
      <c r="C39" s="55">
        <v>0</v>
      </c>
      <c r="D39" s="55">
        <v>0</v>
      </c>
      <c r="E39" s="55">
        <f t="shared" si="3"/>
        <v>0</v>
      </c>
      <c r="F39" s="52" t="s">
        <v>47</v>
      </c>
      <c r="G39" s="55">
        <v>0</v>
      </c>
      <c r="H39" s="55">
        <v>0</v>
      </c>
      <c r="I39" s="55">
        <f t="shared" si="2"/>
        <v>0</v>
      </c>
    </row>
    <row r="40" spans="1:9" s="46" customFormat="1" ht="13.5">
      <c r="A40" s="89">
        <v>33</v>
      </c>
      <c r="B40" s="50" t="s">
        <v>31</v>
      </c>
      <c r="C40" s="55">
        <v>0</v>
      </c>
      <c r="D40" s="55">
        <v>0</v>
      </c>
      <c r="E40" s="55">
        <f t="shared" si="3"/>
        <v>0</v>
      </c>
      <c r="F40" s="52" t="s">
        <v>48</v>
      </c>
      <c r="G40" s="55">
        <v>0</v>
      </c>
      <c r="H40" s="55">
        <v>5449520</v>
      </c>
      <c r="I40" s="55">
        <f t="shared" si="2"/>
        <v>5449520</v>
      </c>
    </row>
    <row r="41" spans="1:9" s="46" customFormat="1" ht="13.5">
      <c r="A41" s="89">
        <v>34</v>
      </c>
      <c r="B41" s="72" t="s">
        <v>35</v>
      </c>
      <c r="C41" s="53">
        <f>SUM(C42:C43)</f>
        <v>0</v>
      </c>
      <c r="D41" s="53">
        <f>SUM(D42:D43)</f>
        <v>267460</v>
      </c>
      <c r="E41" s="53">
        <f t="shared" si="3"/>
        <v>267460</v>
      </c>
      <c r="F41" s="52"/>
      <c r="G41" s="55"/>
      <c r="H41" s="55"/>
      <c r="I41" s="55"/>
    </row>
    <row r="42" spans="1:9" s="46" customFormat="1" ht="13.5">
      <c r="A42" s="86">
        <v>35</v>
      </c>
      <c r="B42" s="50" t="s">
        <v>686</v>
      </c>
      <c r="C42" s="55">
        <v>0</v>
      </c>
      <c r="D42" s="55">
        <v>0</v>
      </c>
      <c r="E42" s="55">
        <f t="shared" si="3"/>
        <v>0</v>
      </c>
      <c r="F42" s="47"/>
      <c r="G42" s="55"/>
      <c r="H42" s="55"/>
      <c r="I42" s="55"/>
    </row>
    <row r="43" spans="1:9" s="46" customFormat="1" ht="13.5">
      <c r="A43" s="89">
        <v>36</v>
      </c>
      <c r="B43" s="50" t="s">
        <v>685</v>
      </c>
      <c r="C43" s="55">
        <v>0</v>
      </c>
      <c r="D43" s="55">
        <v>267460</v>
      </c>
      <c r="E43" s="55">
        <f t="shared" si="3"/>
        <v>267460</v>
      </c>
      <c r="F43" s="47"/>
      <c r="G43" s="55"/>
      <c r="H43" s="55"/>
      <c r="I43" s="55"/>
    </row>
    <row r="44" spans="1:9" s="48" customFormat="1" ht="6" customHeight="1">
      <c r="A44" s="857"/>
      <c r="B44" s="858"/>
      <c r="C44" s="858"/>
      <c r="D44" s="858"/>
      <c r="E44" s="858"/>
      <c r="F44" s="858"/>
      <c r="G44" s="858"/>
      <c r="H44" s="858"/>
      <c r="I44" s="859"/>
    </row>
    <row r="45" spans="1:9" s="48" customFormat="1" ht="15">
      <c r="A45" s="89">
        <v>37</v>
      </c>
      <c r="B45" s="860" t="s">
        <v>514</v>
      </c>
      <c r="C45" s="861"/>
      <c r="D45" s="861"/>
      <c r="E45" s="861"/>
      <c r="F45" s="861"/>
      <c r="G45" s="130">
        <f>C7-G7</f>
        <v>-130981507</v>
      </c>
      <c r="H45" s="130">
        <f>D7-H7</f>
        <v>-899867217</v>
      </c>
      <c r="I45" s="130">
        <f>SUM(G45:H45)</f>
        <v>-1030848724</v>
      </c>
    </row>
    <row r="46" spans="1:9" s="48" customFormat="1" ht="6" customHeight="1">
      <c r="A46" s="849"/>
      <c r="B46" s="850"/>
      <c r="C46" s="850"/>
      <c r="D46" s="850"/>
      <c r="E46" s="850"/>
      <c r="F46" s="850"/>
      <c r="G46" s="850"/>
      <c r="H46" s="850"/>
      <c r="I46" s="851"/>
    </row>
    <row r="47" spans="1:9" s="60" customFormat="1" ht="28.5">
      <c r="A47" s="89">
        <v>38</v>
      </c>
      <c r="B47" s="56" t="s">
        <v>337</v>
      </c>
      <c r="C47" s="58">
        <f>SUM(C48)</f>
        <v>153530385</v>
      </c>
      <c r="D47" s="58">
        <f>SUM(D48)</f>
        <v>896617876</v>
      </c>
      <c r="E47" s="58">
        <f aca="true" t="shared" si="4" ref="E47:E54">SUM(C47:D47)</f>
        <v>1050148261</v>
      </c>
      <c r="F47" s="59"/>
      <c r="G47" s="58"/>
      <c r="H47" s="58"/>
      <c r="I47" s="58"/>
    </row>
    <row r="48" spans="1:9" s="69" customFormat="1" ht="13.5">
      <c r="A48" s="86">
        <v>39</v>
      </c>
      <c r="B48" s="70" t="s">
        <v>687</v>
      </c>
      <c r="C48" s="64">
        <f>152741175+789210</f>
        <v>153530385</v>
      </c>
      <c r="D48" s="64">
        <f>896617876</f>
        <v>896617876</v>
      </c>
      <c r="E48" s="64">
        <f t="shared" si="4"/>
        <v>1050148261</v>
      </c>
      <c r="F48" s="65"/>
      <c r="G48" s="64"/>
      <c r="H48" s="64"/>
      <c r="I48" s="64"/>
    </row>
    <row r="49" spans="1:9" s="69" customFormat="1" ht="13.5">
      <c r="A49" s="86">
        <v>40</v>
      </c>
      <c r="B49" s="70" t="s">
        <v>688</v>
      </c>
      <c r="C49" s="64">
        <v>0</v>
      </c>
      <c r="D49" s="64">
        <v>0</v>
      </c>
      <c r="E49" s="64">
        <f>SUM(C49:D49)</f>
        <v>0</v>
      </c>
      <c r="F49" s="65"/>
      <c r="G49" s="64"/>
      <c r="H49" s="64"/>
      <c r="I49" s="64"/>
    </row>
    <row r="50" spans="1:9" s="60" customFormat="1" ht="28.5">
      <c r="A50" s="89">
        <v>41</v>
      </c>
      <c r="B50" s="56" t="s">
        <v>338</v>
      </c>
      <c r="C50" s="758">
        <f>SUM(C51:C53)</f>
        <v>0</v>
      </c>
      <c r="D50" s="758">
        <f>SUM(D51:D53)</f>
        <v>0</v>
      </c>
      <c r="E50" s="758">
        <f t="shared" si="4"/>
        <v>0</v>
      </c>
      <c r="F50" s="759" t="s">
        <v>339</v>
      </c>
      <c r="G50" s="758">
        <f>SUM(G51:G53)</f>
        <v>19299537</v>
      </c>
      <c r="H50" s="758">
        <f>SUM(H51:H53)</f>
        <v>0</v>
      </c>
      <c r="I50" s="758">
        <f>SUM(G50:H50)</f>
        <v>19299537</v>
      </c>
    </row>
    <row r="51" spans="1:9" s="69" customFormat="1" ht="13.5">
      <c r="A51" s="89">
        <v>42</v>
      </c>
      <c r="B51" s="68" t="s">
        <v>689</v>
      </c>
      <c r="C51" s="64">
        <v>0</v>
      </c>
      <c r="D51" s="64">
        <v>0</v>
      </c>
      <c r="E51" s="64">
        <f t="shared" si="4"/>
        <v>0</v>
      </c>
      <c r="F51" s="65" t="s">
        <v>691</v>
      </c>
      <c r="G51" s="64">
        <v>0</v>
      </c>
      <c r="H51" s="64">
        <v>0</v>
      </c>
      <c r="I51" s="64">
        <f>SUM(G51:H51)</f>
        <v>0</v>
      </c>
    </row>
    <row r="52" spans="1:9" s="71" customFormat="1" ht="12.75">
      <c r="A52" s="89">
        <v>43</v>
      </c>
      <c r="B52" s="68" t="s">
        <v>690</v>
      </c>
      <c r="C52" s="64">
        <v>0</v>
      </c>
      <c r="D52" s="64">
        <v>0</v>
      </c>
      <c r="E52" s="64">
        <f>SUM(C52:D52)</f>
        <v>0</v>
      </c>
      <c r="F52" s="65" t="s">
        <v>692</v>
      </c>
      <c r="G52" s="64">
        <v>0</v>
      </c>
      <c r="H52" s="64">
        <v>0</v>
      </c>
      <c r="I52" s="64">
        <f>SUM(G52:H52)</f>
        <v>0</v>
      </c>
    </row>
    <row r="53" spans="1:9" s="71" customFormat="1" ht="12.75">
      <c r="A53" s="89">
        <v>44</v>
      </c>
      <c r="B53" s="68" t="s">
        <v>683</v>
      </c>
      <c r="C53" s="64">
        <v>0</v>
      </c>
      <c r="D53" s="64">
        <v>0</v>
      </c>
      <c r="E53" s="64">
        <f>SUM(C53:D53)</f>
        <v>0</v>
      </c>
      <c r="F53" s="68" t="s">
        <v>684</v>
      </c>
      <c r="G53" s="64">
        <v>19299537</v>
      </c>
      <c r="H53" s="64">
        <v>0</v>
      </c>
      <c r="I53" s="64">
        <f>SUM(G53:H53)</f>
        <v>19299537</v>
      </c>
    </row>
    <row r="54" spans="1:9" s="62" customFormat="1" ht="15.75">
      <c r="A54" s="89">
        <v>45</v>
      </c>
      <c r="B54" s="61" t="s">
        <v>441</v>
      </c>
      <c r="C54" s="75">
        <f>SUM(C7,C47,C50)</f>
        <v>1143978981</v>
      </c>
      <c r="D54" s="75">
        <f>SUM(D7,D47,D50)</f>
        <v>950057095</v>
      </c>
      <c r="E54" s="75">
        <f t="shared" si="4"/>
        <v>2094036076</v>
      </c>
      <c r="F54" s="61" t="s">
        <v>347</v>
      </c>
      <c r="G54" s="75">
        <f>SUM(G7,G50)</f>
        <v>1140729640</v>
      </c>
      <c r="H54" s="75">
        <f>SUM(H7,H50)</f>
        <v>953306436</v>
      </c>
      <c r="I54" s="75">
        <f>SUM(G54:H54)</f>
        <v>2094036076</v>
      </c>
    </row>
    <row r="61" ht="15">
      <c r="B61" s="49"/>
    </row>
  </sheetData>
  <sheetProtection/>
  <mergeCells count="8">
    <mergeCell ref="A46:I46"/>
    <mergeCell ref="F1:I1"/>
    <mergeCell ref="B2:I2"/>
    <mergeCell ref="B4:E4"/>
    <mergeCell ref="F4:I4"/>
    <mergeCell ref="A4:A6"/>
    <mergeCell ref="A44:I44"/>
    <mergeCell ref="B45:F45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Y54"/>
  <sheetViews>
    <sheetView zoomScale="95" zoomScaleNormal="95" zoomScalePageLayoutView="0" workbookViewId="0" topLeftCell="C1">
      <pane xSplit="4" ySplit="7" topLeftCell="G19" activePane="bottomRight" state="frozen"/>
      <selection pane="topLeft" activeCell="C1" sqref="C1"/>
      <selection pane="topRight" activeCell="G1" sqref="G1"/>
      <selection pane="bottomLeft" activeCell="C8" sqref="C8"/>
      <selection pane="bottomRight" activeCell="E2" sqref="E2:V2"/>
    </sheetView>
  </sheetViews>
  <sheetFormatPr defaultColWidth="8.875" defaultRowHeight="12.75"/>
  <cols>
    <col min="1" max="1" width="1.37890625" style="492" hidden="1" customWidth="1"/>
    <col min="2" max="2" width="8.00390625" style="493" hidden="1" customWidth="1"/>
    <col min="3" max="3" width="8.00390625" style="493" customWidth="1"/>
    <col min="4" max="4" width="4.625" style="494" bestFit="1" customWidth="1"/>
    <col min="5" max="5" width="30.375" style="492" customWidth="1"/>
    <col min="6" max="6" width="9.25390625" style="495" hidden="1" customWidth="1"/>
    <col min="7" max="7" width="11.375" style="492" bestFit="1" customWidth="1"/>
    <col min="8" max="8" width="11.125" style="492" customWidth="1"/>
    <col min="9" max="9" width="11.375" style="492" customWidth="1"/>
    <col min="10" max="11" width="10.25390625" style="492" customWidth="1"/>
    <col min="12" max="12" width="11.625" style="492" customWidth="1"/>
    <col min="13" max="13" width="9.875" style="492" customWidth="1"/>
    <col min="14" max="14" width="9.25390625" style="492" customWidth="1"/>
    <col min="15" max="16" width="10.00390625" style="492" customWidth="1"/>
    <col min="17" max="17" width="10.375" style="492" bestFit="1" customWidth="1"/>
    <col min="18" max="18" width="12.875" style="492" bestFit="1" customWidth="1"/>
    <col min="19" max="19" width="11.375" style="492" bestFit="1" customWidth="1"/>
    <col min="20" max="20" width="11.125" style="492" customWidth="1"/>
    <col min="21" max="21" width="10.625" style="492" customWidth="1"/>
    <col min="22" max="22" width="15.75390625" style="549" bestFit="1" customWidth="1"/>
    <col min="23" max="23" width="14.375" style="492" customWidth="1"/>
    <col min="24" max="24" width="9.875" style="492" bestFit="1" customWidth="1"/>
    <col min="25" max="16384" width="8.875" style="492" customWidth="1"/>
  </cols>
  <sheetData>
    <row r="1" spans="3:22" ht="15">
      <c r="C1" s="863"/>
      <c r="M1" s="172"/>
      <c r="N1" s="172"/>
      <c r="O1" s="172"/>
      <c r="P1" s="172"/>
      <c r="Q1" s="864" t="s">
        <v>1014</v>
      </c>
      <c r="R1" s="865"/>
      <c r="S1" s="865"/>
      <c r="T1" s="865"/>
      <c r="U1" s="865"/>
      <c r="V1" s="865"/>
    </row>
    <row r="2" spans="1:22" ht="15.75">
      <c r="A2" s="496"/>
      <c r="B2" s="497"/>
      <c r="C2" s="863"/>
      <c r="D2" s="497"/>
      <c r="E2" s="866" t="s">
        <v>867</v>
      </c>
      <c r="F2" s="866"/>
      <c r="G2" s="866"/>
      <c r="H2" s="866"/>
      <c r="I2" s="866"/>
      <c r="J2" s="866"/>
      <c r="K2" s="866"/>
      <c r="L2" s="866"/>
      <c r="M2" s="866"/>
      <c r="N2" s="866"/>
      <c r="O2" s="866"/>
      <c r="P2" s="866"/>
      <c r="Q2" s="866"/>
      <c r="R2" s="866"/>
      <c r="S2" s="866"/>
      <c r="T2" s="866"/>
      <c r="U2" s="866"/>
      <c r="V2" s="866"/>
    </row>
    <row r="3" ht="12.75" thickBot="1">
      <c r="V3" s="498"/>
    </row>
    <row r="4" spans="2:22" s="499" customFormat="1" ht="12.75" customHeight="1">
      <c r="B4" s="500"/>
      <c r="C4" s="500"/>
      <c r="D4" s="867" t="s">
        <v>434</v>
      </c>
      <c r="E4" s="870" t="s">
        <v>363</v>
      </c>
      <c r="F4" s="873" t="s">
        <v>370</v>
      </c>
      <c r="G4" s="879" t="s">
        <v>371</v>
      </c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  <c r="T4" s="880"/>
      <c r="U4" s="881"/>
      <c r="V4" s="882" t="s">
        <v>372</v>
      </c>
    </row>
    <row r="5" spans="2:22" s="501" customFormat="1" ht="12" customHeight="1">
      <c r="B5" s="502"/>
      <c r="C5" s="502"/>
      <c r="D5" s="868"/>
      <c r="E5" s="871"/>
      <c r="F5" s="874"/>
      <c r="G5" s="503" t="s">
        <v>1</v>
      </c>
      <c r="H5" s="503" t="s">
        <v>3</v>
      </c>
      <c r="I5" s="503" t="s">
        <v>5</v>
      </c>
      <c r="J5" s="503" t="s">
        <v>8</v>
      </c>
      <c r="K5" s="876" t="s">
        <v>638</v>
      </c>
      <c r="L5" s="877"/>
      <c r="M5" s="877"/>
      <c r="N5" s="877"/>
      <c r="O5" s="877"/>
      <c r="P5" s="877"/>
      <c r="Q5" s="878"/>
      <c r="R5" s="505" t="s">
        <v>120</v>
      </c>
      <c r="S5" s="505" t="s">
        <v>122</v>
      </c>
      <c r="T5" s="503" t="s">
        <v>124</v>
      </c>
      <c r="U5" s="503" t="s">
        <v>126</v>
      </c>
      <c r="V5" s="883"/>
    </row>
    <row r="6" spans="2:22" s="501" customFormat="1" ht="63.75" customHeight="1">
      <c r="B6" s="502"/>
      <c r="C6" s="502"/>
      <c r="D6" s="868"/>
      <c r="E6" s="872"/>
      <c r="F6" s="875"/>
      <c r="G6" s="506" t="s">
        <v>346</v>
      </c>
      <c r="H6" s="506" t="s">
        <v>629</v>
      </c>
      <c r="I6" s="506" t="s">
        <v>365</v>
      </c>
      <c r="J6" s="506" t="s">
        <v>9</v>
      </c>
      <c r="K6" s="506" t="s">
        <v>143</v>
      </c>
      <c r="L6" s="506" t="s">
        <v>119</v>
      </c>
      <c r="M6" s="506" t="s">
        <v>809</v>
      </c>
      <c r="N6" s="506" t="s">
        <v>427</v>
      </c>
      <c r="O6" s="506" t="s">
        <v>439</v>
      </c>
      <c r="P6" s="506" t="s">
        <v>459</v>
      </c>
      <c r="Q6" s="506" t="s">
        <v>862</v>
      </c>
      <c r="R6" s="504" t="s">
        <v>344</v>
      </c>
      <c r="S6" s="504" t="s">
        <v>374</v>
      </c>
      <c r="T6" s="506" t="s">
        <v>637</v>
      </c>
      <c r="U6" s="506" t="s">
        <v>125</v>
      </c>
      <c r="V6" s="884"/>
    </row>
    <row r="7" spans="2:22" s="507" customFormat="1" ht="12">
      <c r="B7" s="508"/>
      <c r="C7" s="508"/>
      <c r="D7" s="869"/>
      <c r="E7" s="509" t="s">
        <v>428</v>
      </c>
      <c r="F7" s="510" t="s">
        <v>429</v>
      </c>
      <c r="G7" s="511" t="s">
        <v>429</v>
      </c>
      <c r="H7" s="511" t="s">
        <v>430</v>
      </c>
      <c r="I7" s="512" t="s">
        <v>431</v>
      </c>
      <c r="J7" s="509" t="s">
        <v>432</v>
      </c>
      <c r="K7" s="509" t="s">
        <v>433</v>
      </c>
      <c r="L7" s="512" t="s">
        <v>435</v>
      </c>
      <c r="M7" s="512" t="s">
        <v>436</v>
      </c>
      <c r="N7" s="512" t="s">
        <v>387</v>
      </c>
      <c r="O7" s="512" t="s">
        <v>388</v>
      </c>
      <c r="P7" s="511" t="s">
        <v>389</v>
      </c>
      <c r="Q7" s="511" t="s">
        <v>390</v>
      </c>
      <c r="R7" s="512" t="s">
        <v>391</v>
      </c>
      <c r="S7" s="512" t="s">
        <v>392</v>
      </c>
      <c r="T7" s="513" t="s">
        <v>393</v>
      </c>
      <c r="U7" s="514" t="s">
        <v>394</v>
      </c>
      <c r="V7" s="515" t="s">
        <v>834</v>
      </c>
    </row>
    <row r="8" spans="1:22" s="523" customFormat="1" ht="24">
      <c r="A8" s="492"/>
      <c r="B8" s="493"/>
      <c r="C8" s="493" t="s">
        <v>58</v>
      </c>
      <c r="D8" s="516" t="s">
        <v>395</v>
      </c>
      <c r="E8" s="517" t="s">
        <v>59</v>
      </c>
      <c r="F8" s="518"/>
      <c r="G8" s="519">
        <f>34989435+6600</f>
        <v>34996035</v>
      </c>
      <c r="H8" s="519">
        <f>8083672+1155</f>
        <v>8084827</v>
      </c>
      <c r="I8" s="520">
        <v>15275133</v>
      </c>
      <c r="J8" s="520"/>
      <c r="K8" s="520"/>
      <c r="L8" s="520">
        <f>22297000-70000</f>
        <v>22227000</v>
      </c>
      <c r="M8" s="520">
        <v>100000</v>
      </c>
      <c r="N8" s="520"/>
      <c r="O8" s="520"/>
      <c r="P8" s="520"/>
      <c r="Q8" s="520"/>
      <c r="R8" s="519"/>
      <c r="S8" s="520"/>
      <c r="T8" s="521"/>
      <c r="U8" s="520"/>
      <c r="V8" s="522">
        <f aca="true" t="shared" si="0" ref="V8:V48">SUM(G8:U8)</f>
        <v>80682995</v>
      </c>
    </row>
    <row r="9" spans="1:22" s="523" customFormat="1" ht="24">
      <c r="A9" s="492"/>
      <c r="B9" s="493" t="s">
        <v>52</v>
      </c>
      <c r="C9" s="493" t="s">
        <v>55</v>
      </c>
      <c r="D9" s="524" t="s">
        <v>396</v>
      </c>
      <c r="E9" s="525" t="s">
        <v>56</v>
      </c>
      <c r="F9" s="526"/>
      <c r="G9" s="527"/>
      <c r="H9" s="527"/>
      <c r="I9" s="521">
        <f>40527704-54000+500000</f>
        <v>40973704</v>
      </c>
      <c r="J9" s="521"/>
      <c r="K9" s="521"/>
      <c r="L9" s="521">
        <f>42084000-4779000</f>
        <v>37305000</v>
      </c>
      <c r="M9" s="521"/>
      <c r="N9" s="521"/>
      <c r="O9" s="521"/>
      <c r="P9" s="521"/>
      <c r="Q9" s="521"/>
      <c r="R9" s="527">
        <v>452341169</v>
      </c>
      <c r="S9" s="521">
        <v>8794813</v>
      </c>
      <c r="T9" s="521">
        <v>449520</v>
      </c>
      <c r="U9" s="521"/>
      <c r="V9" s="522">
        <f t="shared" si="0"/>
        <v>539864206</v>
      </c>
    </row>
    <row r="10" spans="1:22" s="523" customFormat="1" ht="23.25" customHeight="1">
      <c r="A10" s="492"/>
      <c r="B10" s="493"/>
      <c r="C10" s="493" t="s">
        <v>626</v>
      </c>
      <c r="D10" s="524" t="s">
        <v>397</v>
      </c>
      <c r="E10" s="525" t="s">
        <v>627</v>
      </c>
      <c r="F10" s="526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1"/>
      <c r="T10" s="521"/>
      <c r="U10" s="521">
        <v>19299537</v>
      </c>
      <c r="V10" s="522">
        <f t="shared" si="0"/>
        <v>19299537</v>
      </c>
    </row>
    <row r="11" spans="1:22" s="523" customFormat="1" ht="24">
      <c r="A11" s="492">
        <v>20215</v>
      </c>
      <c r="B11" s="493" t="s">
        <v>55</v>
      </c>
      <c r="C11" s="493" t="s">
        <v>63</v>
      </c>
      <c r="D11" s="524" t="s">
        <v>398</v>
      </c>
      <c r="E11" s="525" t="s">
        <v>64</v>
      </c>
      <c r="F11" s="526"/>
      <c r="G11" s="527"/>
      <c r="H11" s="527"/>
      <c r="I11" s="521"/>
      <c r="J11" s="521"/>
      <c r="K11" s="521"/>
      <c r="L11" s="521">
        <v>12311385</v>
      </c>
      <c r="M11" s="521"/>
      <c r="N11" s="521"/>
      <c r="O11" s="521"/>
      <c r="P11" s="521"/>
      <c r="Q11" s="521"/>
      <c r="R11" s="527"/>
      <c r="S11" s="521"/>
      <c r="T11" s="521"/>
      <c r="U11" s="521"/>
      <c r="V11" s="522">
        <f t="shared" si="0"/>
        <v>12311385</v>
      </c>
    </row>
    <row r="12" spans="1:22" s="523" customFormat="1" ht="24">
      <c r="A12" s="492"/>
      <c r="B12" s="493"/>
      <c r="C12" s="493" t="s">
        <v>765</v>
      </c>
      <c r="D12" s="524" t="s">
        <v>399</v>
      </c>
      <c r="E12" s="525" t="s">
        <v>759</v>
      </c>
      <c r="F12" s="526"/>
      <c r="G12" s="527">
        <f>3693375+11080125</f>
        <v>14773500</v>
      </c>
      <c r="H12" s="527">
        <f>323170+969525</f>
        <v>1292695</v>
      </c>
      <c r="I12" s="527">
        <f>4441343</f>
        <v>4441343</v>
      </c>
      <c r="J12" s="527"/>
      <c r="K12" s="527"/>
      <c r="L12" s="527"/>
      <c r="M12" s="527"/>
      <c r="N12" s="527"/>
      <c r="O12" s="527"/>
      <c r="P12" s="527"/>
      <c r="Q12" s="527"/>
      <c r="R12" s="527">
        <f>190500</f>
        <v>190500</v>
      </c>
      <c r="S12" s="521"/>
      <c r="T12" s="527"/>
      <c r="U12" s="521"/>
      <c r="V12" s="522">
        <f t="shared" si="0"/>
        <v>20698038</v>
      </c>
    </row>
    <row r="13" spans="1:22" s="523" customFormat="1" ht="24">
      <c r="A13" s="492"/>
      <c r="B13" s="493"/>
      <c r="C13" s="493" t="s">
        <v>766</v>
      </c>
      <c r="D13" s="524" t="s">
        <v>400</v>
      </c>
      <c r="E13" s="525" t="s">
        <v>760</v>
      </c>
      <c r="F13" s="526"/>
      <c r="G13" s="527">
        <f>12115695+23197320</f>
        <v>35313015</v>
      </c>
      <c r="H13" s="527">
        <f>1060123+2029806</f>
        <v>3089929</v>
      </c>
      <c r="I13" s="527">
        <f>52070+1310301</f>
        <v>1362371</v>
      </c>
      <c r="J13" s="527"/>
      <c r="K13" s="527"/>
      <c r="L13" s="527"/>
      <c r="M13" s="527"/>
      <c r="N13" s="527"/>
      <c r="O13" s="527"/>
      <c r="P13" s="527"/>
      <c r="Q13" s="527"/>
      <c r="R13" s="527">
        <f>74295</f>
        <v>74295</v>
      </c>
      <c r="S13" s="521"/>
      <c r="T13" s="527"/>
      <c r="U13" s="521"/>
      <c r="V13" s="522">
        <f t="shared" si="0"/>
        <v>39839610</v>
      </c>
    </row>
    <row r="14" spans="1:22" s="523" customFormat="1" ht="22.5" customHeight="1">
      <c r="A14" s="492"/>
      <c r="B14" s="493"/>
      <c r="C14" s="493" t="s">
        <v>628</v>
      </c>
      <c r="D14" s="524" t="s">
        <v>401</v>
      </c>
      <c r="E14" s="525" t="s">
        <v>868</v>
      </c>
      <c r="F14" s="526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7"/>
      <c r="R14" s="527">
        <f>25000000-20000000</f>
        <v>5000000</v>
      </c>
      <c r="S14" s="521"/>
      <c r="T14" s="527"/>
      <c r="U14" s="521"/>
      <c r="V14" s="522">
        <f t="shared" si="0"/>
        <v>5000000</v>
      </c>
    </row>
    <row r="15" spans="2:22" ht="24">
      <c r="B15" s="493" t="s">
        <v>58</v>
      </c>
      <c r="C15" s="493" t="s">
        <v>53</v>
      </c>
      <c r="D15" s="524" t="s">
        <v>402</v>
      </c>
      <c r="E15" s="525" t="s">
        <v>531</v>
      </c>
      <c r="F15" s="526"/>
      <c r="G15" s="527"/>
      <c r="H15" s="527"/>
      <c r="I15" s="521">
        <v>15377340</v>
      </c>
      <c r="J15" s="521"/>
      <c r="K15" s="521"/>
      <c r="L15" s="521"/>
      <c r="M15" s="521"/>
      <c r="N15" s="521"/>
      <c r="O15" s="521"/>
      <c r="P15" s="521"/>
      <c r="Q15" s="521"/>
      <c r="R15" s="521">
        <v>363120</v>
      </c>
      <c r="S15" s="521"/>
      <c r="T15" s="521"/>
      <c r="U15" s="521"/>
      <c r="V15" s="522">
        <f t="shared" si="0"/>
        <v>15740460</v>
      </c>
    </row>
    <row r="16" spans="2:22" ht="24">
      <c r="B16" s="493" t="s">
        <v>60</v>
      </c>
      <c r="C16" s="493" t="s">
        <v>65</v>
      </c>
      <c r="D16" s="524" t="s">
        <v>403</v>
      </c>
      <c r="E16" s="525" t="s">
        <v>66</v>
      </c>
      <c r="F16" s="526"/>
      <c r="G16" s="527"/>
      <c r="H16" s="527"/>
      <c r="I16" s="521">
        <v>5249710</v>
      </c>
      <c r="J16" s="521"/>
      <c r="K16" s="521"/>
      <c r="L16" s="521"/>
      <c r="M16" s="521"/>
      <c r="N16" s="521"/>
      <c r="O16" s="521"/>
      <c r="P16" s="521"/>
      <c r="Q16" s="521"/>
      <c r="R16" s="521">
        <v>101682090</v>
      </c>
      <c r="S16" s="521"/>
      <c r="T16" s="521"/>
      <c r="U16" s="521"/>
      <c r="V16" s="522">
        <f t="shared" si="0"/>
        <v>106931800</v>
      </c>
    </row>
    <row r="17" spans="3:22" ht="24">
      <c r="C17" s="493" t="s">
        <v>828</v>
      </c>
      <c r="D17" s="524" t="s">
        <v>404</v>
      </c>
      <c r="E17" s="525" t="s">
        <v>810</v>
      </c>
      <c r="F17" s="528"/>
      <c r="G17" s="527"/>
      <c r="H17" s="527"/>
      <c r="I17" s="521">
        <v>4571244</v>
      </c>
      <c r="J17" s="521"/>
      <c r="K17" s="521"/>
      <c r="L17" s="521"/>
      <c r="M17" s="521"/>
      <c r="N17" s="521"/>
      <c r="O17" s="521"/>
      <c r="P17" s="521"/>
      <c r="Q17" s="521"/>
      <c r="R17" s="521">
        <v>187978206</v>
      </c>
      <c r="S17" s="521"/>
      <c r="T17" s="521"/>
      <c r="U17" s="521"/>
      <c r="V17" s="522">
        <f t="shared" si="0"/>
        <v>192549450</v>
      </c>
    </row>
    <row r="18" spans="1:22" ht="24">
      <c r="A18" s="492">
        <v>751791</v>
      </c>
      <c r="B18" s="493" t="s">
        <v>61</v>
      </c>
      <c r="C18" s="493" t="s">
        <v>49</v>
      </c>
      <c r="D18" s="524" t="s">
        <v>405</v>
      </c>
      <c r="E18" s="525" t="s">
        <v>50</v>
      </c>
      <c r="F18" s="528"/>
      <c r="G18" s="521"/>
      <c r="H18" s="527"/>
      <c r="I18" s="521">
        <v>3416864</v>
      </c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2">
        <f t="shared" si="0"/>
        <v>3416864</v>
      </c>
    </row>
    <row r="19" spans="1:22" ht="24">
      <c r="A19" s="492">
        <v>751834</v>
      </c>
      <c r="B19" s="493" t="s">
        <v>62</v>
      </c>
      <c r="C19" s="493" t="s">
        <v>51</v>
      </c>
      <c r="D19" s="524" t="s">
        <v>406</v>
      </c>
      <c r="E19" s="525" t="s">
        <v>377</v>
      </c>
      <c r="F19" s="526"/>
      <c r="G19" s="527"/>
      <c r="H19" s="527"/>
      <c r="I19" s="521">
        <v>9798424</v>
      </c>
      <c r="J19" s="521"/>
      <c r="K19" s="521"/>
      <c r="L19" s="521"/>
      <c r="M19" s="521"/>
      <c r="N19" s="521"/>
      <c r="O19" s="521"/>
      <c r="P19" s="521"/>
      <c r="Q19" s="521"/>
      <c r="R19" s="521">
        <v>1000000</v>
      </c>
      <c r="S19" s="521"/>
      <c r="T19" s="521"/>
      <c r="U19" s="521"/>
      <c r="V19" s="522">
        <f t="shared" si="0"/>
        <v>10798424</v>
      </c>
    </row>
    <row r="20" spans="3:22" ht="24">
      <c r="C20" s="493" t="s">
        <v>52</v>
      </c>
      <c r="D20" s="524" t="s">
        <v>407</v>
      </c>
      <c r="E20" s="525" t="s">
        <v>811</v>
      </c>
      <c r="F20" s="526"/>
      <c r="G20" s="527"/>
      <c r="H20" s="527"/>
      <c r="I20" s="521">
        <v>4276480</v>
      </c>
      <c r="J20" s="521"/>
      <c r="K20" s="521"/>
      <c r="L20" s="521"/>
      <c r="M20" s="521"/>
      <c r="N20" s="521"/>
      <c r="O20" s="521"/>
      <c r="P20" s="521"/>
      <c r="Q20" s="521"/>
      <c r="R20" s="527">
        <v>1940000</v>
      </c>
      <c r="S20" s="521"/>
      <c r="T20" s="521">
        <v>5000000</v>
      </c>
      <c r="U20" s="521"/>
      <c r="V20" s="522">
        <f t="shared" si="0"/>
        <v>11216480</v>
      </c>
    </row>
    <row r="21" spans="3:22" ht="24">
      <c r="C21" s="493" t="s">
        <v>829</v>
      </c>
      <c r="D21" s="524" t="s">
        <v>408</v>
      </c>
      <c r="E21" s="525" t="s">
        <v>812</v>
      </c>
      <c r="F21" s="526"/>
      <c r="G21" s="527"/>
      <c r="H21" s="527"/>
      <c r="I21" s="521">
        <v>1377000</v>
      </c>
      <c r="J21" s="521"/>
      <c r="K21" s="521"/>
      <c r="L21" s="521"/>
      <c r="M21" s="521"/>
      <c r="N21" s="521"/>
      <c r="O21" s="521"/>
      <c r="P21" s="521"/>
      <c r="Q21" s="521"/>
      <c r="R21" s="527"/>
      <c r="S21" s="521">
        <v>21830061</v>
      </c>
      <c r="T21" s="521"/>
      <c r="U21" s="521"/>
      <c r="V21" s="522">
        <f t="shared" si="0"/>
        <v>23207061</v>
      </c>
    </row>
    <row r="22" spans="3:22" ht="24">
      <c r="C22" s="493" t="s">
        <v>921</v>
      </c>
      <c r="D22" s="524" t="s">
        <v>409</v>
      </c>
      <c r="E22" s="525" t="s">
        <v>869</v>
      </c>
      <c r="F22" s="526"/>
      <c r="G22" s="527">
        <v>1044000</v>
      </c>
      <c r="H22" s="527">
        <v>164430</v>
      </c>
      <c r="I22" s="521">
        <f>640554-254000</f>
        <v>386554</v>
      </c>
      <c r="J22" s="521"/>
      <c r="K22" s="521"/>
      <c r="L22" s="521"/>
      <c r="M22" s="521"/>
      <c r="N22" s="521"/>
      <c r="O22" s="521"/>
      <c r="P22" s="521"/>
      <c r="Q22" s="521"/>
      <c r="R22" s="527">
        <v>973100</v>
      </c>
      <c r="S22" s="521"/>
      <c r="T22" s="521"/>
      <c r="U22" s="521"/>
      <c r="V22" s="522">
        <f t="shared" si="0"/>
        <v>2568084</v>
      </c>
    </row>
    <row r="23" spans="3:22" ht="24">
      <c r="C23" s="493" t="s">
        <v>830</v>
      </c>
      <c r="D23" s="524" t="s">
        <v>410</v>
      </c>
      <c r="E23" s="525" t="s">
        <v>813</v>
      </c>
      <c r="F23" s="526"/>
      <c r="G23" s="527">
        <v>609406</v>
      </c>
      <c r="H23" s="527">
        <v>143206</v>
      </c>
      <c r="I23" s="521">
        <v>4667808</v>
      </c>
      <c r="J23" s="521"/>
      <c r="K23" s="521"/>
      <c r="L23" s="521"/>
      <c r="M23" s="521"/>
      <c r="N23" s="521"/>
      <c r="O23" s="521"/>
      <c r="P23" s="521"/>
      <c r="Q23" s="521"/>
      <c r="R23" s="527">
        <f>19510500-1730500</f>
        <v>17780000</v>
      </c>
      <c r="S23" s="521">
        <f>91442680+863600</f>
        <v>92306280</v>
      </c>
      <c r="T23" s="521"/>
      <c r="U23" s="521"/>
      <c r="V23" s="522">
        <f t="shared" si="0"/>
        <v>115506700</v>
      </c>
    </row>
    <row r="24" spans="3:22" ht="24" customHeight="1">
      <c r="C24" s="493" t="s">
        <v>761</v>
      </c>
      <c r="D24" s="524" t="s">
        <v>411</v>
      </c>
      <c r="E24" s="525" t="s">
        <v>762</v>
      </c>
      <c r="F24" s="526"/>
      <c r="G24" s="527"/>
      <c r="H24" s="521"/>
      <c r="I24" s="521">
        <v>416194</v>
      </c>
      <c r="J24" s="521"/>
      <c r="K24" s="521"/>
      <c r="L24" s="521"/>
      <c r="M24" s="521"/>
      <c r="N24" s="521"/>
      <c r="O24" s="521"/>
      <c r="P24" s="521"/>
      <c r="Q24" s="521"/>
      <c r="R24" s="527"/>
      <c r="S24" s="521">
        <v>6759599</v>
      </c>
      <c r="T24" s="521"/>
      <c r="U24" s="521"/>
      <c r="V24" s="522">
        <f t="shared" si="0"/>
        <v>7175793</v>
      </c>
    </row>
    <row r="25" spans="1:22" ht="24" customHeight="1">
      <c r="A25" s="492">
        <v>751966</v>
      </c>
      <c r="B25" s="493" t="s">
        <v>63</v>
      </c>
      <c r="C25" s="493" t="s">
        <v>61</v>
      </c>
      <c r="D25" s="524" t="s">
        <v>412</v>
      </c>
      <c r="E25" s="525" t="s">
        <v>380</v>
      </c>
      <c r="F25" s="526"/>
      <c r="G25" s="527"/>
      <c r="H25" s="521"/>
      <c r="I25" s="521">
        <v>24094440</v>
      </c>
      <c r="J25" s="521"/>
      <c r="K25" s="521"/>
      <c r="L25" s="521"/>
      <c r="M25" s="521"/>
      <c r="N25" s="521"/>
      <c r="O25" s="521"/>
      <c r="P25" s="521"/>
      <c r="Q25" s="521"/>
      <c r="R25" s="527"/>
      <c r="S25" s="521">
        <v>2794000</v>
      </c>
      <c r="T25" s="521"/>
      <c r="U25" s="521"/>
      <c r="V25" s="522">
        <f t="shared" si="0"/>
        <v>26888440</v>
      </c>
    </row>
    <row r="26" spans="1:22" ht="24" customHeight="1">
      <c r="A26" s="492">
        <v>751999</v>
      </c>
      <c r="B26" s="493" t="s">
        <v>65</v>
      </c>
      <c r="C26" s="493" t="s">
        <v>57</v>
      </c>
      <c r="D26" s="524" t="s">
        <v>413</v>
      </c>
      <c r="E26" s="525" t="s">
        <v>532</v>
      </c>
      <c r="F26" s="526"/>
      <c r="G26" s="527"/>
      <c r="H26" s="527"/>
      <c r="I26" s="521">
        <v>2640000</v>
      </c>
      <c r="J26" s="521"/>
      <c r="K26" s="521"/>
      <c r="L26" s="521">
        <f>32277000-1444000</f>
        <v>30833000</v>
      </c>
      <c r="M26" s="521"/>
      <c r="N26" s="521"/>
      <c r="O26" s="521"/>
      <c r="P26" s="521"/>
      <c r="Q26" s="521"/>
      <c r="R26" s="527"/>
      <c r="S26" s="521"/>
      <c r="T26" s="521"/>
      <c r="U26" s="521"/>
      <c r="V26" s="522">
        <f t="shared" si="0"/>
        <v>33473000</v>
      </c>
    </row>
    <row r="27" spans="2:23" ht="24">
      <c r="B27" s="493" t="s">
        <v>67</v>
      </c>
      <c r="C27" s="493" t="s">
        <v>62</v>
      </c>
      <c r="D27" s="524" t="s">
        <v>414</v>
      </c>
      <c r="E27" s="525" t="s">
        <v>533</v>
      </c>
      <c r="F27" s="526"/>
      <c r="G27" s="527">
        <f>25000+33000</f>
        <v>58000</v>
      </c>
      <c r="H27" s="527">
        <f>3938+5197</f>
        <v>9135</v>
      </c>
      <c r="I27" s="521">
        <v>14028933</v>
      </c>
      <c r="J27" s="521"/>
      <c r="K27" s="521"/>
      <c r="L27" s="521">
        <f>14018000-6364000-3280000</f>
        <v>4374000</v>
      </c>
      <c r="M27" s="521"/>
      <c r="N27" s="521"/>
      <c r="O27" s="521"/>
      <c r="P27" s="521"/>
      <c r="Q27" s="521"/>
      <c r="R27" s="527">
        <v>3348220</v>
      </c>
      <c r="S27" s="521">
        <v>2000000</v>
      </c>
      <c r="T27" s="521"/>
      <c r="U27" s="521"/>
      <c r="V27" s="522">
        <f t="shared" si="0"/>
        <v>23818288</v>
      </c>
      <c r="W27" s="529"/>
    </row>
    <row r="28" spans="2:23" ht="24" customHeight="1">
      <c r="B28" s="493" t="s">
        <v>68</v>
      </c>
      <c r="C28" s="493" t="s">
        <v>68</v>
      </c>
      <c r="D28" s="862" t="s">
        <v>875</v>
      </c>
      <c r="E28" s="525" t="s">
        <v>382</v>
      </c>
      <c r="F28" s="530"/>
      <c r="G28" s="521"/>
      <c r="H28" s="521"/>
      <c r="I28" s="521">
        <v>360000</v>
      </c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2">
        <f t="shared" si="0"/>
        <v>360000</v>
      </c>
      <c r="W28" s="529"/>
    </row>
    <row r="29" spans="2:24" ht="24" customHeight="1">
      <c r="B29" s="493" t="s">
        <v>69</v>
      </c>
      <c r="C29" s="493" t="s">
        <v>69</v>
      </c>
      <c r="D29" s="862"/>
      <c r="E29" s="525" t="s">
        <v>383</v>
      </c>
      <c r="F29" s="530"/>
      <c r="G29" s="521"/>
      <c r="H29" s="521"/>
      <c r="I29" s="521">
        <v>27644450</v>
      </c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2">
        <f t="shared" si="0"/>
        <v>27644450</v>
      </c>
      <c r="X29" s="492" t="s">
        <v>731</v>
      </c>
    </row>
    <row r="30" spans="1:24" ht="24" customHeight="1">
      <c r="A30" s="492">
        <v>851286</v>
      </c>
      <c r="B30" s="493" t="s">
        <v>70</v>
      </c>
      <c r="C30" s="493" t="s">
        <v>70</v>
      </c>
      <c r="D30" s="862"/>
      <c r="E30" s="525" t="s">
        <v>384</v>
      </c>
      <c r="F30" s="530"/>
      <c r="G30" s="521"/>
      <c r="H30" s="521"/>
      <c r="I30" s="521">
        <v>120000</v>
      </c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2">
        <f t="shared" si="0"/>
        <v>120000</v>
      </c>
      <c r="X30" s="529">
        <f>SUM(V28:V31)</f>
        <v>63454187</v>
      </c>
    </row>
    <row r="31" spans="1:22" s="523" customFormat="1" ht="27" customHeight="1">
      <c r="A31" s="492">
        <v>851297</v>
      </c>
      <c r="B31" s="493" t="s">
        <v>71</v>
      </c>
      <c r="C31" s="493" t="s">
        <v>71</v>
      </c>
      <c r="D31" s="862"/>
      <c r="E31" s="525" t="s">
        <v>438</v>
      </c>
      <c r="F31" s="530"/>
      <c r="G31" s="521">
        <v>27396716</v>
      </c>
      <c r="H31" s="521">
        <v>4793101</v>
      </c>
      <c r="I31" s="521">
        <v>2949420</v>
      </c>
      <c r="J31" s="521"/>
      <c r="K31" s="521"/>
      <c r="L31" s="521"/>
      <c r="M31" s="521"/>
      <c r="N31" s="521"/>
      <c r="O31" s="521"/>
      <c r="P31" s="521"/>
      <c r="Q31" s="521"/>
      <c r="R31" s="521">
        <v>190500</v>
      </c>
      <c r="S31" s="521"/>
      <c r="T31" s="521"/>
      <c r="U31" s="521"/>
      <c r="V31" s="522">
        <f t="shared" si="0"/>
        <v>35329737</v>
      </c>
    </row>
    <row r="32" spans="1:22" s="523" customFormat="1" ht="24" customHeight="1">
      <c r="A32" s="492">
        <v>853322</v>
      </c>
      <c r="B32" s="493" t="s">
        <v>72</v>
      </c>
      <c r="C32" s="493" t="s">
        <v>80</v>
      </c>
      <c r="D32" s="524" t="s">
        <v>416</v>
      </c>
      <c r="E32" s="525" t="s">
        <v>81</v>
      </c>
      <c r="F32" s="531"/>
      <c r="G32" s="521"/>
      <c r="H32" s="521"/>
      <c r="I32" s="521">
        <v>1500000</v>
      </c>
      <c r="J32" s="521"/>
      <c r="K32" s="521"/>
      <c r="L32" s="521">
        <f>16949000</f>
        <v>16949000</v>
      </c>
      <c r="M32" s="521"/>
      <c r="N32" s="521"/>
      <c r="O32" s="521"/>
      <c r="P32" s="521"/>
      <c r="Q32" s="521"/>
      <c r="R32" s="521"/>
      <c r="S32" s="521"/>
      <c r="T32" s="521"/>
      <c r="U32" s="521"/>
      <c r="V32" s="522">
        <f t="shared" si="0"/>
        <v>18449000</v>
      </c>
    </row>
    <row r="33" spans="1:22" s="523" customFormat="1" ht="24" customHeight="1">
      <c r="A33" s="492"/>
      <c r="B33" s="493"/>
      <c r="C33" s="493" t="s">
        <v>54</v>
      </c>
      <c r="D33" s="524" t="s">
        <v>483</v>
      </c>
      <c r="E33" s="525" t="s">
        <v>814</v>
      </c>
      <c r="F33" s="531"/>
      <c r="G33" s="521"/>
      <c r="H33" s="521"/>
      <c r="I33" s="521"/>
      <c r="J33" s="521"/>
      <c r="K33" s="521"/>
      <c r="L33" s="521"/>
      <c r="M33" s="521">
        <v>15000</v>
      </c>
      <c r="N33" s="521"/>
      <c r="O33" s="521"/>
      <c r="P33" s="521"/>
      <c r="Q33" s="521"/>
      <c r="R33" s="521"/>
      <c r="S33" s="521"/>
      <c r="T33" s="521"/>
      <c r="U33" s="521"/>
      <c r="V33" s="522">
        <f t="shared" si="0"/>
        <v>15000</v>
      </c>
    </row>
    <row r="34" spans="1:22" s="523" customFormat="1" ht="24">
      <c r="A34" s="492"/>
      <c r="B34" s="493" t="s">
        <v>73</v>
      </c>
      <c r="C34" s="493" t="s">
        <v>530</v>
      </c>
      <c r="D34" s="524" t="s">
        <v>484</v>
      </c>
      <c r="E34" s="532" t="s">
        <v>600</v>
      </c>
      <c r="F34" s="531"/>
      <c r="G34" s="521">
        <v>80000</v>
      </c>
      <c r="H34" s="521">
        <v>38963</v>
      </c>
      <c r="I34" s="521">
        <v>1830220</v>
      </c>
      <c r="J34" s="521"/>
      <c r="K34" s="521"/>
      <c r="L34" s="521"/>
      <c r="M34" s="521"/>
      <c r="N34" s="521"/>
      <c r="O34" s="521"/>
      <c r="P34" s="521"/>
      <c r="Q34" s="521"/>
      <c r="R34" s="521">
        <v>730250</v>
      </c>
      <c r="S34" s="521"/>
      <c r="T34" s="521"/>
      <c r="U34" s="521"/>
      <c r="V34" s="522">
        <f t="shared" si="0"/>
        <v>2679433</v>
      </c>
    </row>
    <row r="35" spans="2:24" ht="20.25" customHeight="1">
      <c r="B35" s="493" t="s">
        <v>75</v>
      </c>
      <c r="C35" s="493" t="s">
        <v>831</v>
      </c>
      <c r="D35" s="534" t="s">
        <v>485</v>
      </c>
      <c r="E35" s="525" t="s">
        <v>83</v>
      </c>
      <c r="F35" s="530"/>
      <c r="G35" s="521"/>
      <c r="H35" s="521"/>
      <c r="I35" s="521">
        <v>73660</v>
      </c>
      <c r="J35" s="521"/>
      <c r="K35" s="533"/>
      <c r="L35" s="533"/>
      <c r="M35" s="521"/>
      <c r="N35" s="521"/>
      <c r="O35" s="521"/>
      <c r="P35" s="521"/>
      <c r="Q35" s="521"/>
      <c r="R35" s="521"/>
      <c r="S35" s="521"/>
      <c r="T35" s="521"/>
      <c r="U35" s="521"/>
      <c r="V35" s="522">
        <f t="shared" si="0"/>
        <v>73660</v>
      </c>
      <c r="X35" s="529">
        <f>SUM(V35:V35)</f>
        <v>73660</v>
      </c>
    </row>
    <row r="36" spans="3:24" ht="27" customHeight="1">
      <c r="C36" s="493" t="s">
        <v>832</v>
      </c>
      <c r="D36" s="534" t="s">
        <v>458</v>
      </c>
      <c r="E36" s="525" t="s">
        <v>815</v>
      </c>
      <c r="F36" s="530"/>
      <c r="G36" s="521">
        <v>5400000</v>
      </c>
      <c r="H36" s="521">
        <v>927500</v>
      </c>
      <c r="I36" s="521">
        <v>5902169</v>
      </c>
      <c r="J36" s="521"/>
      <c r="K36" s="533"/>
      <c r="L36" s="533"/>
      <c r="M36" s="521"/>
      <c r="N36" s="521"/>
      <c r="O36" s="521"/>
      <c r="P36" s="521"/>
      <c r="Q36" s="521"/>
      <c r="R36" s="521"/>
      <c r="S36" s="521"/>
      <c r="T36" s="521"/>
      <c r="U36" s="521"/>
      <c r="V36" s="522">
        <f t="shared" si="0"/>
        <v>12229669</v>
      </c>
      <c r="X36" s="529"/>
    </row>
    <row r="37" spans="3:24" ht="26.25" customHeight="1">
      <c r="C37" s="493" t="s">
        <v>67</v>
      </c>
      <c r="D37" s="534" t="s">
        <v>486</v>
      </c>
      <c r="E37" s="525" t="s">
        <v>816</v>
      </c>
      <c r="F37" s="530"/>
      <c r="G37" s="521"/>
      <c r="H37" s="521"/>
      <c r="I37" s="521"/>
      <c r="J37" s="521"/>
      <c r="K37" s="533"/>
      <c r="L37" s="533"/>
      <c r="M37" s="521"/>
      <c r="N37" s="521"/>
      <c r="O37" s="521"/>
      <c r="P37" s="521"/>
      <c r="Q37" s="521"/>
      <c r="R37" s="521"/>
      <c r="S37" s="521">
        <v>31599998</v>
      </c>
      <c r="T37" s="521"/>
      <c r="U37" s="521"/>
      <c r="V37" s="522">
        <f t="shared" si="0"/>
        <v>31599998</v>
      </c>
      <c r="X37" s="529"/>
    </row>
    <row r="38" spans="3:24" ht="24.75" customHeight="1">
      <c r="C38" s="493" t="s">
        <v>833</v>
      </c>
      <c r="D38" s="534" t="s">
        <v>417</v>
      </c>
      <c r="E38" s="525" t="s">
        <v>817</v>
      </c>
      <c r="F38" s="530"/>
      <c r="G38" s="521">
        <v>8650000</v>
      </c>
      <c r="H38" s="521">
        <v>1409909</v>
      </c>
      <c r="I38" s="521">
        <v>2242300</v>
      </c>
      <c r="J38" s="521"/>
      <c r="K38" s="533"/>
      <c r="L38" s="533"/>
      <c r="M38" s="521"/>
      <c r="N38" s="521"/>
      <c r="O38" s="521"/>
      <c r="P38" s="521"/>
      <c r="Q38" s="521"/>
      <c r="R38" s="521"/>
      <c r="S38" s="521"/>
      <c r="T38" s="521"/>
      <c r="U38" s="521"/>
      <c r="V38" s="522">
        <f t="shared" si="0"/>
        <v>12302209</v>
      </c>
      <c r="X38" s="529"/>
    </row>
    <row r="39" spans="3:22" ht="24">
      <c r="C39" s="493" t="s">
        <v>633</v>
      </c>
      <c r="D39" s="534" t="s">
        <v>418</v>
      </c>
      <c r="E39" s="525" t="s">
        <v>634</v>
      </c>
      <c r="F39" s="530"/>
      <c r="G39" s="521">
        <v>2543600</v>
      </c>
      <c r="H39" s="521">
        <v>445130</v>
      </c>
      <c r="I39" s="521">
        <v>57876511</v>
      </c>
      <c r="J39" s="521"/>
      <c r="K39" s="521"/>
      <c r="L39" s="521"/>
      <c r="M39" s="521"/>
      <c r="N39" s="521"/>
      <c r="O39" s="521"/>
      <c r="P39" s="521"/>
      <c r="Q39" s="521"/>
      <c r="R39" s="521">
        <v>74930</v>
      </c>
      <c r="S39" s="521"/>
      <c r="T39" s="521"/>
      <c r="U39" s="521"/>
      <c r="V39" s="522">
        <f t="shared" si="0"/>
        <v>60940171</v>
      </c>
    </row>
    <row r="40" spans="2:22" ht="24" customHeight="1">
      <c r="B40" s="493" t="s">
        <v>76</v>
      </c>
      <c r="C40" s="493" t="s">
        <v>630</v>
      </c>
      <c r="D40" s="534" t="s">
        <v>419</v>
      </c>
      <c r="E40" s="525" t="s">
        <v>631</v>
      </c>
      <c r="F40" s="530"/>
      <c r="G40" s="521"/>
      <c r="H40" s="521"/>
      <c r="I40" s="521">
        <v>11650000</v>
      </c>
      <c r="J40" s="521"/>
      <c r="K40" s="521"/>
      <c r="L40" s="521">
        <v>10000000</v>
      </c>
      <c r="M40" s="521"/>
      <c r="N40" s="521"/>
      <c r="O40" s="521"/>
      <c r="P40" s="521"/>
      <c r="Q40" s="521"/>
      <c r="R40" s="521"/>
      <c r="S40" s="521"/>
      <c r="T40" s="521"/>
      <c r="U40" s="521"/>
      <c r="V40" s="522">
        <f t="shared" si="0"/>
        <v>21650000</v>
      </c>
    </row>
    <row r="41" spans="3:22" ht="24">
      <c r="C41" s="493" t="s">
        <v>635</v>
      </c>
      <c r="D41" s="534" t="s">
        <v>487</v>
      </c>
      <c r="E41" s="525" t="s">
        <v>636</v>
      </c>
      <c r="F41" s="530"/>
      <c r="G41" s="521"/>
      <c r="H41" s="521"/>
      <c r="I41" s="521">
        <v>1812600</v>
      </c>
      <c r="J41" s="521"/>
      <c r="K41" s="521"/>
      <c r="L41" s="521"/>
      <c r="M41" s="521"/>
      <c r="N41" s="521"/>
      <c r="O41" s="521"/>
      <c r="P41" s="521"/>
      <c r="Q41" s="521"/>
      <c r="R41" s="521"/>
      <c r="S41" s="521"/>
      <c r="T41" s="521"/>
      <c r="U41" s="521"/>
      <c r="V41" s="522">
        <f t="shared" si="0"/>
        <v>1812600</v>
      </c>
    </row>
    <row r="42" spans="3:24" ht="24" customHeight="1">
      <c r="C42" s="493" t="s">
        <v>76</v>
      </c>
      <c r="D42" s="534" t="s">
        <v>420</v>
      </c>
      <c r="E42" s="525" t="s">
        <v>763</v>
      </c>
      <c r="F42" s="530"/>
      <c r="G42" s="521">
        <v>24650000</v>
      </c>
      <c r="H42" s="521">
        <v>4900455</v>
      </c>
      <c r="I42" s="521">
        <v>17254444</v>
      </c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2">
        <f t="shared" si="0"/>
        <v>46804899</v>
      </c>
      <c r="X42" s="529">
        <f>SUM(V40:V43)</f>
        <v>74899499</v>
      </c>
    </row>
    <row r="43" spans="2:22" ht="24" customHeight="1">
      <c r="B43" s="493" t="s">
        <v>78</v>
      </c>
      <c r="C43" s="493" t="s">
        <v>74</v>
      </c>
      <c r="D43" s="534" t="s">
        <v>437</v>
      </c>
      <c r="E43" s="525" t="s">
        <v>454</v>
      </c>
      <c r="F43" s="530"/>
      <c r="G43" s="521"/>
      <c r="H43" s="521"/>
      <c r="I43" s="521">
        <v>2600000</v>
      </c>
      <c r="J43" s="521"/>
      <c r="K43" s="521"/>
      <c r="L43" s="521">
        <v>2032000</v>
      </c>
      <c r="M43" s="521"/>
      <c r="N43" s="521"/>
      <c r="O43" s="521"/>
      <c r="P43" s="521"/>
      <c r="Q43" s="521"/>
      <c r="R43" s="521"/>
      <c r="S43" s="521"/>
      <c r="T43" s="521"/>
      <c r="U43" s="521"/>
      <c r="V43" s="522">
        <f t="shared" si="0"/>
        <v>4632000</v>
      </c>
    </row>
    <row r="44" spans="3:22" ht="24" customHeight="1">
      <c r="C44" s="493" t="s">
        <v>818</v>
      </c>
      <c r="D44" s="534" t="s">
        <v>488</v>
      </c>
      <c r="E44" s="525" t="s">
        <v>819</v>
      </c>
      <c r="F44" s="530"/>
      <c r="G44" s="521"/>
      <c r="H44" s="521"/>
      <c r="I44" s="521"/>
      <c r="J44" s="521"/>
      <c r="K44" s="521"/>
      <c r="L44" s="521">
        <v>2286000</v>
      </c>
      <c r="M44" s="521"/>
      <c r="N44" s="521"/>
      <c r="O44" s="521"/>
      <c r="P44" s="521"/>
      <c r="Q44" s="521"/>
      <c r="R44" s="521"/>
      <c r="S44" s="521"/>
      <c r="T44" s="535"/>
      <c r="U44" s="521"/>
      <c r="V44" s="522">
        <f t="shared" si="0"/>
        <v>2286000</v>
      </c>
    </row>
    <row r="45" spans="2:22" ht="24">
      <c r="B45" s="493" t="s">
        <v>80</v>
      </c>
      <c r="C45" s="493" t="s">
        <v>77</v>
      </c>
      <c r="D45" s="534" t="s">
        <v>489</v>
      </c>
      <c r="E45" s="525" t="s">
        <v>632</v>
      </c>
      <c r="F45" s="530"/>
      <c r="G45" s="521"/>
      <c r="H45" s="521"/>
      <c r="I45" s="521"/>
      <c r="J45" s="521">
        <v>3804900</v>
      </c>
      <c r="K45" s="521"/>
      <c r="L45" s="521"/>
      <c r="M45" s="521"/>
      <c r="N45" s="521"/>
      <c r="O45" s="521"/>
      <c r="P45" s="521"/>
      <c r="Q45" s="521"/>
      <c r="R45" s="521"/>
      <c r="S45" s="521"/>
      <c r="T45" s="535"/>
      <c r="U45" s="521"/>
      <c r="V45" s="522">
        <f t="shared" si="0"/>
        <v>3804900</v>
      </c>
    </row>
    <row r="46" spans="3:22" ht="24">
      <c r="C46" s="493" t="s">
        <v>820</v>
      </c>
      <c r="D46" s="534" t="s">
        <v>822</v>
      </c>
      <c r="E46" s="525" t="s">
        <v>821</v>
      </c>
      <c r="F46" s="536"/>
      <c r="G46" s="537">
        <f>18342800+1350000+1125000</f>
        <v>20817800</v>
      </c>
      <c r="H46" s="535">
        <f>3773040+236250+196875</f>
        <v>4206165</v>
      </c>
      <c r="I46" s="535">
        <v>22523810</v>
      </c>
      <c r="J46" s="535"/>
      <c r="K46" s="535"/>
      <c r="L46" s="535"/>
      <c r="M46" s="535"/>
      <c r="N46" s="535"/>
      <c r="O46" s="535"/>
      <c r="P46" s="535"/>
      <c r="Q46" s="535"/>
      <c r="R46" s="535">
        <v>2460790</v>
      </c>
      <c r="S46" s="535">
        <v>523290</v>
      </c>
      <c r="T46" s="537"/>
      <c r="U46" s="535"/>
      <c r="V46" s="522">
        <f t="shared" si="0"/>
        <v>50531855</v>
      </c>
    </row>
    <row r="47" spans="4:22" ht="24">
      <c r="D47" s="534" t="s">
        <v>823</v>
      </c>
      <c r="E47" s="525" t="s">
        <v>381</v>
      </c>
      <c r="F47" s="536"/>
      <c r="G47" s="537"/>
      <c r="H47" s="535"/>
      <c r="I47" s="535"/>
      <c r="J47" s="535"/>
      <c r="K47" s="535"/>
      <c r="L47" s="535"/>
      <c r="M47" s="535"/>
      <c r="N47" s="535">
        <v>1000000</v>
      </c>
      <c r="O47" s="535">
        <v>350000</v>
      </c>
      <c r="P47" s="535">
        <v>1000000</v>
      </c>
      <c r="Q47" s="535">
        <v>200000</v>
      </c>
      <c r="R47" s="535"/>
      <c r="S47" s="535"/>
      <c r="T47" s="537"/>
      <c r="U47" s="535"/>
      <c r="V47" s="522">
        <f t="shared" si="0"/>
        <v>2550000</v>
      </c>
    </row>
    <row r="48" spans="3:22" ht="24">
      <c r="C48" s="493" t="s">
        <v>764</v>
      </c>
      <c r="D48" s="534" t="s">
        <v>824</v>
      </c>
      <c r="E48" s="539" t="s">
        <v>599</v>
      </c>
      <c r="F48" s="536"/>
      <c r="G48" s="537"/>
      <c r="H48" s="537"/>
      <c r="I48" s="537">
        <v>8285000</v>
      </c>
      <c r="J48" s="537"/>
      <c r="K48" s="537"/>
      <c r="L48" s="537"/>
      <c r="M48" s="537"/>
      <c r="N48" s="537"/>
      <c r="O48" s="537"/>
      <c r="P48" s="537"/>
      <c r="Q48" s="537"/>
      <c r="R48" s="537"/>
      <c r="S48" s="537"/>
      <c r="T48" s="537"/>
      <c r="U48" s="537"/>
      <c r="V48" s="522">
        <f t="shared" si="0"/>
        <v>8285000</v>
      </c>
    </row>
    <row r="49" spans="1:25" s="540" customFormat="1" ht="24" customHeight="1" thickBot="1">
      <c r="A49" s="540">
        <v>999997</v>
      </c>
      <c r="B49" s="538"/>
      <c r="D49" s="541" t="s">
        <v>825</v>
      </c>
      <c r="E49" s="542" t="s">
        <v>367</v>
      </c>
      <c r="F49" s="543">
        <f>SUM(F8:F45)</f>
        <v>0</v>
      </c>
      <c r="G49" s="544">
        <f aca="true" t="shared" si="1" ref="G49:V49">SUM(G8:G48)</f>
        <v>176332072</v>
      </c>
      <c r="H49" s="544">
        <f t="shared" si="1"/>
        <v>29505445</v>
      </c>
      <c r="I49" s="544">
        <f t="shared" si="1"/>
        <v>316978126</v>
      </c>
      <c r="J49" s="544">
        <f t="shared" si="1"/>
        <v>3804900</v>
      </c>
      <c r="K49" s="544">
        <f t="shared" si="1"/>
        <v>0</v>
      </c>
      <c r="L49" s="544">
        <f t="shared" si="1"/>
        <v>138317385</v>
      </c>
      <c r="M49" s="544">
        <f t="shared" si="1"/>
        <v>115000</v>
      </c>
      <c r="N49" s="544">
        <f t="shared" si="1"/>
        <v>1000000</v>
      </c>
      <c r="O49" s="544">
        <f t="shared" si="1"/>
        <v>350000</v>
      </c>
      <c r="P49" s="544">
        <f t="shared" si="1"/>
        <v>1000000</v>
      </c>
      <c r="Q49" s="544">
        <f t="shared" si="1"/>
        <v>200000</v>
      </c>
      <c r="R49" s="544">
        <f t="shared" si="1"/>
        <v>776127170</v>
      </c>
      <c r="S49" s="544">
        <f t="shared" si="1"/>
        <v>166608041</v>
      </c>
      <c r="T49" s="544">
        <f t="shared" si="1"/>
        <v>5449520</v>
      </c>
      <c r="U49" s="544">
        <f t="shared" si="1"/>
        <v>19299537</v>
      </c>
      <c r="V49" s="545">
        <f t="shared" si="1"/>
        <v>1635087196</v>
      </c>
      <c r="W49" s="546">
        <f>SUM(G49:U49)</f>
        <v>1635087196</v>
      </c>
      <c r="X49" s="547"/>
      <c r="Y49" s="547"/>
    </row>
    <row r="50" ht="12.75">
      <c r="E50" s="548"/>
    </row>
    <row r="54" ht="12">
      <c r="F54" s="550"/>
    </row>
  </sheetData>
  <sheetProtection/>
  <mergeCells count="10">
    <mergeCell ref="D28:D31"/>
    <mergeCell ref="C1:C2"/>
    <mergeCell ref="Q1:V1"/>
    <mergeCell ref="E2:V2"/>
    <mergeCell ref="D4:D7"/>
    <mergeCell ref="E4:E6"/>
    <mergeCell ref="F4:F6"/>
    <mergeCell ref="K5:Q5"/>
    <mergeCell ref="G4:U4"/>
    <mergeCell ref="V4:V6"/>
  </mergeCells>
  <printOptions horizontalCentered="1"/>
  <pageMargins left="0.07874015748031496" right="0.07874015748031496" top="0.7874015748031497" bottom="0.7874015748031497" header="0.11811023622047245" footer="0.1968503937007874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35"/>
  <sheetViews>
    <sheetView zoomScalePageLayoutView="0" workbookViewId="0" topLeftCell="C1">
      <selection activeCell="K3" sqref="K3"/>
    </sheetView>
  </sheetViews>
  <sheetFormatPr defaultColWidth="8.875" defaultRowHeight="12.75"/>
  <cols>
    <col min="1" max="1" width="1.37890625" style="492" hidden="1" customWidth="1"/>
    <col min="2" max="2" width="8.00390625" style="493" hidden="1" customWidth="1"/>
    <col min="3" max="3" width="8.00390625" style="493" customWidth="1"/>
    <col min="4" max="4" width="7.625" style="494" customWidth="1"/>
    <col min="5" max="5" width="38.00390625" style="492" customWidth="1"/>
    <col min="6" max="10" width="13.125" style="492" customWidth="1"/>
    <col min="11" max="11" width="16.75390625" style="549" customWidth="1"/>
    <col min="12" max="12" width="14.375" style="492" customWidth="1"/>
    <col min="13" max="13" width="9.875" style="492" bestFit="1" customWidth="1"/>
    <col min="14" max="16384" width="8.875" style="492" customWidth="1"/>
  </cols>
  <sheetData>
    <row r="1" spans="3:11" ht="15">
      <c r="C1" s="863"/>
      <c r="I1" s="865"/>
      <c r="J1" s="865"/>
      <c r="K1" s="865"/>
    </row>
    <row r="2" spans="3:14" ht="15">
      <c r="C2" s="863"/>
      <c r="H2" s="604"/>
      <c r="I2" s="604"/>
      <c r="J2" s="605"/>
      <c r="K2" s="604" t="s">
        <v>1015</v>
      </c>
      <c r="L2" s="605"/>
      <c r="M2" s="605"/>
      <c r="N2" s="605"/>
    </row>
    <row r="3" spans="3:14" ht="15">
      <c r="C3" s="863"/>
      <c r="H3" s="604"/>
      <c r="I3" s="604"/>
      <c r="J3" s="605"/>
      <c r="K3" s="604"/>
      <c r="L3" s="605"/>
      <c r="M3" s="605"/>
      <c r="N3" s="605"/>
    </row>
    <row r="4" spans="1:11" s="664" customFormat="1" ht="39" customHeight="1">
      <c r="A4" s="496"/>
      <c r="B4" s="497"/>
      <c r="C4" s="863"/>
      <c r="D4" s="885" t="s">
        <v>870</v>
      </c>
      <c r="E4" s="885"/>
      <c r="F4" s="885"/>
      <c r="G4" s="885"/>
      <c r="H4" s="885"/>
      <c r="I4" s="885"/>
      <c r="J4" s="885"/>
      <c r="K4" s="885"/>
    </row>
    <row r="5" ht="12">
      <c r="K5" s="665"/>
    </row>
    <row r="6" ht="12">
      <c r="K6" s="665"/>
    </row>
    <row r="7" ht="12.75" thickBot="1">
      <c r="K7" s="498"/>
    </row>
    <row r="8" spans="2:11" s="499" customFormat="1" ht="12.75" customHeight="1">
      <c r="B8" s="500"/>
      <c r="C8" s="500"/>
      <c r="D8" s="867" t="s">
        <v>434</v>
      </c>
      <c r="E8" s="870" t="s">
        <v>363</v>
      </c>
      <c r="F8" s="879" t="s">
        <v>371</v>
      </c>
      <c r="G8" s="880"/>
      <c r="H8" s="880"/>
      <c r="I8" s="880"/>
      <c r="J8" s="880"/>
      <c r="K8" s="882" t="s">
        <v>372</v>
      </c>
    </row>
    <row r="9" spans="2:11" s="501" customFormat="1" ht="12" customHeight="1">
      <c r="B9" s="502"/>
      <c r="C9" s="502"/>
      <c r="D9" s="868"/>
      <c r="E9" s="871"/>
      <c r="F9" s="503" t="s">
        <v>1</v>
      </c>
      <c r="G9" s="503" t="s">
        <v>3</v>
      </c>
      <c r="H9" s="503" t="s">
        <v>5</v>
      </c>
      <c r="I9" s="505" t="s">
        <v>120</v>
      </c>
      <c r="J9" s="505" t="s">
        <v>122</v>
      </c>
      <c r="K9" s="883"/>
    </row>
    <row r="10" spans="2:11" s="501" customFormat="1" ht="63.75" customHeight="1">
      <c r="B10" s="502"/>
      <c r="C10" s="502"/>
      <c r="D10" s="868"/>
      <c r="E10" s="872"/>
      <c r="F10" s="506" t="s">
        <v>346</v>
      </c>
      <c r="G10" s="506" t="s">
        <v>629</v>
      </c>
      <c r="H10" s="506" t="s">
        <v>365</v>
      </c>
      <c r="I10" s="504" t="s">
        <v>344</v>
      </c>
      <c r="J10" s="504" t="s">
        <v>374</v>
      </c>
      <c r="K10" s="884"/>
    </row>
    <row r="11" spans="2:11" s="613" customFormat="1" ht="12.75" thickBot="1">
      <c r="B11" s="614"/>
      <c r="C11" s="614"/>
      <c r="D11" s="868"/>
      <c r="E11" s="615" t="s">
        <v>428</v>
      </c>
      <c r="F11" s="616" t="s">
        <v>429</v>
      </c>
      <c r="G11" s="616" t="s">
        <v>430</v>
      </c>
      <c r="H11" s="617" t="s">
        <v>431</v>
      </c>
      <c r="I11" s="617" t="s">
        <v>432</v>
      </c>
      <c r="J11" s="617" t="s">
        <v>433</v>
      </c>
      <c r="K11" s="618" t="s">
        <v>435</v>
      </c>
    </row>
    <row r="12" spans="1:11" s="523" customFormat="1" ht="36" customHeight="1">
      <c r="A12" s="492"/>
      <c r="B12" s="493"/>
      <c r="C12" s="493"/>
      <c r="D12" s="892" t="s">
        <v>373</v>
      </c>
      <c r="E12" s="893"/>
      <c r="F12" s="893"/>
      <c r="G12" s="893"/>
      <c r="H12" s="893"/>
      <c r="I12" s="893"/>
      <c r="J12" s="893"/>
      <c r="K12" s="894"/>
    </row>
    <row r="13" spans="2:11" s="622" customFormat="1" ht="34.5" customHeight="1">
      <c r="B13" s="623" t="s">
        <v>52</v>
      </c>
      <c r="C13" s="623"/>
      <c r="D13" s="624" t="s">
        <v>395</v>
      </c>
      <c r="E13" s="625" t="s">
        <v>784</v>
      </c>
      <c r="F13" s="627">
        <f>91562414+103400</f>
        <v>91665814</v>
      </c>
      <c r="G13" s="627">
        <f>16696818+18095</f>
        <v>16714913</v>
      </c>
      <c r="H13" s="627">
        <v>26913440</v>
      </c>
      <c r="I13" s="627">
        <v>1934590</v>
      </c>
      <c r="J13" s="627">
        <v>0</v>
      </c>
      <c r="K13" s="628">
        <f>SUM(F13:J13)</f>
        <v>137228757</v>
      </c>
    </row>
    <row r="14" spans="2:11" s="622" customFormat="1" ht="71.25">
      <c r="B14" s="623" t="s">
        <v>53</v>
      </c>
      <c r="C14" s="623"/>
      <c r="D14" s="624" t="s">
        <v>396</v>
      </c>
      <c r="E14" s="630" t="s">
        <v>871</v>
      </c>
      <c r="F14" s="627">
        <v>4740000</v>
      </c>
      <c r="G14" s="627">
        <v>829500</v>
      </c>
      <c r="H14" s="627">
        <v>0</v>
      </c>
      <c r="I14" s="627">
        <v>0</v>
      </c>
      <c r="J14" s="627">
        <v>0</v>
      </c>
      <c r="K14" s="628">
        <f>SUM(F14:J14)</f>
        <v>5569500</v>
      </c>
    </row>
    <row r="15" spans="2:11" s="622" customFormat="1" ht="72" thickBot="1">
      <c r="B15" s="623"/>
      <c r="C15" s="623"/>
      <c r="D15" s="629" t="s">
        <v>397</v>
      </c>
      <c r="E15" s="630" t="s">
        <v>872</v>
      </c>
      <c r="F15" s="631">
        <v>2452125</v>
      </c>
      <c r="G15" s="631">
        <v>429122</v>
      </c>
      <c r="H15" s="631">
        <v>0</v>
      </c>
      <c r="I15" s="631">
        <v>0</v>
      </c>
      <c r="J15" s="631">
        <v>0</v>
      </c>
      <c r="K15" s="632">
        <f>SUM(F15:J15)</f>
        <v>2881247</v>
      </c>
    </row>
    <row r="16" spans="1:14" s="633" customFormat="1" ht="24" customHeight="1" thickBot="1">
      <c r="A16" s="633">
        <v>999997</v>
      </c>
      <c r="B16" s="634"/>
      <c r="D16" s="635" t="s">
        <v>398</v>
      </c>
      <c r="E16" s="636" t="s">
        <v>367</v>
      </c>
      <c r="F16" s="637">
        <f aca="true" t="shared" si="0" ref="F16:K16">SUM(F10:F15)</f>
        <v>98857939</v>
      </c>
      <c r="G16" s="637">
        <f t="shared" si="0"/>
        <v>17973535</v>
      </c>
      <c r="H16" s="637">
        <f t="shared" si="0"/>
        <v>26913440</v>
      </c>
      <c r="I16" s="637">
        <f t="shared" si="0"/>
        <v>1934590</v>
      </c>
      <c r="J16" s="637">
        <f t="shared" si="0"/>
        <v>0</v>
      </c>
      <c r="K16" s="638">
        <f t="shared" si="0"/>
        <v>145679504</v>
      </c>
      <c r="L16" s="639">
        <f>SUM(F16:J16)</f>
        <v>145679504</v>
      </c>
      <c r="M16" s="640"/>
      <c r="N16" s="640"/>
    </row>
    <row r="17" spans="1:11" s="621" customFormat="1" ht="36.75" customHeight="1">
      <c r="A17" s="619"/>
      <c r="B17" s="620"/>
      <c r="C17" s="620"/>
      <c r="D17" s="886" t="s">
        <v>744</v>
      </c>
      <c r="E17" s="887"/>
      <c r="F17" s="887"/>
      <c r="G17" s="887"/>
      <c r="H17" s="887"/>
      <c r="I17" s="887"/>
      <c r="J17" s="887"/>
      <c r="K17" s="888"/>
    </row>
    <row r="18" spans="2:11" s="622" customFormat="1" ht="23.25" customHeight="1">
      <c r="B18" s="623" t="s">
        <v>52</v>
      </c>
      <c r="C18" s="623"/>
      <c r="D18" s="624" t="s">
        <v>395</v>
      </c>
      <c r="E18" s="625" t="s">
        <v>923</v>
      </c>
      <c r="F18" s="626">
        <v>0</v>
      </c>
      <c r="G18" s="626">
        <v>0</v>
      </c>
      <c r="H18" s="626">
        <v>31853858</v>
      </c>
      <c r="I18" s="626">
        <v>0</v>
      </c>
      <c r="J18" s="627">
        <v>0</v>
      </c>
      <c r="K18" s="628">
        <f aca="true" t="shared" si="1" ref="K18:K27">SUM(F18:J18)</f>
        <v>31853858</v>
      </c>
    </row>
    <row r="19" spans="2:11" s="622" customFormat="1" ht="23.25" customHeight="1">
      <c r="B19" s="623" t="s">
        <v>53</v>
      </c>
      <c r="C19" s="623"/>
      <c r="D19" s="624" t="s">
        <v>396</v>
      </c>
      <c r="E19" s="625" t="s">
        <v>806</v>
      </c>
      <c r="F19" s="626">
        <f>106347224+3215520-330000-1461600+216700</f>
        <v>107987844</v>
      </c>
      <c r="G19" s="626">
        <f>22358469+562716-57750-255780+37923</f>
        <v>22645578</v>
      </c>
      <c r="H19" s="626">
        <v>0</v>
      </c>
      <c r="I19" s="626">
        <v>0</v>
      </c>
      <c r="J19" s="627">
        <v>0</v>
      </c>
      <c r="K19" s="628">
        <f t="shared" si="1"/>
        <v>130633422</v>
      </c>
    </row>
    <row r="20" spans="2:11" s="622" customFormat="1" ht="23.25" customHeight="1">
      <c r="B20" s="623"/>
      <c r="C20" s="623"/>
      <c r="D20" s="624" t="s">
        <v>397</v>
      </c>
      <c r="E20" s="625" t="s">
        <v>873</v>
      </c>
      <c r="F20" s="626">
        <v>0</v>
      </c>
      <c r="G20" s="626">
        <v>0</v>
      </c>
      <c r="H20" s="626">
        <v>10508378</v>
      </c>
      <c r="I20" s="626">
        <v>309245</v>
      </c>
      <c r="J20" s="627">
        <v>508000</v>
      </c>
      <c r="K20" s="628">
        <f t="shared" si="1"/>
        <v>11325623</v>
      </c>
    </row>
    <row r="21" spans="2:11" s="622" customFormat="1" ht="23.25" customHeight="1">
      <c r="B21" s="623"/>
      <c r="C21" s="623"/>
      <c r="D21" s="624" t="s">
        <v>398</v>
      </c>
      <c r="E21" s="625" t="s">
        <v>535</v>
      </c>
      <c r="F21" s="626">
        <v>5287200</v>
      </c>
      <c r="G21" s="626">
        <v>925260</v>
      </c>
      <c r="H21" s="626">
        <f>1916238-781083</f>
        <v>1135155</v>
      </c>
      <c r="I21" s="626">
        <v>63500</v>
      </c>
      <c r="J21" s="627">
        <v>0</v>
      </c>
      <c r="K21" s="628">
        <f t="shared" si="1"/>
        <v>7411115</v>
      </c>
    </row>
    <row r="22" spans="2:11" s="622" customFormat="1" ht="23.25" customHeight="1">
      <c r="B22" s="623"/>
      <c r="C22" s="623"/>
      <c r="D22" s="624" t="s">
        <v>399</v>
      </c>
      <c r="E22" s="625" t="s">
        <v>575</v>
      </c>
      <c r="F22" s="626">
        <f>24097710+1249875-1245375+1125000</f>
        <v>25227210</v>
      </c>
      <c r="G22" s="626">
        <f>4222056+218728-217940+196875</f>
        <v>4419719</v>
      </c>
      <c r="H22" s="626">
        <f>4796826+91000</f>
        <v>4887826</v>
      </c>
      <c r="I22" s="626">
        <v>304800</v>
      </c>
      <c r="J22" s="627">
        <v>0</v>
      </c>
      <c r="K22" s="628">
        <f t="shared" si="1"/>
        <v>34839555</v>
      </c>
    </row>
    <row r="23" spans="1:11" s="622" customFormat="1" ht="23.25" customHeight="1">
      <c r="A23" s="622">
        <v>20215</v>
      </c>
      <c r="B23" s="623" t="s">
        <v>55</v>
      </c>
      <c r="C23" s="623"/>
      <c r="D23" s="624" t="s">
        <v>400</v>
      </c>
      <c r="E23" s="625" t="s">
        <v>698</v>
      </c>
      <c r="F23" s="626">
        <f>11177496+981000-976500+1035000</f>
        <v>12216996</v>
      </c>
      <c r="G23" s="626">
        <f>1927326+171675-170887+181125</f>
        <v>2109239</v>
      </c>
      <c r="H23" s="626">
        <f>2955612+91000</f>
        <v>3046612</v>
      </c>
      <c r="I23" s="626">
        <v>401320</v>
      </c>
      <c r="J23" s="627">
        <v>0</v>
      </c>
      <c r="K23" s="628">
        <f t="shared" si="1"/>
        <v>17774167</v>
      </c>
    </row>
    <row r="24" spans="2:11" s="622" customFormat="1" ht="23.25" customHeight="1">
      <c r="B24" s="623"/>
      <c r="C24" s="623"/>
      <c r="D24" s="624" t="s">
        <v>401</v>
      </c>
      <c r="E24" s="625" t="s">
        <v>699</v>
      </c>
      <c r="F24" s="626">
        <f>10053189+639450</f>
        <v>10692639</v>
      </c>
      <c r="G24" s="626">
        <f>1759308+111904</f>
        <v>1871212</v>
      </c>
      <c r="H24" s="626">
        <v>1190218</v>
      </c>
      <c r="I24" s="626">
        <v>95250</v>
      </c>
      <c r="J24" s="627">
        <v>0</v>
      </c>
      <c r="K24" s="628">
        <f t="shared" si="1"/>
        <v>13849319</v>
      </c>
    </row>
    <row r="25" spans="2:11" s="622" customFormat="1" ht="24.75" customHeight="1">
      <c r="B25" s="623"/>
      <c r="C25" s="623"/>
      <c r="D25" s="624" t="s">
        <v>402</v>
      </c>
      <c r="E25" s="625" t="s">
        <v>922</v>
      </c>
      <c r="F25" s="626">
        <v>0</v>
      </c>
      <c r="G25" s="626">
        <v>0</v>
      </c>
      <c r="H25" s="626">
        <v>2677147</v>
      </c>
      <c r="I25" s="626">
        <v>0</v>
      </c>
      <c r="J25" s="627">
        <v>0</v>
      </c>
      <c r="K25" s="628">
        <f t="shared" si="1"/>
        <v>2677147</v>
      </c>
    </row>
    <row r="26" spans="2:11" s="622" customFormat="1" ht="71.25">
      <c r="B26" s="623"/>
      <c r="C26" s="623"/>
      <c r="D26" s="624" t="s">
        <v>403</v>
      </c>
      <c r="E26" s="625" t="s">
        <v>808</v>
      </c>
      <c r="F26" s="626">
        <f>3600000</f>
        <v>3600000</v>
      </c>
      <c r="G26" s="626">
        <v>630000</v>
      </c>
      <c r="H26" s="626">
        <v>0</v>
      </c>
      <c r="I26" s="626">
        <v>0</v>
      </c>
      <c r="J26" s="627">
        <v>0</v>
      </c>
      <c r="K26" s="628">
        <f t="shared" si="1"/>
        <v>4230000</v>
      </c>
    </row>
    <row r="27" spans="2:11" s="622" customFormat="1" ht="57.75" thickBot="1">
      <c r="B27" s="623"/>
      <c r="C27" s="623"/>
      <c r="D27" s="624" t="s">
        <v>404</v>
      </c>
      <c r="E27" s="625" t="s">
        <v>807</v>
      </c>
      <c r="F27" s="626">
        <f>6562063+2756937</f>
        <v>9319000</v>
      </c>
      <c r="G27" s="626">
        <f>1148361+482464</f>
        <v>1630825</v>
      </c>
      <c r="H27" s="626">
        <f>50000+2114762</f>
        <v>2164762</v>
      </c>
      <c r="I27" s="626">
        <v>0</v>
      </c>
      <c r="J27" s="627">
        <v>0</v>
      </c>
      <c r="K27" s="628">
        <f t="shared" si="1"/>
        <v>13114587</v>
      </c>
    </row>
    <row r="28" spans="1:14" s="633" customFormat="1" ht="24" customHeight="1" thickBot="1">
      <c r="A28" s="633">
        <v>999997</v>
      </c>
      <c r="B28" s="634"/>
      <c r="D28" s="635" t="s">
        <v>405</v>
      </c>
      <c r="E28" s="636" t="s">
        <v>367</v>
      </c>
      <c r="F28" s="637">
        <f aca="true" t="shared" si="2" ref="F28:K28">SUM(F17:F27)</f>
        <v>174330889</v>
      </c>
      <c r="G28" s="637">
        <f t="shared" si="2"/>
        <v>34231833</v>
      </c>
      <c r="H28" s="637">
        <f t="shared" si="2"/>
        <v>57463956</v>
      </c>
      <c r="I28" s="637">
        <f t="shared" si="2"/>
        <v>1174115</v>
      </c>
      <c r="J28" s="637">
        <f t="shared" si="2"/>
        <v>508000</v>
      </c>
      <c r="K28" s="638">
        <f t="shared" si="2"/>
        <v>267708793</v>
      </c>
      <c r="L28" s="639">
        <f>SUM(F28:J28)</f>
        <v>267708793</v>
      </c>
      <c r="M28" s="640"/>
      <c r="N28" s="640"/>
    </row>
    <row r="29" spans="1:11" s="523" customFormat="1" ht="39" customHeight="1">
      <c r="A29" s="492"/>
      <c r="B29" s="493"/>
      <c r="C29" s="493"/>
      <c r="D29" s="889" t="s">
        <v>785</v>
      </c>
      <c r="E29" s="890"/>
      <c r="F29" s="890"/>
      <c r="G29" s="890"/>
      <c r="H29" s="890"/>
      <c r="I29" s="890"/>
      <c r="J29" s="890"/>
      <c r="K29" s="891"/>
    </row>
    <row r="30" spans="2:11" s="622" customFormat="1" ht="31.5" customHeight="1">
      <c r="B30" s="623" t="s">
        <v>52</v>
      </c>
      <c r="C30" s="623"/>
      <c r="D30" s="624" t="s">
        <v>395</v>
      </c>
      <c r="E30" s="625" t="s">
        <v>534</v>
      </c>
      <c r="F30" s="627">
        <v>0</v>
      </c>
      <c r="G30" s="627">
        <v>0</v>
      </c>
      <c r="H30" s="627">
        <f>1082115-800000</f>
        <v>282115</v>
      </c>
      <c r="I30" s="627">
        <f>800000</f>
        <v>800000</v>
      </c>
      <c r="J30" s="627">
        <v>0</v>
      </c>
      <c r="K30" s="628">
        <f>SUM(F30:J30)</f>
        <v>1082115</v>
      </c>
    </row>
    <row r="31" spans="2:11" s="622" customFormat="1" ht="23.25" customHeight="1">
      <c r="B31" s="623" t="s">
        <v>53</v>
      </c>
      <c r="C31" s="623"/>
      <c r="D31" s="624" t="s">
        <v>396</v>
      </c>
      <c r="E31" s="625" t="s">
        <v>385</v>
      </c>
      <c r="F31" s="627">
        <v>2802000</v>
      </c>
      <c r="G31" s="627">
        <v>490350</v>
      </c>
      <c r="H31" s="627">
        <v>290700</v>
      </c>
      <c r="I31" s="627">
        <v>0</v>
      </c>
      <c r="J31" s="627">
        <v>0</v>
      </c>
      <c r="K31" s="628">
        <f>SUM(F31:J31)</f>
        <v>3583050</v>
      </c>
    </row>
    <row r="32" spans="2:11" s="622" customFormat="1" ht="33" customHeight="1">
      <c r="B32" s="623"/>
      <c r="C32" s="623"/>
      <c r="D32" s="624" t="s">
        <v>397</v>
      </c>
      <c r="E32" s="625" t="s">
        <v>767</v>
      </c>
      <c r="F32" s="627">
        <v>11931088</v>
      </c>
      <c r="G32" s="627">
        <v>2122958</v>
      </c>
      <c r="H32" s="627">
        <f>14446890-317500+144779</f>
        <v>14274169</v>
      </c>
      <c r="I32" s="627">
        <f>304800-177800</f>
        <v>127000</v>
      </c>
      <c r="J32" s="627">
        <v>578000</v>
      </c>
      <c r="K32" s="628">
        <f>SUM(F32:J32)</f>
        <v>29033215</v>
      </c>
    </row>
    <row r="33" spans="2:11" s="622" customFormat="1" ht="33" customHeight="1">
      <c r="B33" s="623"/>
      <c r="C33" s="623"/>
      <c r="D33" s="629" t="s">
        <v>398</v>
      </c>
      <c r="E33" s="630" t="s">
        <v>874</v>
      </c>
      <c r="F33" s="631">
        <f>1980314-775591</f>
        <v>1204723</v>
      </c>
      <c r="G33" s="631">
        <f>964502-377745</f>
        <v>586757</v>
      </c>
      <c r="H33" s="631">
        <f>7003586-2575544</f>
        <v>4428042</v>
      </c>
      <c r="I33" s="631">
        <v>0</v>
      </c>
      <c r="J33" s="631">
        <v>0</v>
      </c>
      <c r="K33" s="632">
        <f>SUM(F33:J33)</f>
        <v>6219522</v>
      </c>
    </row>
    <row r="34" spans="2:11" s="622" customFormat="1" ht="33" customHeight="1" thickBot="1">
      <c r="B34" s="623"/>
      <c r="C34" s="623"/>
      <c r="D34" s="629" t="s">
        <v>399</v>
      </c>
      <c r="E34" s="630" t="s">
        <v>805</v>
      </c>
      <c r="F34" s="631">
        <v>1800000</v>
      </c>
      <c r="G34" s="631">
        <v>315000</v>
      </c>
      <c r="H34" s="631">
        <v>3527681</v>
      </c>
      <c r="I34" s="631">
        <v>0</v>
      </c>
      <c r="J34" s="631">
        <v>0</v>
      </c>
      <c r="K34" s="632">
        <f>SUM(F34:J34)</f>
        <v>5642681</v>
      </c>
    </row>
    <row r="35" spans="1:14" s="633" customFormat="1" ht="24" customHeight="1" thickBot="1">
      <c r="A35" s="633">
        <v>999997</v>
      </c>
      <c r="B35" s="634"/>
      <c r="D35" s="635" t="s">
        <v>400</v>
      </c>
      <c r="E35" s="636" t="s">
        <v>367</v>
      </c>
      <c r="F35" s="637">
        <f aca="true" t="shared" si="3" ref="F35:K35">SUM(F29:F34)</f>
        <v>17737811</v>
      </c>
      <c r="G35" s="637">
        <f t="shared" si="3"/>
        <v>3515065</v>
      </c>
      <c r="H35" s="637">
        <f t="shared" si="3"/>
        <v>22802707</v>
      </c>
      <c r="I35" s="637">
        <f t="shared" si="3"/>
        <v>927000</v>
      </c>
      <c r="J35" s="637">
        <f t="shared" si="3"/>
        <v>578000</v>
      </c>
      <c r="K35" s="710">
        <f t="shared" si="3"/>
        <v>45560583</v>
      </c>
      <c r="L35" s="639">
        <f>SUM(F35:J35)</f>
        <v>45560583</v>
      </c>
      <c r="M35" s="640"/>
      <c r="N35" s="640"/>
    </row>
  </sheetData>
  <sheetProtection/>
  <mergeCells count="10">
    <mergeCell ref="D4:K4"/>
    <mergeCell ref="D17:K17"/>
    <mergeCell ref="D29:K29"/>
    <mergeCell ref="C1:C4"/>
    <mergeCell ref="I1:K1"/>
    <mergeCell ref="D8:D11"/>
    <mergeCell ref="E8:E10"/>
    <mergeCell ref="F8:J8"/>
    <mergeCell ref="K8:K10"/>
    <mergeCell ref="D12:K12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70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9"/>
  <sheetViews>
    <sheetView workbookViewId="0" topLeftCell="A1">
      <selection activeCell="G2" sqref="G2"/>
    </sheetView>
  </sheetViews>
  <sheetFormatPr defaultColWidth="9.00390625" defaultRowHeight="12.75"/>
  <cols>
    <col min="1" max="1" width="7.75390625" style="168" customWidth="1"/>
    <col min="2" max="2" width="31.75390625" style="168" customWidth="1"/>
    <col min="3" max="3" width="14.375" style="168" customWidth="1"/>
    <col min="4" max="5" width="14.375" style="168" bestFit="1" customWidth="1"/>
    <col min="6" max="6" width="16.25390625" style="168" bestFit="1" customWidth="1"/>
    <col min="7" max="8" width="14.625" style="168" bestFit="1" customWidth="1"/>
    <col min="9" max="9" width="16.25390625" style="168" bestFit="1" customWidth="1"/>
    <col min="10" max="11" width="12.875" style="168" customWidth="1"/>
    <col min="12" max="12" width="15.00390625" style="168" customWidth="1"/>
    <col min="13" max="13" width="17.00390625" style="168" bestFit="1" customWidth="1"/>
    <col min="14" max="15" width="9.125" style="168" customWidth="1"/>
    <col min="16" max="16" width="12.875" style="168" bestFit="1" customWidth="1"/>
    <col min="17" max="16384" width="9.125" style="168" customWidth="1"/>
  </cols>
  <sheetData>
    <row r="1" spans="1:21" ht="12.75">
      <c r="A1" s="234"/>
      <c r="B1" s="235"/>
      <c r="C1" s="236"/>
      <c r="D1" s="236"/>
      <c r="E1" s="236"/>
      <c r="F1" s="236"/>
      <c r="G1" s="920" t="s">
        <v>1016</v>
      </c>
      <c r="H1" s="920"/>
      <c r="I1" s="921"/>
      <c r="J1" s="921"/>
      <c r="K1" s="921"/>
      <c r="L1" s="921"/>
      <c r="M1" s="921"/>
      <c r="N1" s="235"/>
      <c r="O1" s="235"/>
      <c r="P1" s="235"/>
      <c r="Q1" s="235"/>
      <c r="R1" s="237"/>
      <c r="S1" s="237"/>
      <c r="T1" s="237"/>
      <c r="U1" s="235"/>
    </row>
    <row r="2" spans="1:21" ht="12.75">
      <c r="A2" s="234"/>
      <c r="B2" s="235"/>
      <c r="C2" s="236"/>
      <c r="D2" s="236"/>
      <c r="E2" s="236"/>
      <c r="F2" s="236"/>
      <c r="G2" s="238"/>
      <c r="H2" s="238"/>
      <c r="I2" s="239"/>
      <c r="J2" s="239"/>
      <c r="K2" s="239"/>
      <c r="L2" s="239"/>
      <c r="M2" s="239"/>
      <c r="N2" s="235"/>
      <c r="O2" s="235"/>
      <c r="P2" s="235"/>
      <c r="Q2" s="235"/>
      <c r="R2" s="237"/>
      <c r="S2" s="237"/>
      <c r="T2" s="237"/>
      <c r="U2" s="235"/>
    </row>
    <row r="3" spans="1:27" ht="15.75" customHeight="1">
      <c r="A3" s="925" t="s">
        <v>910</v>
      </c>
      <c r="B3" s="925"/>
      <c r="C3" s="925"/>
      <c r="D3" s="925"/>
      <c r="E3" s="925"/>
      <c r="F3" s="925"/>
      <c r="G3" s="925"/>
      <c r="H3" s="925"/>
      <c r="I3" s="925"/>
      <c r="J3" s="925"/>
      <c r="K3" s="925"/>
      <c r="L3" s="925"/>
      <c r="M3" s="925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</row>
    <row r="4" spans="1:27" ht="13.5" thickBot="1">
      <c r="A4" s="925"/>
      <c r="B4" s="925"/>
      <c r="C4" s="925"/>
      <c r="D4" s="925"/>
      <c r="E4" s="925"/>
      <c r="F4" s="925"/>
      <c r="G4" s="925"/>
      <c r="H4" s="925"/>
      <c r="I4" s="925"/>
      <c r="J4" s="925"/>
      <c r="K4" s="925"/>
      <c r="L4" s="925"/>
      <c r="M4" s="925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</row>
    <row r="5" spans="1:27" ht="16.5" thickBot="1">
      <c r="A5" s="913" t="s">
        <v>434</v>
      </c>
      <c r="B5" s="910" t="s">
        <v>363</v>
      </c>
      <c r="C5" s="916" t="s">
        <v>478</v>
      </c>
      <c r="D5" s="916"/>
      <c r="E5" s="916"/>
      <c r="F5" s="916"/>
      <c r="G5" s="916"/>
      <c r="H5" s="916"/>
      <c r="I5" s="916"/>
      <c r="J5" s="916"/>
      <c r="K5" s="916"/>
      <c r="L5" s="916"/>
      <c r="M5" s="917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42"/>
    </row>
    <row r="6" spans="1:13" ht="12.75" customHeight="1">
      <c r="A6" s="914"/>
      <c r="B6" s="911"/>
      <c r="C6" s="926" t="s">
        <v>479</v>
      </c>
      <c r="D6" s="901" t="s">
        <v>480</v>
      </c>
      <c r="E6" s="902"/>
      <c r="F6" s="903"/>
      <c r="G6" s="901" t="s">
        <v>481</v>
      </c>
      <c r="H6" s="902"/>
      <c r="I6" s="903"/>
      <c r="J6" s="901" t="s">
        <v>482</v>
      </c>
      <c r="K6" s="902"/>
      <c r="L6" s="903"/>
      <c r="M6" s="922" t="s">
        <v>372</v>
      </c>
    </row>
    <row r="7" spans="1:13" ht="12.75" customHeight="1">
      <c r="A7" s="914"/>
      <c r="B7" s="911"/>
      <c r="C7" s="927"/>
      <c r="D7" s="904"/>
      <c r="E7" s="905"/>
      <c r="F7" s="906"/>
      <c r="G7" s="904"/>
      <c r="H7" s="905"/>
      <c r="I7" s="906"/>
      <c r="J7" s="904"/>
      <c r="K7" s="905"/>
      <c r="L7" s="906"/>
      <c r="M7" s="923"/>
    </row>
    <row r="8" spans="1:13" ht="24" customHeight="1" thickBot="1">
      <c r="A8" s="915"/>
      <c r="B8" s="912"/>
      <c r="C8" s="928"/>
      <c r="D8" s="243" t="s">
        <v>84</v>
      </c>
      <c r="E8" s="244" t="s">
        <v>85</v>
      </c>
      <c r="F8" s="245" t="s">
        <v>89</v>
      </c>
      <c r="G8" s="246" t="s">
        <v>84</v>
      </c>
      <c r="H8" s="244" t="s">
        <v>85</v>
      </c>
      <c r="I8" s="245" t="s">
        <v>89</v>
      </c>
      <c r="J8" s="246" t="s">
        <v>84</v>
      </c>
      <c r="K8" s="244" t="s">
        <v>85</v>
      </c>
      <c r="L8" s="245" t="s">
        <v>89</v>
      </c>
      <c r="M8" s="924"/>
    </row>
    <row r="9" spans="1:13" ht="29.25" customHeight="1">
      <c r="A9" s="247" t="s">
        <v>395</v>
      </c>
      <c r="B9" s="248" t="s">
        <v>59</v>
      </c>
      <c r="C9" s="249" t="s">
        <v>711</v>
      </c>
      <c r="D9" s="250">
        <f>80745240-70000+6600+1155</f>
        <v>80682995</v>
      </c>
      <c r="E9" s="642"/>
      <c r="F9" s="252">
        <f>SUM(D9:E9)</f>
        <v>80682995</v>
      </c>
      <c r="G9" s="647"/>
      <c r="H9" s="642"/>
      <c r="I9" s="252">
        <f>SUM(G9:H9)</f>
        <v>0</v>
      </c>
      <c r="J9" s="254"/>
      <c r="K9" s="255"/>
      <c r="L9" s="252">
        <f>SUM(J9:K9)</f>
        <v>0</v>
      </c>
      <c r="M9" s="256">
        <f aca="true" t="shared" si="0" ref="M9:M49">SUM(F9+I9+L9)</f>
        <v>80682995</v>
      </c>
    </row>
    <row r="10" spans="1:13" ht="29.25" customHeight="1">
      <c r="A10" s="257" t="s">
        <v>396</v>
      </c>
      <c r="B10" s="259" t="s">
        <v>56</v>
      </c>
      <c r="C10" s="258" t="s">
        <v>701</v>
      </c>
      <c r="D10" s="250">
        <f>69965834-4779000</f>
        <v>65186834</v>
      </c>
      <c r="E10" s="251">
        <f>5000000+449520+8794813</f>
        <v>14244333</v>
      </c>
      <c r="F10" s="252">
        <f aca="true" t="shared" si="1" ref="F10:F49">SUM(D10:E10)</f>
        <v>79431167</v>
      </c>
      <c r="G10" s="253">
        <f>12645870-54000+500000</f>
        <v>13091870</v>
      </c>
      <c r="H10" s="251">
        <v>447341169</v>
      </c>
      <c r="I10" s="252">
        <f aca="true" t="shared" si="2" ref="I10:I49">SUM(G10:H10)</f>
        <v>460433039</v>
      </c>
      <c r="J10" s="254"/>
      <c r="K10" s="255"/>
      <c r="L10" s="252">
        <f aca="true" t="shared" si="3" ref="L10:L49">SUM(J10:K10)</f>
        <v>0</v>
      </c>
      <c r="M10" s="256">
        <f t="shared" si="0"/>
        <v>539864206</v>
      </c>
    </row>
    <row r="11" spans="1:13" ht="21.75" customHeight="1">
      <c r="A11" s="257" t="s">
        <v>397</v>
      </c>
      <c r="B11" s="274" t="s">
        <v>627</v>
      </c>
      <c r="C11" s="252" t="s">
        <v>768</v>
      </c>
      <c r="D11" s="261">
        <v>19299537</v>
      </c>
      <c r="E11" s="644"/>
      <c r="F11" s="252">
        <f t="shared" si="1"/>
        <v>19299537</v>
      </c>
      <c r="G11" s="648"/>
      <c r="H11" s="644"/>
      <c r="I11" s="252">
        <f t="shared" si="2"/>
        <v>0</v>
      </c>
      <c r="J11" s="264"/>
      <c r="K11" s="265"/>
      <c r="L11" s="252">
        <f t="shared" si="3"/>
        <v>0</v>
      </c>
      <c r="M11" s="256">
        <f t="shared" si="0"/>
        <v>19299537</v>
      </c>
    </row>
    <row r="12" spans="1:13" ht="29.25" customHeight="1">
      <c r="A12" s="257" t="s">
        <v>398</v>
      </c>
      <c r="B12" s="259" t="s">
        <v>64</v>
      </c>
      <c r="C12" s="252" t="s">
        <v>924</v>
      </c>
      <c r="D12" s="641"/>
      <c r="E12" s="642"/>
      <c r="F12" s="252">
        <f t="shared" si="1"/>
        <v>0</v>
      </c>
      <c r="G12" s="647"/>
      <c r="H12" s="642"/>
      <c r="I12" s="252">
        <f t="shared" si="2"/>
        <v>0</v>
      </c>
      <c r="J12" s="254">
        <v>12311385</v>
      </c>
      <c r="K12" s="255"/>
      <c r="L12" s="252">
        <f t="shared" si="3"/>
        <v>12311385</v>
      </c>
      <c r="M12" s="256">
        <f t="shared" si="0"/>
        <v>12311385</v>
      </c>
    </row>
    <row r="13" spans="1:13" ht="29.25" customHeight="1">
      <c r="A13" s="257" t="s">
        <v>399</v>
      </c>
      <c r="B13" s="259" t="s">
        <v>759</v>
      </c>
      <c r="C13" s="258" t="s">
        <v>925</v>
      </c>
      <c r="D13" s="250">
        <f>4016545+11080125+969525+4441343</f>
        <v>20507538</v>
      </c>
      <c r="E13" s="251">
        <f>190500</f>
        <v>190500</v>
      </c>
      <c r="F13" s="252">
        <f t="shared" si="1"/>
        <v>20698038</v>
      </c>
      <c r="G13" s="647"/>
      <c r="H13" s="642"/>
      <c r="I13" s="252">
        <f t="shared" si="2"/>
        <v>0</v>
      </c>
      <c r="J13" s="254"/>
      <c r="K13" s="255"/>
      <c r="L13" s="252">
        <f t="shared" si="3"/>
        <v>0</v>
      </c>
      <c r="M13" s="256">
        <f t="shared" si="0"/>
        <v>20698038</v>
      </c>
    </row>
    <row r="14" spans="1:13" ht="29.25" customHeight="1">
      <c r="A14" s="257" t="s">
        <v>400</v>
      </c>
      <c r="B14" s="259" t="s">
        <v>760</v>
      </c>
      <c r="C14" s="258" t="s">
        <v>925</v>
      </c>
      <c r="D14" s="250">
        <f>13227888+23197320+2029806+1310301</f>
        <v>39765315</v>
      </c>
      <c r="E14" s="251">
        <v>74295</v>
      </c>
      <c r="F14" s="252">
        <f t="shared" si="1"/>
        <v>39839610</v>
      </c>
      <c r="G14" s="647"/>
      <c r="H14" s="642"/>
      <c r="I14" s="252">
        <f t="shared" si="2"/>
        <v>0</v>
      </c>
      <c r="J14" s="254"/>
      <c r="K14" s="255"/>
      <c r="L14" s="252">
        <f t="shared" si="3"/>
        <v>0</v>
      </c>
      <c r="M14" s="256">
        <f t="shared" si="0"/>
        <v>39839610</v>
      </c>
    </row>
    <row r="15" spans="1:13" ht="21.75" customHeight="1">
      <c r="A15" s="257" t="s">
        <v>401</v>
      </c>
      <c r="B15" s="274" t="s">
        <v>868</v>
      </c>
      <c r="C15" s="258" t="s">
        <v>702</v>
      </c>
      <c r="D15" s="643"/>
      <c r="E15" s="262">
        <f>25000000-20000000</f>
        <v>5000000</v>
      </c>
      <c r="F15" s="252">
        <f t="shared" si="1"/>
        <v>5000000</v>
      </c>
      <c r="G15" s="648"/>
      <c r="H15" s="262"/>
      <c r="I15" s="252">
        <f t="shared" si="2"/>
        <v>0</v>
      </c>
      <c r="J15" s="264"/>
      <c r="K15" s="265"/>
      <c r="L15" s="252">
        <f t="shared" si="3"/>
        <v>0</v>
      </c>
      <c r="M15" s="256">
        <f t="shared" si="0"/>
        <v>5000000</v>
      </c>
    </row>
    <row r="16" spans="1:13" ht="29.25" customHeight="1">
      <c r="A16" s="260" t="s">
        <v>402</v>
      </c>
      <c r="B16" s="259" t="s">
        <v>345</v>
      </c>
      <c r="C16" s="258" t="s">
        <v>702</v>
      </c>
      <c r="D16" s="250">
        <v>15377340</v>
      </c>
      <c r="E16" s="251">
        <v>363120</v>
      </c>
      <c r="F16" s="252">
        <f t="shared" si="1"/>
        <v>15740460</v>
      </c>
      <c r="G16" s="647"/>
      <c r="H16" s="642"/>
      <c r="I16" s="252">
        <f t="shared" si="2"/>
        <v>0</v>
      </c>
      <c r="J16" s="254"/>
      <c r="K16" s="255"/>
      <c r="L16" s="252">
        <f t="shared" si="3"/>
        <v>0</v>
      </c>
      <c r="M16" s="256">
        <f t="shared" si="0"/>
        <v>15740460</v>
      </c>
    </row>
    <row r="17" spans="1:13" ht="29.25" customHeight="1">
      <c r="A17" s="257" t="s">
        <v>403</v>
      </c>
      <c r="B17" s="259" t="s">
        <v>66</v>
      </c>
      <c r="C17" s="258" t="s">
        <v>703</v>
      </c>
      <c r="D17" s="250">
        <v>5249710</v>
      </c>
      <c r="E17" s="251">
        <v>101682090</v>
      </c>
      <c r="F17" s="252">
        <f t="shared" si="1"/>
        <v>106931800</v>
      </c>
      <c r="G17" s="647"/>
      <c r="H17" s="642"/>
      <c r="I17" s="252">
        <f t="shared" si="2"/>
        <v>0</v>
      </c>
      <c r="J17" s="254"/>
      <c r="K17" s="255"/>
      <c r="L17" s="252">
        <f t="shared" si="3"/>
        <v>0</v>
      </c>
      <c r="M17" s="256">
        <f t="shared" si="0"/>
        <v>106931800</v>
      </c>
    </row>
    <row r="18" spans="1:13" ht="29.25" customHeight="1">
      <c r="A18" s="257" t="s">
        <v>404</v>
      </c>
      <c r="B18" s="259" t="s">
        <v>810</v>
      </c>
      <c r="C18" s="258"/>
      <c r="D18" s="250"/>
      <c r="E18" s="251"/>
      <c r="F18" s="252">
        <f t="shared" si="1"/>
        <v>0</v>
      </c>
      <c r="G18" s="253">
        <v>4571244</v>
      </c>
      <c r="H18" s="251">
        <v>187978206</v>
      </c>
      <c r="I18" s="252">
        <f t="shared" si="2"/>
        <v>192549450</v>
      </c>
      <c r="J18" s="254"/>
      <c r="K18" s="255"/>
      <c r="L18" s="252">
        <f t="shared" si="3"/>
        <v>0</v>
      </c>
      <c r="M18" s="256">
        <f t="shared" si="0"/>
        <v>192549450</v>
      </c>
    </row>
    <row r="19" spans="1:13" ht="30.75" customHeight="1">
      <c r="A19" s="257" t="s">
        <v>405</v>
      </c>
      <c r="B19" s="259" t="s">
        <v>50</v>
      </c>
      <c r="C19" s="258" t="s">
        <v>704</v>
      </c>
      <c r="D19" s="261">
        <v>3416864</v>
      </c>
      <c r="E19" s="644"/>
      <c r="F19" s="252">
        <f t="shared" si="1"/>
        <v>3416864</v>
      </c>
      <c r="G19" s="648"/>
      <c r="H19" s="644"/>
      <c r="I19" s="252">
        <f t="shared" si="2"/>
        <v>0</v>
      </c>
      <c r="J19" s="264"/>
      <c r="K19" s="265"/>
      <c r="L19" s="252">
        <f t="shared" si="3"/>
        <v>0</v>
      </c>
      <c r="M19" s="256">
        <f t="shared" si="0"/>
        <v>3416864</v>
      </c>
    </row>
    <row r="20" spans="1:13" ht="31.5" customHeight="1">
      <c r="A20" s="257" t="s">
        <v>406</v>
      </c>
      <c r="B20" s="259" t="s">
        <v>377</v>
      </c>
      <c r="C20" s="258" t="s">
        <v>705</v>
      </c>
      <c r="D20" s="261">
        <v>9798424</v>
      </c>
      <c r="E20" s="262">
        <v>1000000</v>
      </c>
      <c r="F20" s="252">
        <f t="shared" si="1"/>
        <v>10798424</v>
      </c>
      <c r="G20" s="648"/>
      <c r="H20" s="644"/>
      <c r="I20" s="252">
        <f t="shared" si="2"/>
        <v>0</v>
      </c>
      <c r="J20" s="264"/>
      <c r="K20" s="265"/>
      <c r="L20" s="252">
        <f t="shared" si="3"/>
        <v>0</v>
      </c>
      <c r="M20" s="256">
        <f t="shared" si="0"/>
        <v>10798424</v>
      </c>
    </row>
    <row r="21" spans="1:13" ht="31.5" customHeight="1">
      <c r="A21" s="257" t="s">
        <v>407</v>
      </c>
      <c r="B21" s="259" t="s">
        <v>811</v>
      </c>
      <c r="C21" s="258" t="s">
        <v>926</v>
      </c>
      <c r="D21" s="261">
        <v>4276480</v>
      </c>
      <c r="E21" s="262">
        <f>1940000+5000000</f>
        <v>6940000</v>
      </c>
      <c r="F21" s="252">
        <f t="shared" si="1"/>
        <v>11216480</v>
      </c>
      <c r="G21" s="648"/>
      <c r="H21" s="644"/>
      <c r="I21" s="252">
        <f t="shared" si="2"/>
        <v>0</v>
      </c>
      <c r="J21" s="264"/>
      <c r="K21" s="265"/>
      <c r="L21" s="252">
        <f t="shared" si="3"/>
        <v>0</v>
      </c>
      <c r="M21" s="256">
        <f t="shared" si="0"/>
        <v>11216480</v>
      </c>
    </row>
    <row r="22" spans="1:13" ht="31.5" customHeight="1">
      <c r="A22" s="257" t="s">
        <v>408</v>
      </c>
      <c r="B22" s="259" t="s">
        <v>812</v>
      </c>
      <c r="C22" s="258" t="s">
        <v>703</v>
      </c>
      <c r="D22" s="261">
        <v>1377000</v>
      </c>
      <c r="E22" s="262">
        <v>21830061</v>
      </c>
      <c r="F22" s="252">
        <f t="shared" si="1"/>
        <v>23207061</v>
      </c>
      <c r="G22" s="648"/>
      <c r="H22" s="644"/>
      <c r="I22" s="252">
        <f t="shared" si="2"/>
        <v>0</v>
      </c>
      <c r="J22" s="264"/>
      <c r="K22" s="265"/>
      <c r="L22" s="252">
        <f t="shared" si="3"/>
        <v>0</v>
      </c>
      <c r="M22" s="256">
        <f t="shared" si="0"/>
        <v>23207061</v>
      </c>
    </row>
    <row r="23" spans="1:13" ht="31.5" customHeight="1">
      <c r="A23" s="257" t="s">
        <v>409</v>
      </c>
      <c r="B23" s="259" t="s">
        <v>869</v>
      </c>
      <c r="C23" s="258"/>
      <c r="D23" s="261"/>
      <c r="E23" s="262"/>
      <c r="F23" s="252">
        <f t="shared" si="1"/>
        <v>0</v>
      </c>
      <c r="G23" s="263">
        <f>1044000+164430+640554-254000</f>
        <v>1594984</v>
      </c>
      <c r="H23" s="262">
        <v>973100</v>
      </c>
      <c r="I23" s="252">
        <f t="shared" si="2"/>
        <v>2568084</v>
      </c>
      <c r="J23" s="264"/>
      <c r="K23" s="265"/>
      <c r="L23" s="252">
        <f t="shared" si="3"/>
        <v>0</v>
      </c>
      <c r="M23" s="256">
        <f t="shared" si="0"/>
        <v>2568084</v>
      </c>
    </row>
    <row r="24" spans="1:13" ht="31.5" customHeight="1">
      <c r="A24" s="257" t="s">
        <v>410</v>
      </c>
      <c r="B24" s="259" t="s">
        <v>813</v>
      </c>
      <c r="C24" s="269" t="s">
        <v>927</v>
      </c>
      <c r="D24" s="261">
        <f>609406+143206+4667808</f>
        <v>5420420</v>
      </c>
      <c r="E24" s="262">
        <f>19510500+91442680+863600-1730500</f>
        <v>110086280</v>
      </c>
      <c r="F24" s="252">
        <f t="shared" si="1"/>
        <v>115506700</v>
      </c>
      <c r="G24" s="648"/>
      <c r="H24" s="262"/>
      <c r="I24" s="252">
        <f t="shared" si="2"/>
        <v>0</v>
      </c>
      <c r="J24" s="264"/>
      <c r="K24" s="265"/>
      <c r="L24" s="252">
        <f t="shared" si="3"/>
        <v>0</v>
      </c>
      <c r="M24" s="256">
        <f t="shared" si="0"/>
        <v>115506700</v>
      </c>
    </row>
    <row r="25" spans="1:13" ht="21.75" customHeight="1">
      <c r="A25" s="257" t="s">
        <v>411</v>
      </c>
      <c r="B25" s="274" t="s">
        <v>762</v>
      </c>
      <c r="C25" s="269" t="s">
        <v>928</v>
      </c>
      <c r="D25" s="261">
        <v>416194</v>
      </c>
      <c r="E25" s="262">
        <v>6759599</v>
      </c>
      <c r="F25" s="252">
        <f t="shared" si="1"/>
        <v>7175793</v>
      </c>
      <c r="G25" s="648"/>
      <c r="H25" s="644"/>
      <c r="I25" s="252">
        <f t="shared" si="2"/>
        <v>0</v>
      </c>
      <c r="J25" s="264"/>
      <c r="K25" s="265"/>
      <c r="L25" s="252">
        <f t="shared" si="3"/>
        <v>0</v>
      </c>
      <c r="M25" s="256">
        <f t="shared" si="0"/>
        <v>7175793</v>
      </c>
    </row>
    <row r="26" spans="1:13" ht="21.75" customHeight="1">
      <c r="A26" s="257" t="s">
        <v>412</v>
      </c>
      <c r="B26" s="274" t="s">
        <v>380</v>
      </c>
      <c r="C26" s="269" t="s">
        <v>702</v>
      </c>
      <c r="D26" s="261">
        <v>24094440</v>
      </c>
      <c r="E26" s="262">
        <v>2794000</v>
      </c>
      <c r="F26" s="252">
        <f t="shared" si="1"/>
        <v>26888440</v>
      </c>
      <c r="G26" s="648"/>
      <c r="H26" s="644"/>
      <c r="I26" s="252">
        <f t="shared" si="2"/>
        <v>0</v>
      </c>
      <c r="J26" s="264"/>
      <c r="K26" s="265"/>
      <c r="L26" s="252">
        <f t="shared" si="3"/>
        <v>0</v>
      </c>
      <c r="M26" s="256">
        <f t="shared" si="0"/>
        <v>26888440</v>
      </c>
    </row>
    <row r="27" spans="1:13" ht="21.75" customHeight="1">
      <c r="A27" s="257" t="s">
        <v>413</v>
      </c>
      <c r="B27" s="274" t="s">
        <v>378</v>
      </c>
      <c r="C27" s="269" t="s">
        <v>702</v>
      </c>
      <c r="D27" s="261">
        <f>34917000-1444000</f>
        <v>33473000</v>
      </c>
      <c r="E27" s="262"/>
      <c r="F27" s="252">
        <f t="shared" si="1"/>
        <v>33473000</v>
      </c>
      <c r="G27" s="648"/>
      <c r="H27" s="644"/>
      <c r="I27" s="252">
        <f t="shared" si="2"/>
        <v>0</v>
      </c>
      <c r="J27" s="264"/>
      <c r="K27" s="265"/>
      <c r="L27" s="252">
        <f t="shared" si="3"/>
        <v>0</v>
      </c>
      <c r="M27" s="256">
        <f t="shared" si="0"/>
        <v>33473000</v>
      </c>
    </row>
    <row r="28" spans="1:13" ht="22.5" customHeight="1">
      <c r="A28" s="257" t="s">
        <v>414</v>
      </c>
      <c r="B28" s="274" t="s">
        <v>82</v>
      </c>
      <c r="C28" s="760" t="s">
        <v>929</v>
      </c>
      <c r="D28" s="261">
        <f>25000+3938+14028933-1454446+14018000-6364000-3280000+38197</f>
        <v>17015622</v>
      </c>
      <c r="E28" s="262">
        <f>3348220+2000000</f>
        <v>5348220</v>
      </c>
      <c r="F28" s="252">
        <f t="shared" si="1"/>
        <v>22363842</v>
      </c>
      <c r="G28" s="263">
        <v>1454446</v>
      </c>
      <c r="H28" s="644"/>
      <c r="I28" s="252">
        <f t="shared" si="2"/>
        <v>1454446</v>
      </c>
      <c r="J28" s="264"/>
      <c r="K28" s="265"/>
      <c r="L28" s="252">
        <f t="shared" si="3"/>
        <v>0</v>
      </c>
      <c r="M28" s="256">
        <f t="shared" si="0"/>
        <v>23818288</v>
      </c>
    </row>
    <row r="29" spans="1:13" ht="23.25" customHeight="1">
      <c r="A29" s="257" t="s">
        <v>415</v>
      </c>
      <c r="B29" s="274" t="s">
        <v>382</v>
      </c>
      <c r="C29" s="269" t="s">
        <v>930</v>
      </c>
      <c r="D29" s="261">
        <v>360000</v>
      </c>
      <c r="E29" s="644"/>
      <c r="F29" s="252">
        <f t="shared" si="1"/>
        <v>360000</v>
      </c>
      <c r="G29" s="648"/>
      <c r="H29" s="644"/>
      <c r="I29" s="252">
        <f t="shared" si="2"/>
        <v>0</v>
      </c>
      <c r="J29" s="264"/>
      <c r="K29" s="265"/>
      <c r="L29" s="252">
        <f t="shared" si="3"/>
        <v>0</v>
      </c>
      <c r="M29" s="256">
        <f t="shared" si="0"/>
        <v>360000</v>
      </c>
    </row>
    <row r="30" spans="1:13" ht="22.5" customHeight="1">
      <c r="A30" s="257" t="s">
        <v>416</v>
      </c>
      <c r="B30" s="274" t="s">
        <v>383</v>
      </c>
      <c r="C30" s="269" t="s">
        <v>930</v>
      </c>
      <c r="D30" s="261">
        <v>27644450</v>
      </c>
      <c r="E30" s="262"/>
      <c r="F30" s="252">
        <f t="shared" si="1"/>
        <v>27644450</v>
      </c>
      <c r="G30" s="648"/>
      <c r="H30" s="644"/>
      <c r="I30" s="252">
        <f t="shared" si="2"/>
        <v>0</v>
      </c>
      <c r="J30" s="264"/>
      <c r="K30" s="265"/>
      <c r="L30" s="252">
        <f t="shared" si="3"/>
        <v>0</v>
      </c>
      <c r="M30" s="256">
        <f t="shared" si="0"/>
        <v>27644450</v>
      </c>
    </row>
    <row r="31" spans="1:13" ht="22.5" customHeight="1">
      <c r="A31" s="257" t="s">
        <v>483</v>
      </c>
      <c r="B31" s="274" t="s">
        <v>384</v>
      </c>
      <c r="C31" s="269" t="s">
        <v>706</v>
      </c>
      <c r="D31" s="261">
        <v>120000</v>
      </c>
      <c r="E31" s="644"/>
      <c r="F31" s="252">
        <f t="shared" si="1"/>
        <v>120000</v>
      </c>
      <c r="G31" s="648"/>
      <c r="H31" s="644"/>
      <c r="I31" s="252">
        <f t="shared" si="2"/>
        <v>0</v>
      </c>
      <c r="J31" s="264"/>
      <c r="K31" s="265"/>
      <c r="L31" s="252">
        <f t="shared" si="3"/>
        <v>0</v>
      </c>
      <c r="M31" s="256">
        <f t="shared" si="0"/>
        <v>120000</v>
      </c>
    </row>
    <row r="32" spans="1:13" ht="29.25" customHeight="1">
      <c r="A32" s="257" t="s">
        <v>484</v>
      </c>
      <c r="B32" s="259" t="s">
        <v>713</v>
      </c>
      <c r="C32" s="258" t="s">
        <v>930</v>
      </c>
      <c r="D32" s="261">
        <f>27396716+4793101+2949420</f>
        <v>35139237</v>
      </c>
      <c r="E32" s="262">
        <v>190500</v>
      </c>
      <c r="F32" s="252">
        <f t="shared" si="1"/>
        <v>35329737</v>
      </c>
      <c r="G32" s="648"/>
      <c r="H32" s="644"/>
      <c r="I32" s="252">
        <f t="shared" si="2"/>
        <v>0</v>
      </c>
      <c r="J32" s="264"/>
      <c r="K32" s="265"/>
      <c r="L32" s="252">
        <f t="shared" si="3"/>
        <v>0</v>
      </c>
      <c r="M32" s="256">
        <f t="shared" si="0"/>
        <v>35329737</v>
      </c>
    </row>
    <row r="33" spans="1:13" ht="29.25" customHeight="1">
      <c r="A33" s="257" t="s">
        <v>485</v>
      </c>
      <c r="B33" s="266" t="s">
        <v>81</v>
      </c>
      <c r="C33" s="252" t="s">
        <v>707</v>
      </c>
      <c r="D33" s="261">
        <f>16949000+1500000</f>
        <v>18449000</v>
      </c>
      <c r="E33" s="644"/>
      <c r="F33" s="252">
        <f t="shared" si="1"/>
        <v>18449000</v>
      </c>
      <c r="G33" s="649"/>
      <c r="H33" s="262"/>
      <c r="I33" s="252">
        <f t="shared" si="2"/>
        <v>0</v>
      </c>
      <c r="J33" s="264"/>
      <c r="K33" s="265"/>
      <c r="L33" s="252">
        <f t="shared" si="3"/>
        <v>0</v>
      </c>
      <c r="M33" s="256">
        <f t="shared" si="0"/>
        <v>18449000</v>
      </c>
    </row>
    <row r="34" spans="1:13" ht="29.25" customHeight="1">
      <c r="A34" s="257" t="s">
        <v>458</v>
      </c>
      <c r="B34" s="266" t="s">
        <v>842</v>
      </c>
      <c r="C34" s="252"/>
      <c r="D34" s="261"/>
      <c r="E34" s="644"/>
      <c r="F34" s="252">
        <f t="shared" si="1"/>
        <v>0</v>
      </c>
      <c r="G34" s="714">
        <v>15000</v>
      </c>
      <c r="H34" s="262"/>
      <c r="I34" s="252">
        <f t="shared" si="2"/>
        <v>15000</v>
      </c>
      <c r="J34" s="264"/>
      <c r="K34" s="265"/>
      <c r="L34" s="252">
        <f t="shared" si="3"/>
        <v>0</v>
      </c>
      <c r="M34" s="256">
        <f t="shared" si="0"/>
        <v>15000</v>
      </c>
    </row>
    <row r="35" spans="1:13" ht="30.75" customHeight="1">
      <c r="A35" s="257" t="s">
        <v>486</v>
      </c>
      <c r="B35" s="281" t="s">
        <v>601</v>
      </c>
      <c r="C35" s="252"/>
      <c r="D35" s="643"/>
      <c r="E35" s="644"/>
      <c r="F35" s="252">
        <f t="shared" si="1"/>
        <v>0</v>
      </c>
      <c r="G35" s="268">
        <f>80000+38963+1830220</f>
        <v>1949183</v>
      </c>
      <c r="H35" s="262">
        <v>730250</v>
      </c>
      <c r="I35" s="252">
        <f t="shared" si="2"/>
        <v>2679433</v>
      </c>
      <c r="J35" s="264"/>
      <c r="K35" s="265"/>
      <c r="L35" s="252">
        <f t="shared" si="3"/>
        <v>0</v>
      </c>
      <c r="M35" s="256">
        <f t="shared" si="0"/>
        <v>2679433</v>
      </c>
    </row>
    <row r="36" spans="1:13" ht="23.25" customHeight="1">
      <c r="A36" s="257" t="s">
        <v>417</v>
      </c>
      <c r="B36" s="259" t="s">
        <v>83</v>
      </c>
      <c r="C36" s="273"/>
      <c r="D36" s="645"/>
      <c r="E36" s="646"/>
      <c r="F36" s="252">
        <f t="shared" si="1"/>
        <v>0</v>
      </c>
      <c r="G36" s="272">
        <v>73660</v>
      </c>
      <c r="H36" s="646"/>
      <c r="I36" s="252">
        <f t="shared" si="2"/>
        <v>73660</v>
      </c>
      <c r="J36" s="264"/>
      <c r="K36" s="265"/>
      <c r="L36" s="252">
        <f t="shared" si="3"/>
        <v>0</v>
      </c>
      <c r="M36" s="256">
        <f t="shared" si="0"/>
        <v>73660</v>
      </c>
    </row>
    <row r="37" spans="1:13" ht="23.25" customHeight="1">
      <c r="A37" s="257" t="s">
        <v>418</v>
      </c>
      <c r="B37" s="259" t="s">
        <v>843</v>
      </c>
      <c r="C37" s="273"/>
      <c r="D37" s="645"/>
      <c r="E37" s="646"/>
      <c r="F37" s="252">
        <f t="shared" si="1"/>
        <v>0</v>
      </c>
      <c r="G37" s="272">
        <v>12229669</v>
      </c>
      <c r="H37" s="271"/>
      <c r="I37" s="252">
        <f t="shared" si="2"/>
        <v>12229669</v>
      </c>
      <c r="J37" s="264"/>
      <c r="K37" s="265"/>
      <c r="L37" s="252">
        <f t="shared" si="3"/>
        <v>0</v>
      </c>
      <c r="M37" s="256">
        <f t="shared" si="0"/>
        <v>12229669</v>
      </c>
    </row>
    <row r="38" spans="1:13" ht="23.25" customHeight="1">
      <c r="A38" s="257" t="s">
        <v>419</v>
      </c>
      <c r="B38" s="259" t="s">
        <v>816</v>
      </c>
      <c r="C38" s="252" t="s">
        <v>712</v>
      </c>
      <c r="D38" s="645"/>
      <c r="E38" s="271">
        <v>31599998</v>
      </c>
      <c r="F38" s="252">
        <f t="shared" si="1"/>
        <v>31599998</v>
      </c>
      <c r="G38" s="272"/>
      <c r="H38" s="646"/>
      <c r="I38" s="252">
        <f t="shared" si="2"/>
        <v>0</v>
      </c>
      <c r="J38" s="264"/>
      <c r="K38" s="265"/>
      <c r="L38" s="252">
        <f t="shared" si="3"/>
        <v>0</v>
      </c>
      <c r="M38" s="256">
        <f t="shared" si="0"/>
        <v>31599998</v>
      </c>
    </row>
    <row r="39" spans="1:13" ht="23.25" customHeight="1">
      <c r="A39" s="257" t="s">
        <v>487</v>
      </c>
      <c r="B39" s="259" t="s">
        <v>817</v>
      </c>
      <c r="C39" s="273"/>
      <c r="D39" s="645"/>
      <c r="E39" s="271"/>
      <c r="F39" s="252">
        <f t="shared" si="1"/>
        <v>0</v>
      </c>
      <c r="G39" s="272">
        <v>12302209</v>
      </c>
      <c r="H39" s="646"/>
      <c r="I39" s="252">
        <f t="shared" si="2"/>
        <v>12302209</v>
      </c>
      <c r="J39" s="264"/>
      <c r="K39" s="265"/>
      <c r="L39" s="252">
        <f t="shared" si="3"/>
        <v>0</v>
      </c>
      <c r="M39" s="256">
        <f t="shared" si="0"/>
        <v>12302209</v>
      </c>
    </row>
    <row r="40" spans="1:13" ht="24" customHeight="1">
      <c r="A40" s="257" t="s">
        <v>420</v>
      </c>
      <c r="B40" s="259" t="s">
        <v>634</v>
      </c>
      <c r="C40" s="267" t="s">
        <v>931</v>
      </c>
      <c r="D40" s="270">
        <f>2543600+445130+57876511</f>
        <v>60865241</v>
      </c>
      <c r="E40" s="271">
        <v>74930</v>
      </c>
      <c r="F40" s="252">
        <f t="shared" si="1"/>
        <v>60940171</v>
      </c>
      <c r="G40" s="650"/>
      <c r="H40" s="646"/>
      <c r="I40" s="252">
        <f t="shared" si="2"/>
        <v>0</v>
      </c>
      <c r="J40" s="264"/>
      <c r="K40" s="265"/>
      <c r="L40" s="252">
        <f t="shared" si="3"/>
        <v>0</v>
      </c>
      <c r="M40" s="256">
        <f t="shared" si="0"/>
        <v>60940171</v>
      </c>
    </row>
    <row r="41" spans="1:13" ht="21.75" customHeight="1">
      <c r="A41" s="257" t="s">
        <v>437</v>
      </c>
      <c r="B41" s="274" t="s">
        <v>696</v>
      </c>
      <c r="C41" s="269"/>
      <c r="D41" s="643"/>
      <c r="E41" s="644"/>
      <c r="F41" s="252">
        <f t="shared" si="1"/>
        <v>0</v>
      </c>
      <c r="G41" s="263">
        <v>21650000</v>
      </c>
      <c r="H41" s="644"/>
      <c r="I41" s="252">
        <f t="shared" si="2"/>
        <v>21650000</v>
      </c>
      <c r="J41" s="264"/>
      <c r="K41" s="265"/>
      <c r="L41" s="252">
        <f t="shared" si="3"/>
        <v>0</v>
      </c>
      <c r="M41" s="256">
        <f t="shared" si="0"/>
        <v>21650000</v>
      </c>
    </row>
    <row r="42" spans="1:13" ht="24" customHeight="1">
      <c r="A42" s="257" t="s">
        <v>488</v>
      </c>
      <c r="B42" s="259" t="s">
        <v>636</v>
      </c>
      <c r="C42" s="267" t="s">
        <v>721</v>
      </c>
      <c r="D42" s="270">
        <v>1812600</v>
      </c>
      <c r="E42" s="646"/>
      <c r="F42" s="252">
        <f t="shared" si="1"/>
        <v>1812600</v>
      </c>
      <c r="G42" s="650"/>
      <c r="H42" s="646"/>
      <c r="I42" s="252">
        <f t="shared" si="2"/>
        <v>0</v>
      </c>
      <c r="J42" s="264"/>
      <c r="K42" s="265"/>
      <c r="L42" s="252">
        <f t="shared" si="3"/>
        <v>0</v>
      </c>
      <c r="M42" s="256">
        <f>SUM(F42+I42+L42)</f>
        <v>1812600</v>
      </c>
    </row>
    <row r="43" spans="1:13" ht="29.25" customHeight="1">
      <c r="A43" s="257" t="s">
        <v>489</v>
      </c>
      <c r="B43" s="274" t="s">
        <v>763</v>
      </c>
      <c r="C43" s="269"/>
      <c r="D43" s="643"/>
      <c r="E43" s="644"/>
      <c r="F43" s="252">
        <f t="shared" si="1"/>
        <v>0</v>
      </c>
      <c r="G43" s="263">
        <v>46804899</v>
      </c>
      <c r="H43" s="262"/>
      <c r="I43" s="252">
        <f t="shared" si="2"/>
        <v>46804899</v>
      </c>
      <c r="J43" s="264"/>
      <c r="K43" s="265"/>
      <c r="L43" s="252">
        <f t="shared" si="3"/>
        <v>0</v>
      </c>
      <c r="M43" s="256">
        <f t="shared" si="0"/>
        <v>46804899</v>
      </c>
    </row>
    <row r="44" spans="1:13" ht="21.75" customHeight="1">
      <c r="A44" s="257" t="s">
        <v>822</v>
      </c>
      <c r="B44" s="274" t="s">
        <v>454</v>
      </c>
      <c r="C44" s="269" t="s">
        <v>710</v>
      </c>
      <c r="D44" s="261">
        <v>4632000</v>
      </c>
      <c r="E44" s="644"/>
      <c r="F44" s="252">
        <f t="shared" si="1"/>
        <v>4632000</v>
      </c>
      <c r="G44" s="648"/>
      <c r="H44" s="644"/>
      <c r="I44" s="252">
        <f t="shared" si="2"/>
        <v>0</v>
      </c>
      <c r="J44" s="264"/>
      <c r="K44" s="265"/>
      <c r="L44" s="252">
        <f t="shared" si="3"/>
        <v>0</v>
      </c>
      <c r="M44" s="256">
        <f t="shared" si="0"/>
        <v>4632000</v>
      </c>
    </row>
    <row r="45" spans="1:13" ht="21.75" customHeight="1">
      <c r="A45" s="257" t="s">
        <v>823</v>
      </c>
      <c r="B45" s="274" t="s">
        <v>819</v>
      </c>
      <c r="C45" s="269" t="s">
        <v>844</v>
      </c>
      <c r="D45" s="261">
        <v>2286000</v>
      </c>
      <c r="E45" s="644"/>
      <c r="F45" s="252">
        <f t="shared" si="1"/>
        <v>2286000</v>
      </c>
      <c r="G45" s="648"/>
      <c r="H45" s="644"/>
      <c r="I45" s="252">
        <f t="shared" si="2"/>
        <v>0</v>
      </c>
      <c r="J45" s="264"/>
      <c r="K45" s="265"/>
      <c r="L45" s="252">
        <f t="shared" si="3"/>
        <v>0</v>
      </c>
      <c r="M45" s="256">
        <f t="shared" si="0"/>
        <v>2286000</v>
      </c>
    </row>
    <row r="46" spans="1:13" ht="26.25" customHeight="1">
      <c r="A46" s="257" t="s">
        <v>824</v>
      </c>
      <c r="B46" s="259" t="s">
        <v>602</v>
      </c>
      <c r="C46" s="252" t="s">
        <v>717</v>
      </c>
      <c r="D46" s="261">
        <v>3804900</v>
      </c>
      <c r="E46" s="644"/>
      <c r="F46" s="252">
        <f t="shared" si="1"/>
        <v>3804900</v>
      </c>
      <c r="G46" s="648"/>
      <c r="H46" s="644"/>
      <c r="I46" s="252">
        <f t="shared" si="2"/>
        <v>0</v>
      </c>
      <c r="J46" s="264"/>
      <c r="K46" s="265"/>
      <c r="L46" s="252">
        <f t="shared" si="3"/>
        <v>0</v>
      </c>
      <c r="M46" s="256">
        <f t="shared" si="0"/>
        <v>3804900</v>
      </c>
    </row>
    <row r="47" spans="1:13" ht="26.25" customHeight="1">
      <c r="A47" s="257" t="s">
        <v>825</v>
      </c>
      <c r="B47" s="259" t="s">
        <v>821</v>
      </c>
      <c r="C47" s="258"/>
      <c r="D47" s="261"/>
      <c r="E47" s="644"/>
      <c r="F47" s="252">
        <f t="shared" si="1"/>
        <v>0</v>
      </c>
      <c r="G47" s="263">
        <f>18342800+3773040+22523810+1586250+1321875</f>
        <v>47547775</v>
      </c>
      <c r="H47" s="262">
        <f>2460790+523290</f>
        <v>2984080</v>
      </c>
      <c r="I47" s="252">
        <f t="shared" si="2"/>
        <v>50531855</v>
      </c>
      <c r="J47" s="264"/>
      <c r="K47" s="264"/>
      <c r="L47" s="252">
        <f t="shared" si="3"/>
        <v>0</v>
      </c>
      <c r="M47" s="256">
        <f t="shared" si="0"/>
        <v>50531855</v>
      </c>
    </row>
    <row r="48" spans="1:13" s="228" customFormat="1" ht="27.75" customHeight="1">
      <c r="A48" s="257" t="s">
        <v>826</v>
      </c>
      <c r="B48" s="259" t="s">
        <v>381</v>
      </c>
      <c r="C48" s="258" t="s">
        <v>711</v>
      </c>
      <c r="D48" s="261">
        <v>2350000</v>
      </c>
      <c r="E48" s="262"/>
      <c r="F48" s="252">
        <f t="shared" si="1"/>
        <v>2350000</v>
      </c>
      <c r="G48" s="261">
        <v>200000</v>
      </c>
      <c r="H48" s="644"/>
      <c r="I48" s="252">
        <f t="shared" si="2"/>
        <v>200000</v>
      </c>
      <c r="J48" s="276"/>
      <c r="K48" s="276"/>
      <c r="L48" s="252">
        <f t="shared" si="3"/>
        <v>0</v>
      </c>
      <c r="M48" s="256">
        <f t="shared" si="0"/>
        <v>2550000</v>
      </c>
    </row>
    <row r="49" spans="1:13" ht="24.75" customHeight="1" thickBot="1">
      <c r="A49" s="257" t="s">
        <v>827</v>
      </c>
      <c r="B49" s="259" t="s">
        <v>599</v>
      </c>
      <c r="C49" s="278"/>
      <c r="D49" s="654"/>
      <c r="E49" s="655"/>
      <c r="F49" s="252">
        <f t="shared" si="1"/>
        <v>0</v>
      </c>
      <c r="G49" s="656">
        <v>8285000</v>
      </c>
      <c r="H49" s="655"/>
      <c r="I49" s="252">
        <f t="shared" si="2"/>
        <v>8285000</v>
      </c>
      <c r="J49" s="657"/>
      <c r="K49" s="657"/>
      <c r="L49" s="252">
        <f t="shared" si="3"/>
        <v>0</v>
      </c>
      <c r="M49" s="658">
        <f t="shared" si="0"/>
        <v>8285000</v>
      </c>
    </row>
    <row r="50" spans="1:16" s="765" customFormat="1" ht="23.25" customHeight="1" thickBot="1">
      <c r="A50" s="898" t="s">
        <v>697</v>
      </c>
      <c r="B50" s="899"/>
      <c r="C50" s="900"/>
      <c r="D50" s="762">
        <f aca="true" t="shared" si="4" ref="D50:M50">SUM(D9:D49)</f>
        <v>502821141</v>
      </c>
      <c r="E50" s="763">
        <f t="shared" si="4"/>
        <v>308177926</v>
      </c>
      <c r="F50" s="764">
        <f t="shared" si="4"/>
        <v>810999067</v>
      </c>
      <c r="G50" s="763">
        <f t="shared" si="4"/>
        <v>171769939</v>
      </c>
      <c r="H50" s="763">
        <f t="shared" si="4"/>
        <v>640006805</v>
      </c>
      <c r="I50" s="764">
        <f t="shared" si="4"/>
        <v>811776744</v>
      </c>
      <c r="J50" s="763">
        <f t="shared" si="4"/>
        <v>12311385</v>
      </c>
      <c r="K50" s="763">
        <f t="shared" si="4"/>
        <v>0</v>
      </c>
      <c r="L50" s="764">
        <f t="shared" si="4"/>
        <v>12311385</v>
      </c>
      <c r="M50" s="764">
        <f t="shared" si="4"/>
        <v>1635087196</v>
      </c>
      <c r="P50" s="772">
        <f>SUM(L50,I50,F50)</f>
        <v>1635087196</v>
      </c>
    </row>
    <row r="51" spans="1:16" ht="30.75" customHeight="1">
      <c r="A51" s="260" t="s">
        <v>395</v>
      </c>
      <c r="B51" s="259" t="s">
        <v>59</v>
      </c>
      <c r="C51" s="249" t="s">
        <v>711</v>
      </c>
      <c r="D51" s="279">
        <f>91562414+16696818+26913440+103400+18095</f>
        <v>135294167</v>
      </c>
      <c r="E51" s="280">
        <v>1934590</v>
      </c>
      <c r="F51" s="252">
        <f>SUM(D51:E51)</f>
        <v>137228757</v>
      </c>
      <c r="G51" s="279"/>
      <c r="H51" s="280"/>
      <c r="I51" s="249">
        <f>SUM(G51:H51)</f>
        <v>0</v>
      </c>
      <c r="J51" s="279"/>
      <c r="K51" s="280"/>
      <c r="L51" s="249">
        <f>SUM(J51:K51)</f>
        <v>0</v>
      </c>
      <c r="M51" s="256">
        <f>SUM(L51,I51,F51)</f>
        <v>137228757</v>
      </c>
      <c r="P51" s="766"/>
    </row>
    <row r="52" spans="1:16" ht="30.75" customHeight="1">
      <c r="A52" s="260" t="s">
        <v>396</v>
      </c>
      <c r="B52" s="259" t="s">
        <v>932</v>
      </c>
      <c r="C52" s="258"/>
      <c r="D52" s="250"/>
      <c r="E52" s="251"/>
      <c r="F52" s="252">
        <f>SUM(D52:E52)</f>
        <v>0</v>
      </c>
      <c r="G52" s="250">
        <v>5569500</v>
      </c>
      <c r="H52" s="251"/>
      <c r="I52" s="252">
        <f>SUM(G52:H52)</f>
        <v>5569500</v>
      </c>
      <c r="J52" s="250"/>
      <c r="K52" s="251"/>
      <c r="L52" s="252">
        <f>SUM(J52:K52)</f>
        <v>0</v>
      </c>
      <c r="M52" s="256">
        <f>SUM(L52,I52,F52)</f>
        <v>5569500</v>
      </c>
      <c r="P52" s="766"/>
    </row>
    <row r="53" spans="1:16" ht="36.75" thickBot="1">
      <c r="A53" s="260" t="s">
        <v>397</v>
      </c>
      <c r="B53" s="761" t="s">
        <v>933</v>
      </c>
      <c r="C53" s="282"/>
      <c r="D53" s="261"/>
      <c r="E53" s="262"/>
      <c r="F53" s="252">
        <f>SUM(D53:E53)</f>
        <v>0</v>
      </c>
      <c r="G53" s="261">
        <v>2881247</v>
      </c>
      <c r="H53" s="262"/>
      <c r="I53" s="252">
        <f>SUM(G53:H53)</f>
        <v>2881247</v>
      </c>
      <c r="J53" s="261"/>
      <c r="K53" s="262"/>
      <c r="L53" s="252">
        <f>SUM(J53:K53)</f>
        <v>0</v>
      </c>
      <c r="M53" s="256">
        <f>SUM(L53,I53,F53)</f>
        <v>2881247</v>
      </c>
      <c r="P53" s="766"/>
    </row>
    <row r="54" spans="1:16" s="765" customFormat="1" ht="23.25" customHeight="1" thickBot="1">
      <c r="A54" s="898" t="s">
        <v>490</v>
      </c>
      <c r="B54" s="899"/>
      <c r="C54" s="900"/>
      <c r="D54" s="762">
        <f aca="true" t="shared" si="5" ref="D54:M54">SUM(D51:D53)</f>
        <v>135294167</v>
      </c>
      <c r="E54" s="763">
        <f t="shared" si="5"/>
        <v>1934590</v>
      </c>
      <c r="F54" s="764">
        <f t="shared" si="5"/>
        <v>137228757</v>
      </c>
      <c r="G54" s="763">
        <f t="shared" si="5"/>
        <v>8450747</v>
      </c>
      <c r="H54" s="763">
        <f t="shared" si="5"/>
        <v>0</v>
      </c>
      <c r="I54" s="764">
        <f t="shared" si="5"/>
        <v>8450747</v>
      </c>
      <c r="J54" s="763">
        <f t="shared" si="5"/>
        <v>0</v>
      </c>
      <c r="K54" s="763">
        <f t="shared" si="5"/>
        <v>0</v>
      </c>
      <c r="L54" s="764">
        <f t="shared" si="5"/>
        <v>0</v>
      </c>
      <c r="M54" s="764">
        <f t="shared" si="5"/>
        <v>145679504</v>
      </c>
      <c r="P54" s="772">
        <f>SUM(L54,I54,F54)</f>
        <v>145679504</v>
      </c>
    </row>
    <row r="55" spans="1:16" ht="23.25" customHeight="1">
      <c r="A55" s="247" t="s">
        <v>395</v>
      </c>
      <c r="B55" s="284" t="s">
        <v>491</v>
      </c>
      <c r="C55" s="267" t="s">
        <v>716</v>
      </c>
      <c r="D55" s="285">
        <v>31853858</v>
      </c>
      <c r="E55" s="286"/>
      <c r="F55" s="283">
        <f aca="true" t="shared" si="6" ref="F55:F64">SUM(D55:E55)</f>
        <v>31853858</v>
      </c>
      <c r="G55" s="285"/>
      <c r="H55" s="286"/>
      <c r="I55" s="283">
        <f aca="true" t="shared" si="7" ref="I55:I64">SUM(G55:H55)</f>
        <v>0</v>
      </c>
      <c r="J55" s="285"/>
      <c r="K55" s="286"/>
      <c r="L55" s="283">
        <f aca="true" t="shared" si="8" ref="L55:L64">SUM(J55:K55)</f>
        <v>0</v>
      </c>
      <c r="M55" s="256">
        <f aca="true" t="shared" si="9" ref="M55:M64">SUM(L55,I55,F55)</f>
        <v>31853858</v>
      </c>
      <c r="P55" s="766"/>
    </row>
    <row r="56" spans="1:16" ht="23.25" customHeight="1">
      <c r="A56" s="260" t="s">
        <v>396</v>
      </c>
      <c r="B56" s="259" t="s">
        <v>845</v>
      </c>
      <c r="C56" s="918" t="s">
        <v>712</v>
      </c>
      <c r="D56" s="270">
        <f>128705693+3215520+562716-330000-57750-1461600-255780+216700+37923</f>
        <v>130633422</v>
      </c>
      <c r="E56" s="271"/>
      <c r="F56" s="252">
        <f t="shared" si="6"/>
        <v>130633422</v>
      </c>
      <c r="G56" s="277"/>
      <c r="H56" s="275"/>
      <c r="I56" s="252">
        <f t="shared" si="7"/>
        <v>0</v>
      </c>
      <c r="J56" s="264"/>
      <c r="K56" s="264"/>
      <c r="L56" s="252">
        <f t="shared" si="8"/>
        <v>0</v>
      </c>
      <c r="M56" s="256">
        <f t="shared" si="9"/>
        <v>130633422</v>
      </c>
      <c r="P56" s="766"/>
    </row>
    <row r="57" spans="1:16" ht="23.25" customHeight="1">
      <c r="A57" s="257" t="s">
        <v>397</v>
      </c>
      <c r="B57" s="259" t="s">
        <v>873</v>
      </c>
      <c r="C57" s="919"/>
      <c r="D57" s="270">
        <v>10508378</v>
      </c>
      <c r="E57" s="271">
        <f>309245+508000</f>
        <v>817245</v>
      </c>
      <c r="F57" s="252">
        <f t="shared" si="6"/>
        <v>11325623</v>
      </c>
      <c r="G57" s="277"/>
      <c r="H57" s="275"/>
      <c r="I57" s="252">
        <f t="shared" si="7"/>
        <v>0</v>
      </c>
      <c r="J57" s="264"/>
      <c r="K57" s="264"/>
      <c r="L57" s="252">
        <f t="shared" si="8"/>
        <v>0</v>
      </c>
      <c r="M57" s="256">
        <f t="shared" si="9"/>
        <v>11325623</v>
      </c>
      <c r="P57" s="766"/>
    </row>
    <row r="58" spans="1:16" ht="23.25" customHeight="1">
      <c r="A58" s="257" t="s">
        <v>398</v>
      </c>
      <c r="B58" s="259" t="s">
        <v>575</v>
      </c>
      <c r="C58" s="297" t="s">
        <v>605</v>
      </c>
      <c r="D58" s="270">
        <f>24097710+1249875+4222056+218728+4796826+91000+1125000-1245375+196875-217940</f>
        <v>34534755</v>
      </c>
      <c r="E58" s="271">
        <v>304800</v>
      </c>
      <c r="F58" s="252">
        <f t="shared" si="6"/>
        <v>34839555</v>
      </c>
      <c r="G58" s="277"/>
      <c r="H58" s="275"/>
      <c r="I58" s="252">
        <f t="shared" si="7"/>
        <v>0</v>
      </c>
      <c r="J58" s="264"/>
      <c r="K58" s="264"/>
      <c r="L58" s="252">
        <f t="shared" si="8"/>
        <v>0</v>
      </c>
      <c r="M58" s="256">
        <f t="shared" si="9"/>
        <v>34839555</v>
      </c>
      <c r="P58" s="766"/>
    </row>
    <row r="59" spans="1:16" ht="23.25" customHeight="1">
      <c r="A59" s="257" t="s">
        <v>399</v>
      </c>
      <c r="B59" s="259" t="s">
        <v>698</v>
      </c>
      <c r="C59" s="297" t="s">
        <v>718</v>
      </c>
      <c r="D59" s="270">
        <f>11177496+981000+1927326+171675+2955612+91000+1035000-976500+181125-170887</f>
        <v>17372847</v>
      </c>
      <c r="E59" s="271">
        <v>401320</v>
      </c>
      <c r="F59" s="252">
        <f t="shared" si="6"/>
        <v>17774167</v>
      </c>
      <c r="G59" s="277"/>
      <c r="H59" s="275"/>
      <c r="I59" s="252">
        <f t="shared" si="7"/>
        <v>0</v>
      </c>
      <c r="J59" s="264"/>
      <c r="K59" s="264"/>
      <c r="L59" s="252">
        <f t="shared" si="8"/>
        <v>0</v>
      </c>
      <c r="M59" s="256">
        <f t="shared" si="9"/>
        <v>17774167</v>
      </c>
      <c r="P59" s="766"/>
    </row>
    <row r="60" spans="1:16" ht="23.25" customHeight="1">
      <c r="A60" s="257" t="s">
        <v>400</v>
      </c>
      <c r="B60" s="259" t="s">
        <v>699</v>
      </c>
      <c r="C60" s="297" t="s">
        <v>719</v>
      </c>
      <c r="D60" s="272">
        <f>10053189+1759308+1190218+639450+111904</f>
        <v>13754069</v>
      </c>
      <c r="E60" s="271">
        <v>95250</v>
      </c>
      <c r="F60" s="252">
        <f t="shared" si="6"/>
        <v>13849319</v>
      </c>
      <c r="G60" s="272"/>
      <c r="H60" s="271"/>
      <c r="I60" s="252">
        <f t="shared" si="7"/>
        <v>0</v>
      </c>
      <c r="J60" s="264"/>
      <c r="K60" s="264"/>
      <c r="L60" s="252">
        <f t="shared" si="8"/>
        <v>0</v>
      </c>
      <c r="M60" s="256">
        <f t="shared" si="9"/>
        <v>13849319</v>
      </c>
      <c r="P60" s="766"/>
    </row>
    <row r="61" spans="1:16" ht="23.25" customHeight="1">
      <c r="A61" s="257" t="s">
        <v>401</v>
      </c>
      <c r="B61" s="259" t="s">
        <v>700</v>
      </c>
      <c r="C61" s="267" t="s">
        <v>716</v>
      </c>
      <c r="D61" s="272">
        <v>2677147</v>
      </c>
      <c r="E61" s="271"/>
      <c r="F61" s="252">
        <f t="shared" si="6"/>
        <v>2677147</v>
      </c>
      <c r="G61" s="272"/>
      <c r="H61" s="271"/>
      <c r="I61" s="252">
        <f t="shared" si="7"/>
        <v>0</v>
      </c>
      <c r="J61" s="264"/>
      <c r="K61" s="264"/>
      <c r="L61" s="252">
        <f t="shared" si="8"/>
        <v>0</v>
      </c>
      <c r="M61" s="256">
        <f t="shared" si="9"/>
        <v>2677147</v>
      </c>
      <c r="P61" s="766"/>
    </row>
    <row r="62" spans="1:16" ht="23.25" customHeight="1">
      <c r="A62" s="260" t="s">
        <v>402</v>
      </c>
      <c r="B62" s="284" t="s">
        <v>535</v>
      </c>
      <c r="C62" s="267" t="s">
        <v>720</v>
      </c>
      <c r="D62" s="715"/>
      <c r="E62" s="716"/>
      <c r="F62" s="252">
        <f t="shared" si="6"/>
        <v>0</v>
      </c>
      <c r="G62" s="656">
        <f>5287200+925260+1916238-781083</f>
        <v>7347615</v>
      </c>
      <c r="H62" s="716">
        <v>63500</v>
      </c>
      <c r="I62" s="252">
        <f t="shared" si="7"/>
        <v>7411115</v>
      </c>
      <c r="J62" s="657"/>
      <c r="K62" s="657"/>
      <c r="L62" s="252">
        <f t="shared" si="8"/>
        <v>0</v>
      </c>
      <c r="M62" s="256">
        <f t="shared" si="9"/>
        <v>7411115</v>
      </c>
      <c r="P62" s="766"/>
    </row>
    <row r="63" spans="1:16" ht="38.25" customHeight="1">
      <c r="A63" s="260" t="s">
        <v>403</v>
      </c>
      <c r="B63" s="259" t="s">
        <v>934</v>
      </c>
      <c r="C63" s="267"/>
      <c r="D63" s="715"/>
      <c r="E63" s="716"/>
      <c r="F63" s="252">
        <f t="shared" si="6"/>
        <v>0</v>
      </c>
      <c r="G63" s="656">
        <f>3600000+630000</f>
        <v>4230000</v>
      </c>
      <c r="H63" s="716"/>
      <c r="I63" s="252">
        <f t="shared" si="7"/>
        <v>4230000</v>
      </c>
      <c r="J63" s="657"/>
      <c r="K63" s="657"/>
      <c r="L63" s="252">
        <f t="shared" si="8"/>
        <v>0</v>
      </c>
      <c r="M63" s="256">
        <f t="shared" si="9"/>
        <v>4230000</v>
      </c>
      <c r="P63" s="766"/>
    </row>
    <row r="64" spans="1:16" ht="27" customHeight="1" thickBot="1">
      <c r="A64" s="717" t="s">
        <v>404</v>
      </c>
      <c r="B64" s="259" t="s">
        <v>935</v>
      </c>
      <c r="C64" s="267"/>
      <c r="D64" s="285"/>
      <c r="E64" s="286"/>
      <c r="F64" s="283">
        <f t="shared" si="6"/>
        <v>0</v>
      </c>
      <c r="G64" s="285">
        <f>6562063+1148361+50000+2756937+482464+2114762</f>
        <v>13114587</v>
      </c>
      <c r="H64" s="286"/>
      <c r="I64" s="283">
        <f t="shared" si="7"/>
        <v>13114587</v>
      </c>
      <c r="J64" s="285"/>
      <c r="K64" s="286"/>
      <c r="L64" s="283">
        <f t="shared" si="8"/>
        <v>0</v>
      </c>
      <c r="M64" s="256">
        <f t="shared" si="9"/>
        <v>13114587</v>
      </c>
      <c r="P64" s="766"/>
    </row>
    <row r="65" spans="1:16" s="771" customFormat="1" ht="27.75" customHeight="1" thickBot="1">
      <c r="A65" s="907" t="s">
        <v>771</v>
      </c>
      <c r="B65" s="908"/>
      <c r="C65" s="909"/>
      <c r="D65" s="767">
        <f aca="true" t="shared" si="10" ref="D65:M65">SUM(D55:D64)</f>
        <v>241334476</v>
      </c>
      <c r="E65" s="768">
        <f t="shared" si="10"/>
        <v>1618615</v>
      </c>
      <c r="F65" s="769">
        <f t="shared" si="10"/>
        <v>242953091</v>
      </c>
      <c r="G65" s="767">
        <f t="shared" si="10"/>
        <v>24692202</v>
      </c>
      <c r="H65" s="768">
        <f t="shared" si="10"/>
        <v>63500</v>
      </c>
      <c r="I65" s="769">
        <f t="shared" si="10"/>
        <v>24755702</v>
      </c>
      <c r="J65" s="767">
        <f t="shared" si="10"/>
        <v>0</v>
      </c>
      <c r="K65" s="768">
        <f t="shared" si="10"/>
        <v>0</v>
      </c>
      <c r="L65" s="769">
        <f t="shared" si="10"/>
        <v>0</v>
      </c>
      <c r="M65" s="770">
        <f t="shared" si="10"/>
        <v>267708793</v>
      </c>
      <c r="P65" s="772">
        <f>SUM(L65,I65,F65)</f>
        <v>267708793</v>
      </c>
    </row>
    <row r="66" spans="1:16" ht="32.25" customHeight="1">
      <c r="A66" s="257" t="s">
        <v>395</v>
      </c>
      <c r="B66" s="266" t="s">
        <v>534</v>
      </c>
      <c r="C66" s="258" t="s">
        <v>708</v>
      </c>
      <c r="D66" s="261">
        <f>1082115-800000</f>
        <v>282115</v>
      </c>
      <c r="E66" s="262">
        <v>800000</v>
      </c>
      <c r="F66" s="252">
        <f>SUM(D66:E66)</f>
        <v>1082115</v>
      </c>
      <c r="G66" s="263"/>
      <c r="H66" s="262"/>
      <c r="I66" s="252">
        <f>SUM(G66:H66)</f>
        <v>0</v>
      </c>
      <c r="J66" s="264"/>
      <c r="K66" s="265"/>
      <c r="L66" s="252">
        <f>SUM(J66:K66)</f>
        <v>0</v>
      </c>
      <c r="M66" s="256">
        <f>SUM(F66+I66+L66)</f>
        <v>1082115</v>
      </c>
      <c r="P66" s="766"/>
    </row>
    <row r="67" spans="1:16" ht="22.5" customHeight="1">
      <c r="A67" s="257" t="s">
        <v>396</v>
      </c>
      <c r="B67" s="274" t="s">
        <v>385</v>
      </c>
      <c r="C67" s="269" t="s">
        <v>708</v>
      </c>
      <c r="D67" s="261">
        <v>3583050</v>
      </c>
      <c r="E67" s="262"/>
      <c r="F67" s="252">
        <f>SUM(D67:E67)</f>
        <v>3583050</v>
      </c>
      <c r="G67" s="263"/>
      <c r="H67" s="262"/>
      <c r="I67" s="252">
        <f>SUM(G67:H67)</f>
        <v>0</v>
      </c>
      <c r="J67" s="264"/>
      <c r="K67" s="265"/>
      <c r="L67" s="252">
        <f>SUM(J67:K67)</f>
        <v>0</v>
      </c>
      <c r="M67" s="256">
        <f>SUM(F67+I67+L67)</f>
        <v>3583050</v>
      </c>
      <c r="P67" s="766"/>
    </row>
    <row r="68" spans="1:16" ht="33.75" customHeight="1">
      <c r="A68" s="257" t="s">
        <v>397</v>
      </c>
      <c r="B68" s="259" t="s">
        <v>79</v>
      </c>
      <c r="C68" s="273" t="s">
        <v>709</v>
      </c>
      <c r="D68" s="270">
        <f>11931088+2122958+14446890-317500+144779</f>
        <v>28328215</v>
      </c>
      <c r="E68" s="271">
        <f>304800-177800+578000</f>
        <v>705000</v>
      </c>
      <c r="F68" s="252">
        <f>SUM(D68:E68)</f>
        <v>29033215</v>
      </c>
      <c r="G68" s="272"/>
      <c r="H68" s="271"/>
      <c r="I68" s="252">
        <f>SUM(G68:H68)</f>
        <v>0</v>
      </c>
      <c r="J68" s="264"/>
      <c r="K68" s="265"/>
      <c r="L68" s="252">
        <f>SUM(J68:K68)</f>
        <v>0</v>
      </c>
      <c r="M68" s="256">
        <f>SUM(F68+I68+L68)</f>
        <v>29033215</v>
      </c>
      <c r="P68" s="766"/>
    </row>
    <row r="69" spans="1:16" ht="33.75" customHeight="1">
      <c r="A69" s="257" t="s">
        <v>398</v>
      </c>
      <c r="B69" s="259" t="s">
        <v>379</v>
      </c>
      <c r="C69" s="273"/>
      <c r="D69" s="270"/>
      <c r="E69" s="271"/>
      <c r="F69" s="252">
        <f>SUM(D69:E69)</f>
        <v>0</v>
      </c>
      <c r="G69" s="272">
        <f>1980314+964502+7003586-775591-377745-2575544</f>
        <v>6219522</v>
      </c>
      <c r="H69" s="271"/>
      <c r="I69" s="252">
        <f>SUM(G69:H69)</f>
        <v>6219522</v>
      </c>
      <c r="J69" s="264"/>
      <c r="K69" s="265"/>
      <c r="L69" s="252">
        <f>SUM(J69:K69)</f>
        <v>0</v>
      </c>
      <c r="M69" s="256">
        <f>SUM(F69+I69+L69)</f>
        <v>6219522</v>
      </c>
      <c r="P69" s="766"/>
    </row>
    <row r="70" spans="1:16" ht="33.75" customHeight="1" thickBot="1">
      <c r="A70" s="257" t="s">
        <v>399</v>
      </c>
      <c r="B70" s="259" t="s">
        <v>911</v>
      </c>
      <c r="C70" s="273"/>
      <c r="D70" s="270"/>
      <c r="E70" s="271"/>
      <c r="F70" s="252">
        <f>SUM(D70:E70)</f>
        <v>0</v>
      </c>
      <c r="G70" s="272">
        <f>1800000+315000+3527681</f>
        <v>5642681</v>
      </c>
      <c r="H70" s="271"/>
      <c r="I70" s="252">
        <f>SUM(G70:H70)</f>
        <v>5642681</v>
      </c>
      <c r="J70" s="264"/>
      <c r="K70" s="265"/>
      <c r="L70" s="252">
        <f>SUM(J70:K70)</f>
        <v>0</v>
      </c>
      <c r="M70" s="256">
        <f>SUM(F70+I70+L70)</f>
        <v>5642681</v>
      </c>
      <c r="P70" s="766"/>
    </row>
    <row r="71" spans="1:16" s="771" customFormat="1" ht="27.75" customHeight="1" thickBot="1">
      <c r="A71" s="907" t="s">
        <v>786</v>
      </c>
      <c r="B71" s="908"/>
      <c r="C71" s="909"/>
      <c r="D71" s="767">
        <f>SUM(D66:D70)</f>
        <v>32193380</v>
      </c>
      <c r="E71" s="768">
        <f aca="true" t="shared" si="11" ref="E71:K71">SUM(E66:E70)</f>
        <v>1505000</v>
      </c>
      <c r="F71" s="769">
        <f t="shared" si="11"/>
        <v>33698380</v>
      </c>
      <c r="G71" s="767">
        <f t="shared" si="11"/>
        <v>11862203</v>
      </c>
      <c r="H71" s="768">
        <f t="shared" si="11"/>
        <v>0</v>
      </c>
      <c r="I71" s="769">
        <f t="shared" si="11"/>
        <v>11862203</v>
      </c>
      <c r="J71" s="767">
        <f t="shared" si="11"/>
        <v>0</v>
      </c>
      <c r="K71" s="768">
        <f t="shared" si="11"/>
        <v>0</v>
      </c>
      <c r="L71" s="769">
        <f>SUM(L66:L70)</f>
        <v>0</v>
      </c>
      <c r="M71" s="770">
        <f>SUM(M66:M70)</f>
        <v>45560583</v>
      </c>
      <c r="P71" s="772">
        <f>SUM(L71,I71,F71)</f>
        <v>45560583</v>
      </c>
    </row>
    <row r="72" spans="1:16" s="232" customFormat="1" ht="16.5" thickBot="1">
      <c r="A72" s="895" t="s">
        <v>492</v>
      </c>
      <c r="B72" s="896"/>
      <c r="C72" s="897"/>
      <c r="D72" s="287">
        <f aca="true" t="shared" si="12" ref="D72:M72">D50+D54+D65+D71</f>
        <v>911643164</v>
      </c>
      <c r="E72" s="287">
        <f t="shared" si="12"/>
        <v>313236131</v>
      </c>
      <c r="F72" s="651">
        <f t="shared" si="12"/>
        <v>1224879295</v>
      </c>
      <c r="G72" s="287">
        <f t="shared" si="12"/>
        <v>216775091</v>
      </c>
      <c r="H72" s="287">
        <f t="shared" si="12"/>
        <v>640070305</v>
      </c>
      <c r="I72" s="288">
        <f t="shared" si="12"/>
        <v>856845396</v>
      </c>
      <c r="J72" s="491">
        <f t="shared" si="12"/>
        <v>12311385</v>
      </c>
      <c r="K72" s="652">
        <f t="shared" si="12"/>
        <v>0</v>
      </c>
      <c r="L72" s="653">
        <f t="shared" si="12"/>
        <v>12311385</v>
      </c>
      <c r="M72" s="289">
        <f t="shared" si="12"/>
        <v>2094036076</v>
      </c>
      <c r="P72" s="766">
        <f>SUM(L72,I72,F72)</f>
        <v>2094036076</v>
      </c>
    </row>
    <row r="74" spans="1:2" ht="12.75">
      <c r="A74" s="168" t="s">
        <v>493</v>
      </c>
      <c r="B74" s="168" t="s">
        <v>494</v>
      </c>
    </row>
    <row r="75" spans="1:2" ht="12.75">
      <c r="A75" s="168" t="s">
        <v>495</v>
      </c>
      <c r="B75" s="168" t="s">
        <v>496</v>
      </c>
    </row>
    <row r="76" spans="1:2" ht="12.75">
      <c r="A76" s="168" t="s">
        <v>497</v>
      </c>
      <c r="B76" s="168" t="s">
        <v>498</v>
      </c>
    </row>
    <row r="77" spans="1:2" ht="12.75">
      <c r="A77" s="168" t="s">
        <v>499</v>
      </c>
      <c r="B77" s="168" t="s">
        <v>500</v>
      </c>
    </row>
    <row r="78" spans="1:2" ht="12.75">
      <c r="A78" s="168" t="s">
        <v>769</v>
      </c>
      <c r="B78" s="168" t="s">
        <v>770</v>
      </c>
    </row>
    <row r="79" spans="1:2" ht="12.75">
      <c r="A79" s="168" t="s">
        <v>604</v>
      </c>
      <c r="B79" s="168" t="s">
        <v>603</v>
      </c>
    </row>
  </sheetData>
  <sheetProtection/>
  <mergeCells count="16">
    <mergeCell ref="G1:M1"/>
    <mergeCell ref="M6:M8"/>
    <mergeCell ref="A3:M4"/>
    <mergeCell ref="C6:C8"/>
    <mergeCell ref="G6:I7"/>
    <mergeCell ref="J6:L7"/>
    <mergeCell ref="A72:C72"/>
    <mergeCell ref="A54:C54"/>
    <mergeCell ref="D6:F7"/>
    <mergeCell ref="A65:C65"/>
    <mergeCell ref="B5:B8"/>
    <mergeCell ref="A5:A8"/>
    <mergeCell ref="C5:M5"/>
    <mergeCell ref="A50:C50"/>
    <mergeCell ref="A71:C71"/>
    <mergeCell ref="C56:C57"/>
  </mergeCells>
  <printOptions horizont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63" r:id="rId1"/>
  <rowBreaks count="2" manualBreakCount="2">
    <brk id="29" max="12" man="1"/>
    <brk id="50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O89"/>
  <sheetViews>
    <sheetView zoomScalePageLayoutView="0" workbookViewId="0" topLeftCell="S1">
      <pane ySplit="7" topLeftCell="A8" activePane="bottomLeft" state="frozen"/>
      <selection pane="topLeft" activeCell="A1" sqref="A1"/>
      <selection pane="bottomLeft" activeCell="T2" sqref="T2"/>
    </sheetView>
  </sheetViews>
  <sheetFormatPr defaultColWidth="9.00390625" defaultRowHeight="12.75"/>
  <cols>
    <col min="1" max="2" width="9.125" style="168" customWidth="1"/>
    <col min="3" max="3" width="19.125" style="168" customWidth="1"/>
    <col min="4" max="6" width="18.00390625" style="168" bestFit="1" customWidth="1"/>
    <col min="7" max="7" width="12.625" style="168" customWidth="1"/>
    <col min="8" max="8" width="18.875" style="168" customWidth="1"/>
    <col min="9" max="9" width="9.25390625" style="168" bestFit="1" customWidth="1"/>
    <col min="10" max="10" width="11.375" style="168" bestFit="1" customWidth="1"/>
    <col min="11" max="11" width="19.25390625" style="168" customWidth="1"/>
    <col min="12" max="12" width="9.75390625" style="168" customWidth="1"/>
    <col min="13" max="13" width="9.125" style="168" customWidth="1"/>
    <col min="14" max="14" width="12.625" style="168" customWidth="1"/>
    <col min="15" max="15" width="8.125" style="168" customWidth="1"/>
    <col min="16" max="16" width="10.375" style="168" bestFit="1" customWidth="1"/>
    <col min="17" max="17" width="14.00390625" style="168" bestFit="1" customWidth="1"/>
    <col min="18" max="20" width="9.125" style="168" customWidth="1"/>
    <col min="21" max="21" width="9.875" style="168" customWidth="1"/>
    <col min="22" max="22" width="13.125" style="168" customWidth="1"/>
    <col min="23" max="23" width="16.625" style="168" bestFit="1" customWidth="1"/>
    <col min="24" max="24" width="18.00390625" style="298" bestFit="1" customWidth="1"/>
    <col min="25" max="25" width="18.25390625" style="298" customWidth="1"/>
    <col min="26" max="26" width="18.75390625" style="298" customWidth="1"/>
    <col min="27" max="27" width="19.75390625" style="298" bestFit="1" customWidth="1"/>
    <col min="28" max="28" width="17.375" style="298" bestFit="1" customWidth="1"/>
    <col min="29" max="29" width="19.75390625" style="298" bestFit="1" customWidth="1"/>
    <col min="30" max="223" width="9.125" style="298" customWidth="1"/>
    <col min="224" max="16384" width="9.125" style="168" customWidth="1"/>
  </cols>
  <sheetData>
    <row r="1" spans="1:28" ht="15">
      <c r="A1" s="234"/>
      <c r="B1" s="235"/>
      <c r="C1" s="236"/>
      <c r="H1" s="235"/>
      <c r="I1" s="235"/>
      <c r="J1" s="235"/>
      <c r="K1" s="237"/>
      <c r="L1" s="237"/>
      <c r="M1" s="237"/>
      <c r="N1" s="235"/>
      <c r="T1" s="989" t="s">
        <v>1017</v>
      </c>
      <c r="U1" s="990"/>
      <c r="V1" s="990"/>
      <c r="W1" s="990"/>
      <c r="X1" s="991"/>
      <c r="Y1" s="991"/>
      <c r="Z1" s="991"/>
      <c r="AA1" s="991"/>
      <c r="AB1" s="991"/>
    </row>
    <row r="2" spans="1:14" ht="12.75">
      <c r="A2" s="234"/>
      <c r="B2" s="235"/>
      <c r="C2" s="236"/>
      <c r="D2" s="238"/>
      <c r="E2" s="239"/>
      <c r="F2" s="239"/>
      <c r="G2" s="239"/>
      <c r="H2" s="235"/>
      <c r="I2" s="235"/>
      <c r="J2" s="235"/>
      <c r="K2" s="237"/>
      <c r="L2" s="237"/>
      <c r="M2" s="237"/>
      <c r="N2" s="235"/>
    </row>
    <row r="3" spans="1:29" ht="15.75" customHeight="1">
      <c r="A3" s="997" t="s">
        <v>912</v>
      </c>
      <c r="B3" s="997"/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997"/>
      <c r="O3" s="997"/>
      <c r="P3" s="997"/>
      <c r="Q3" s="997"/>
      <c r="R3" s="997"/>
      <c r="S3" s="997"/>
      <c r="T3" s="997"/>
      <c r="U3" s="997"/>
      <c r="V3" s="997"/>
      <c r="W3" s="997"/>
      <c r="X3" s="997"/>
      <c r="Y3" s="997"/>
      <c r="Z3" s="997"/>
      <c r="AA3" s="997"/>
      <c r="AB3" s="997"/>
      <c r="AC3" s="997"/>
    </row>
    <row r="4" spans="1:29" ht="15.75" customHeight="1">
      <c r="A4" s="487"/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7"/>
      <c r="W4" s="487"/>
      <c r="X4" s="487"/>
      <c r="Y4" s="487"/>
      <c r="Z4" s="487"/>
      <c r="AA4" s="487"/>
      <c r="AB4" s="487"/>
      <c r="AC4" s="487"/>
    </row>
    <row r="5" spans="1:29" ht="13.5" customHeight="1" thickBot="1">
      <c r="A5" s="488"/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  <c r="AA5" s="488"/>
      <c r="AB5" s="488"/>
      <c r="AC5" s="488"/>
    </row>
    <row r="6" spans="1:223" s="299" customFormat="1" ht="15" customHeight="1" thickBot="1" thickTop="1">
      <c r="A6" s="961" t="s">
        <v>86</v>
      </c>
      <c r="B6" s="962"/>
      <c r="C6" s="962"/>
      <c r="D6" s="980" t="s">
        <v>364</v>
      </c>
      <c r="E6" s="981"/>
      <c r="F6" s="982"/>
      <c r="G6" s="983" t="s">
        <v>501</v>
      </c>
      <c r="H6" s="984"/>
      <c r="I6" s="984"/>
      <c r="J6" s="984"/>
      <c r="K6" s="985"/>
      <c r="L6" s="974" t="s">
        <v>502</v>
      </c>
      <c r="M6" s="975"/>
      <c r="N6" s="975"/>
      <c r="O6" s="975"/>
      <c r="P6" s="975"/>
      <c r="Q6" s="976"/>
      <c r="R6" s="974" t="s">
        <v>503</v>
      </c>
      <c r="S6" s="975"/>
      <c r="T6" s="975"/>
      <c r="U6" s="975"/>
      <c r="V6" s="975"/>
      <c r="W6" s="975"/>
      <c r="X6" s="992" t="s">
        <v>504</v>
      </c>
      <c r="Y6" s="993"/>
      <c r="Z6" s="993"/>
      <c r="AA6" s="994" t="s">
        <v>87</v>
      </c>
      <c r="AB6" s="995"/>
      <c r="AC6" s="996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8"/>
      <c r="AZ6" s="298"/>
      <c r="BA6" s="298"/>
      <c r="BB6" s="298"/>
      <c r="BC6" s="298"/>
      <c r="BD6" s="298"/>
      <c r="BE6" s="298"/>
      <c r="BF6" s="298"/>
      <c r="BG6" s="298"/>
      <c r="BH6" s="298"/>
      <c r="BI6" s="298"/>
      <c r="BJ6" s="298"/>
      <c r="BK6" s="298"/>
      <c r="BL6" s="298"/>
      <c r="BM6" s="298"/>
      <c r="BN6" s="298"/>
      <c r="BO6" s="298"/>
      <c r="BP6" s="298"/>
      <c r="BQ6" s="298"/>
      <c r="BR6" s="298"/>
      <c r="BS6" s="298"/>
      <c r="BT6" s="298"/>
      <c r="BU6" s="298"/>
      <c r="BV6" s="298"/>
      <c r="BW6" s="298"/>
      <c r="BX6" s="298"/>
      <c r="BY6" s="298"/>
      <c r="BZ6" s="298"/>
      <c r="CA6" s="298"/>
      <c r="CB6" s="298"/>
      <c r="CC6" s="298"/>
      <c r="CD6" s="298"/>
      <c r="CE6" s="298"/>
      <c r="CF6" s="298"/>
      <c r="CG6" s="298"/>
      <c r="CH6" s="298"/>
      <c r="CI6" s="298"/>
      <c r="CJ6" s="298"/>
      <c r="CK6" s="298"/>
      <c r="CL6" s="298"/>
      <c r="CM6" s="298"/>
      <c r="CN6" s="298"/>
      <c r="CO6" s="298"/>
      <c r="CP6" s="298"/>
      <c r="CQ6" s="298"/>
      <c r="CR6" s="298"/>
      <c r="CS6" s="298"/>
      <c r="CT6" s="298"/>
      <c r="CU6" s="298"/>
      <c r="CV6" s="298"/>
      <c r="CW6" s="298"/>
      <c r="CX6" s="298"/>
      <c r="CY6" s="298"/>
      <c r="CZ6" s="298"/>
      <c r="DA6" s="298"/>
      <c r="DB6" s="298"/>
      <c r="DC6" s="298"/>
      <c r="DD6" s="298"/>
      <c r="DE6" s="298"/>
      <c r="DF6" s="298"/>
      <c r="DG6" s="298"/>
      <c r="DH6" s="298"/>
      <c r="DI6" s="298"/>
      <c r="DJ6" s="298"/>
      <c r="DK6" s="298"/>
      <c r="DL6" s="298"/>
      <c r="DM6" s="298"/>
      <c r="DN6" s="298"/>
      <c r="DO6" s="298"/>
      <c r="DP6" s="298"/>
      <c r="DQ6" s="298"/>
      <c r="DR6" s="298"/>
      <c r="DS6" s="298"/>
      <c r="DT6" s="298"/>
      <c r="DU6" s="298"/>
      <c r="DV6" s="298"/>
      <c r="DW6" s="298"/>
      <c r="DX6" s="298"/>
      <c r="DY6" s="298"/>
      <c r="DZ6" s="298"/>
      <c r="EA6" s="298"/>
      <c r="EB6" s="298"/>
      <c r="EC6" s="298"/>
      <c r="ED6" s="298"/>
      <c r="EE6" s="298"/>
      <c r="EF6" s="298"/>
      <c r="EG6" s="298"/>
      <c r="EH6" s="298"/>
      <c r="EI6" s="298"/>
      <c r="EJ6" s="298"/>
      <c r="EK6" s="298"/>
      <c r="EL6" s="298"/>
      <c r="EM6" s="298"/>
      <c r="EN6" s="298"/>
      <c r="EO6" s="298"/>
      <c r="EP6" s="298"/>
      <c r="EQ6" s="298"/>
      <c r="ER6" s="298"/>
      <c r="ES6" s="298"/>
      <c r="ET6" s="298"/>
      <c r="EU6" s="298"/>
      <c r="EV6" s="298"/>
      <c r="EW6" s="298"/>
      <c r="EX6" s="298"/>
      <c r="EY6" s="298"/>
      <c r="EZ6" s="298"/>
      <c r="FA6" s="298"/>
      <c r="FB6" s="298"/>
      <c r="FC6" s="298"/>
      <c r="FD6" s="298"/>
      <c r="FE6" s="298"/>
      <c r="FF6" s="298"/>
      <c r="FG6" s="298"/>
      <c r="FH6" s="298"/>
      <c r="FI6" s="298"/>
      <c r="FJ6" s="298"/>
      <c r="FK6" s="298"/>
      <c r="FL6" s="298"/>
      <c r="FM6" s="298"/>
      <c r="FN6" s="298"/>
      <c r="FO6" s="298"/>
      <c r="FP6" s="298"/>
      <c r="FQ6" s="298"/>
      <c r="FR6" s="298"/>
      <c r="FS6" s="298"/>
      <c r="FT6" s="298"/>
      <c r="FU6" s="298"/>
      <c r="FV6" s="298"/>
      <c r="FW6" s="298"/>
      <c r="FX6" s="298"/>
      <c r="FY6" s="298"/>
      <c r="FZ6" s="298"/>
      <c r="GA6" s="298"/>
      <c r="GB6" s="298"/>
      <c r="GC6" s="298"/>
      <c r="GD6" s="298"/>
      <c r="GE6" s="298"/>
      <c r="GF6" s="298"/>
      <c r="GG6" s="298"/>
      <c r="GH6" s="298"/>
      <c r="GI6" s="298"/>
      <c r="GJ6" s="298"/>
      <c r="GK6" s="298"/>
      <c r="GL6" s="298"/>
      <c r="GM6" s="298"/>
      <c r="GN6" s="298"/>
      <c r="GO6" s="298"/>
      <c r="GP6" s="298"/>
      <c r="GQ6" s="298"/>
      <c r="GR6" s="298"/>
      <c r="GS6" s="298"/>
      <c r="GT6" s="298"/>
      <c r="GU6" s="298"/>
      <c r="GV6" s="298"/>
      <c r="GW6" s="298"/>
      <c r="GX6" s="298"/>
      <c r="GY6" s="298"/>
      <c r="GZ6" s="298"/>
      <c r="HA6" s="298"/>
      <c r="HB6" s="298"/>
      <c r="HC6" s="298"/>
      <c r="HD6" s="298"/>
      <c r="HE6" s="298"/>
      <c r="HF6" s="298"/>
      <c r="HG6" s="298"/>
      <c r="HH6" s="298"/>
      <c r="HI6" s="298"/>
      <c r="HJ6" s="298"/>
      <c r="HK6" s="298"/>
      <c r="HL6" s="298"/>
      <c r="HM6" s="298"/>
      <c r="HN6" s="298"/>
      <c r="HO6" s="298"/>
    </row>
    <row r="7" spans="1:29" s="298" customFormat="1" ht="16.5" customHeight="1" thickBot="1">
      <c r="A7" s="963"/>
      <c r="B7" s="964"/>
      <c r="C7" s="964"/>
      <c r="D7" s="458" t="s">
        <v>88</v>
      </c>
      <c r="E7" s="702" t="s">
        <v>85</v>
      </c>
      <c r="F7" s="301" t="s">
        <v>89</v>
      </c>
      <c r="G7" s="986"/>
      <c r="H7" s="987"/>
      <c r="I7" s="987"/>
      <c r="J7" s="987"/>
      <c r="K7" s="988"/>
      <c r="L7" s="977"/>
      <c r="M7" s="978"/>
      <c r="N7" s="978"/>
      <c r="O7" s="978"/>
      <c r="P7" s="978"/>
      <c r="Q7" s="979"/>
      <c r="R7" s="977"/>
      <c r="S7" s="978"/>
      <c r="T7" s="978"/>
      <c r="U7" s="978"/>
      <c r="V7" s="978"/>
      <c r="W7" s="978"/>
      <c r="X7" s="300" t="s">
        <v>88</v>
      </c>
      <c r="Y7" s="458" t="s">
        <v>85</v>
      </c>
      <c r="Z7" s="689" t="s">
        <v>89</v>
      </c>
      <c r="AA7" s="300" t="s">
        <v>88</v>
      </c>
      <c r="AB7" s="458" t="s">
        <v>85</v>
      </c>
      <c r="AC7" s="301" t="s">
        <v>89</v>
      </c>
    </row>
    <row r="8" spans="1:29" s="316" customFormat="1" ht="26.25" customHeight="1">
      <c r="A8" s="302"/>
      <c r="B8" s="303"/>
      <c r="C8" s="304"/>
      <c r="D8" s="305"/>
      <c r="E8" s="303"/>
      <c r="F8" s="306"/>
      <c r="G8" s="968" t="s">
        <v>505</v>
      </c>
      <c r="H8" s="954"/>
      <c r="I8" s="954"/>
      <c r="J8" s="485">
        <f>186857281-119812800</f>
        <v>67044481</v>
      </c>
      <c r="K8" s="934">
        <f>SUM(J8:J17)</f>
        <v>167382145</v>
      </c>
      <c r="L8" s="970"/>
      <c r="M8" s="971"/>
      <c r="N8" s="971"/>
      <c r="O8" s="971"/>
      <c r="P8" s="308"/>
      <c r="Q8" s="972">
        <f>SUM(P8:P17)</f>
        <v>94404245</v>
      </c>
      <c r="R8" s="932" t="s">
        <v>234</v>
      </c>
      <c r="S8" s="933"/>
      <c r="T8" s="933"/>
      <c r="U8" s="933"/>
      <c r="V8" s="485">
        <v>261700000</v>
      </c>
      <c r="W8" s="941">
        <f>SUM(V8:V17)</f>
        <v>324212579</v>
      </c>
      <c r="X8" s="310"/>
      <c r="Y8" s="311"/>
      <c r="Z8" s="312"/>
      <c r="AA8" s="313"/>
      <c r="AB8" s="314"/>
      <c r="AC8" s="315"/>
    </row>
    <row r="9" spans="1:29" s="316" customFormat="1" ht="27" customHeight="1">
      <c r="A9" s="302"/>
      <c r="B9" s="303"/>
      <c r="C9" s="305"/>
      <c r="D9" s="305"/>
      <c r="E9" s="303"/>
      <c r="F9" s="306"/>
      <c r="G9" s="969" t="s">
        <v>607</v>
      </c>
      <c r="H9" s="946"/>
      <c r="I9" s="946"/>
      <c r="J9" s="485">
        <v>1723560</v>
      </c>
      <c r="K9" s="930"/>
      <c r="L9" s="935" t="s">
        <v>506</v>
      </c>
      <c r="M9" s="936"/>
      <c r="N9" s="936"/>
      <c r="O9" s="936"/>
      <c r="P9" s="485">
        <v>4572392</v>
      </c>
      <c r="Q9" s="973"/>
      <c r="R9" s="932" t="s">
        <v>108</v>
      </c>
      <c r="S9" s="933"/>
      <c r="T9" s="933"/>
      <c r="U9" s="933"/>
      <c r="V9" s="485">
        <f>10142978+129870</f>
        <v>10272848</v>
      </c>
      <c r="W9" s="942"/>
      <c r="X9" s="317"/>
      <c r="Y9" s="311"/>
      <c r="Z9" s="318"/>
      <c r="AA9" s="302"/>
      <c r="AB9" s="319"/>
      <c r="AC9" s="320"/>
    </row>
    <row r="10" spans="1:29" s="316" customFormat="1" ht="24.75" customHeight="1">
      <c r="A10" s="321"/>
      <c r="B10" s="322"/>
      <c r="C10" s="323" t="s">
        <v>480</v>
      </c>
      <c r="D10" s="324">
        <f>SUM('6. kiadások megbontása'!D50)</f>
        <v>502821141</v>
      </c>
      <c r="E10" s="325">
        <f>SUM('6. kiadások megbontása'!E50)</f>
        <v>308177926</v>
      </c>
      <c r="F10" s="326">
        <f>SUM(D10:E10)</f>
        <v>810999067</v>
      </c>
      <c r="G10" s="969" t="s">
        <v>729</v>
      </c>
      <c r="H10" s="946"/>
      <c r="I10" s="946"/>
      <c r="J10" s="749">
        <v>49781200</v>
      </c>
      <c r="K10" s="930"/>
      <c r="L10" s="935" t="s">
        <v>917</v>
      </c>
      <c r="M10" s="936"/>
      <c r="N10" s="936"/>
      <c r="O10" s="936"/>
      <c r="P10" s="485">
        <v>29559000</v>
      </c>
      <c r="Q10" s="973"/>
      <c r="R10" s="707" t="s">
        <v>777</v>
      </c>
      <c r="S10" s="711"/>
      <c r="T10" s="711"/>
      <c r="U10" s="711"/>
      <c r="V10" s="485">
        <v>80000</v>
      </c>
      <c r="W10" s="942"/>
      <c r="X10" s="327"/>
      <c r="Y10" s="328"/>
      <c r="Z10" s="318"/>
      <c r="AA10" s="329"/>
      <c r="AB10" s="330"/>
      <c r="AC10" s="331"/>
    </row>
    <row r="11" spans="1:29" s="316" customFormat="1" ht="16.5" customHeight="1">
      <c r="A11" s="332"/>
      <c r="B11" s="333"/>
      <c r="C11" s="334"/>
      <c r="D11" s="334"/>
      <c r="E11" s="303"/>
      <c r="F11" s="306"/>
      <c r="G11" s="952" t="s">
        <v>536</v>
      </c>
      <c r="H11" s="952"/>
      <c r="I11" s="952"/>
      <c r="J11" s="485">
        <v>48822917</v>
      </c>
      <c r="K11" s="930"/>
      <c r="L11" s="707" t="s">
        <v>847</v>
      </c>
      <c r="M11" s="708"/>
      <c r="N11" s="708"/>
      <c r="O11" s="708"/>
      <c r="P11" s="485">
        <f>4016545+16490993</f>
        <v>20507538</v>
      </c>
      <c r="Q11" s="973"/>
      <c r="R11" s="707" t="s">
        <v>275</v>
      </c>
      <c r="S11" s="711"/>
      <c r="T11" s="711"/>
      <c r="U11" s="711"/>
      <c r="V11" s="485">
        <f>731000+15000</f>
        <v>746000</v>
      </c>
      <c r="W11" s="942"/>
      <c r="X11" s="327"/>
      <c r="Y11" s="328"/>
      <c r="Z11" s="318"/>
      <c r="AA11" s="329"/>
      <c r="AB11" s="330"/>
      <c r="AC11" s="331"/>
    </row>
    <row r="12" spans="1:29" s="316" customFormat="1" ht="24.75" customHeight="1">
      <c r="A12" s="332"/>
      <c r="B12" s="333"/>
      <c r="C12" s="334"/>
      <c r="D12" s="334"/>
      <c r="E12" s="303"/>
      <c r="F12" s="306"/>
      <c r="G12" s="969" t="s">
        <v>995</v>
      </c>
      <c r="H12" s="946"/>
      <c r="I12" s="946"/>
      <c r="J12" s="307">
        <f>2232+6600+1155</f>
        <v>9987</v>
      </c>
      <c r="K12" s="930"/>
      <c r="L12" s="932" t="s">
        <v>848</v>
      </c>
      <c r="M12" s="933"/>
      <c r="N12" s="933"/>
      <c r="O12" s="933"/>
      <c r="P12" s="482">
        <f>13227888+26537427</f>
        <v>39765315</v>
      </c>
      <c r="Q12" s="973"/>
      <c r="R12" s="707" t="s">
        <v>726</v>
      </c>
      <c r="S12" s="711"/>
      <c r="T12" s="711"/>
      <c r="U12" s="711"/>
      <c r="V12" s="485">
        <f>2666578+556176+599440</f>
        <v>3822194</v>
      </c>
      <c r="W12" s="942"/>
      <c r="X12" s="327"/>
      <c r="Y12" s="328"/>
      <c r="Z12" s="318"/>
      <c r="AA12" s="329"/>
      <c r="AB12" s="330"/>
      <c r="AC12" s="331"/>
    </row>
    <row r="13" spans="1:29" s="316" customFormat="1" ht="15.75" customHeight="1">
      <c r="A13" s="332"/>
      <c r="B13" s="333"/>
      <c r="C13" s="334"/>
      <c r="D13" s="334"/>
      <c r="E13" s="303"/>
      <c r="F13" s="306"/>
      <c r="G13" s="952"/>
      <c r="H13" s="952"/>
      <c r="I13" s="952"/>
      <c r="J13" s="307"/>
      <c r="K13" s="930"/>
      <c r="L13" s="932"/>
      <c r="M13" s="933"/>
      <c r="N13" s="933"/>
      <c r="O13" s="933"/>
      <c r="P13" s="482"/>
      <c r="Q13" s="973"/>
      <c r="R13" s="707" t="s">
        <v>775</v>
      </c>
      <c r="S13" s="708"/>
      <c r="T13" s="708"/>
      <c r="U13" s="708"/>
      <c r="V13" s="669">
        <v>7524890</v>
      </c>
      <c r="W13" s="942"/>
      <c r="X13" s="327"/>
      <c r="Y13" s="328"/>
      <c r="Z13" s="318"/>
      <c r="AA13" s="329"/>
      <c r="AB13" s="330"/>
      <c r="AC13" s="331"/>
    </row>
    <row r="14" spans="1:29" s="316" customFormat="1" ht="15.75" customHeight="1">
      <c r="A14" s="332"/>
      <c r="B14" s="333"/>
      <c r="C14" s="334"/>
      <c r="D14" s="334"/>
      <c r="E14" s="303"/>
      <c r="F14" s="306"/>
      <c r="G14" s="309"/>
      <c r="H14" s="309"/>
      <c r="I14" s="309"/>
      <c r="J14" s="307"/>
      <c r="K14" s="930"/>
      <c r="L14" s="707"/>
      <c r="M14" s="708"/>
      <c r="N14" s="708"/>
      <c r="O14" s="708"/>
      <c r="P14" s="485"/>
      <c r="Q14" s="973"/>
      <c r="R14" s="932" t="s">
        <v>916</v>
      </c>
      <c r="S14" s="933"/>
      <c r="T14" s="933"/>
      <c r="U14" s="933"/>
      <c r="V14" s="669">
        <v>635000</v>
      </c>
      <c r="W14" s="942"/>
      <c r="X14" s="327"/>
      <c r="Y14" s="328"/>
      <c r="Z14" s="318"/>
      <c r="AA14" s="329"/>
      <c r="AB14" s="330"/>
      <c r="AC14" s="331"/>
    </row>
    <row r="15" spans="1:29" s="316" customFormat="1" ht="16.5" customHeight="1">
      <c r="A15" s="332"/>
      <c r="B15" s="333"/>
      <c r="C15" s="334"/>
      <c r="D15" s="334"/>
      <c r="E15" s="303"/>
      <c r="F15" s="335"/>
      <c r="G15" s="952"/>
      <c r="H15" s="952"/>
      <c r="I15" s="952"/>
      <c r="J15" s="307"/>
      <c r="K15" s="930"/>
      <c r="L15" s="951"/>
      <c r="M15" s="952"/>
      <c r="N15" s="952"/>
      <c r="O15" s="952"/>
      <c r="Q15" s="973"/>
      <c r="R15" s="932" t="s">
        <v>727</v>
      </c>
      <c r="S15" s="933"/>
      <c r="T15" s="933"/>
      <c r="U15" s="933"/>
      <c r="V15" s="669">
        <v>500</v>
      </c>
      <c r="W15" s="942"/>
      <c r="X15" s="337">
        <f>SUM(W8,Q8,K8)</f>
        <v>585998969</v>
      </c>
      <c r="Y15" s="338">
        <f>SUM(W18+Q18+K18)</f>
        <v>304780540</v>
      </c>
      <c r="Z15" s="339">
        <f>SUM(Y15,X15)</f>
        <v>890779509</v>
      </c>
      <c r="AA15" s="337">
        <f>X15-D10</f>
        <v>83177828</v>
      </c>
      <c r="AB15" s="338">
        <f>Y15-E10</f>
        <v>-3397386</v>
      </c>
      <c r="AC15" s="340">
        <f>SUM(AA15:AB15)</f>
        <v>79780442</v>
      </c>
    </row>
    <row r="16" spans="1:29" s="298" customFormat="1" ht="17.25" customHeight="1">
      <c r="A16" s="341"/>
      <c r="B16" s="342"/>
      <c r="C16" s="343"/>
      <c r="D16" s="343"/>
      <c r="E16" s="344"/>
      <c r="F16" s="345"/>
      <c r="G16" s="969"/>
      <c r="H16" s="946"/>
      <c r="I16" s="946"/>
      <c r="J16" s="307"/>
      <c r="K16" s="930"/>
      <c r="L16" s="951"/>
      <c r="M16" s="952"/>
      <c r="N16" s="952"/>
      <c r="O16" s="952"/>
      <c r="P16" s="336"/>
      <c r="Q16" s="973"/>
      <c r="R16" s="932" t="s">
        <v>728</v>
      </c>
      <c r="S16" s="933"/>
      <c r="T16" s="933"/>
      <c r="U16" s="933"/>
      <c r="V16" s="669">
        <v>39431147</v>
      </c>
      <c r="W16" s="942"/>
      <c r="X16" s="327"/>
      <c r="Y16" s="328"/>
      <c r="Z16" s="318"/>
      <c r="AA16" s="329"/>
      <c r="AB16" s="330"/>
      <c r="AC16" s="331"/>
    </row>
    <row r="17" spans="1:29" s="298" customFormat="1" ht="16.5" customHeight="1" thickBot="1">
      <c r="A17" s="341"/>
      <c r="B17" s="342"/>
      <c r="C17" s="343"/>
      <c r="D17" s="343"/>
      <c r="E17" s="344"/>
      <c r="F17" s="345"/>
      <c r="G17" s="969"/>
      <c r="H17" s="946"/>
      <c r="I17" s="946"/>
      <c r="J17" s="307"/>
      <c r="K17" s="930"/>
      <c r="L17" s="945"/>
      <c r="M17" s="946"/>
      <c r="N17" s="946"/>
      <c r="O17" s="946"/>
      <c r="P17" s="307"/>
      <c r="Q17" s="973"/>
      <c r="R17" s="932" t="s">
        <v>780</v>
      </c>
      <c r="S17" s="933"/>
      <c r="T17" s="933"/>
      <c r="U17" s="933"/>
      <c r="V17" s="749">
        <f>2232-2232</f>
        <v>0</v>
      </c>
      <c r="W17" s="942"/>
      <c r="X17" s="327"/>
      <c r="Y17" s="328"/>
      <c r="Z17" s="318"/>
      <c r="AA17" s="329"/>
      <c r="AB17" s="330"/>
      <c r="AC17" s="331"/>
    </row>
    <row r="18" spans="1:29" s="298" customFormat="1" ht="15" customHeight="1">
      <c r="A18" s="341"/>
      <c r="B18" s="342"/>
      <c r="C18" s="343"/>
      <c r="D18" s="343"/>
      <c r="E18" s="344"/>
      <c r="F18" s="345"/>
      <c r="G18" s="349"/>
      <c r="H18" s="350"/>
      <c r="I18" s="350"/>
      <c r="J18" s="351"/>
      <c r="K18" s="934"/>
      <c r="L18" s="949" t="s">
        <v>993</v>
      </c>
      <c r="M18" s="950"/>
      <c r="N18" s="950"/>
      <c r="O18" s="950"/>
      <c r="P18" s="666">
        <v>74295</v>
      </c>
      <c r="Q18" s="966">
        <f>SUM(P18:P20)</f>
        <v>532255</v>
      </c>
      <c r="R18" s="949" t="s">
        <v>91</v>
      </c>
      <c r="S18" s="950"/>
      <c r="T18" s="950"/>
      <c r="U18" s="950"/>
      <c r="V18" s="486">
        <f>44406964+1500000+1000000</f>
        <v>46906964</v>
      </c>
      <c r="W18" s="941">
        <f>SUM(V18:V20)</f>
        <v>304248285</v>
      </c>
      <c r="X18" s="327"/>
      <c r="Y18" s="328"/>
      <c r="Z18" s="318"/>
      <c r="AA18" s="329"/>
      <c r="AB18" s="330"/>
      <c r="AC18" s="331"/>
    </row>
    <row r="19" spans="1:29" s="298" customFormat="1" ht="15.75" customHeight="1">
      <c r="A19" s="341"/>
      <c r="B19" s="342"/>
      <c r="C19" s="343"/>
      <c r="D19" s="343"/>
      <c r="E19" s="344"/>
      <c r="F19" s="345"/>
      <c r="G19" s="347"/>
      <c r="H19" s="348"/>
      <c r="I19" s="348"/>
      <c r="J19" s="353"/>
      <c r="K19" s="930"/>
      <c r="L19" s="707" t="s">
        <v>994</v>
      </c>
      <c r="M19" s="708"/>
      <c r="N19" s="708"/>
      <c r="O19" s="708"/>
      <c r="P19" s="482">
        <v>190500</v>
      </c>
      <c r="Q19" s="967"/>
      <c r="R19" s="707"/>
      <c r="S19" s="708"/>
      <c r="T19" s="708"/>
      <c r="U19" s="708"/>
      <c r="V19" s="484"/>
      <c r="W19" s="942"/>
      <c r="X19" s="327"/>
      <c r="Y19" s="328"/>
      <c r="Z19" s="318"/>
      <c r="AA19" s="329"/>
      <c r="AB19" s="330"/>
      <c r="AC19" s="331"/>
    </row>
    <row r="20" spans="1:29" s="298" customFormat="1" ht="18.75" customHeight="1" thickBot="1">
      <c r="A20" s="341"/>
      <c r="B20" s="342"/>
      <c r="C20" s="343"/>
      <c r="D20" s="343"/>
      <c r="E20" s="344"/>
      <c r="F20" s="345"/>
      <c r="G20" s="347"/>
      <c r="H20" s="348"/>
      <c r="I20" s="348"/>
      <c r="J20" s="353"/>
      <c r="K20" s="930"/>
      <c r="L20" s="951" t="s">
        <v>913</v>
      </c>
      <c r="M20" s="952"/>
      <c r="N20" s="952"/>
      <c r="O20" s="952"/>
      <c r="P20" s="336">
        <v>267460</v>
      </c>
      <c r="Q20" s="967"/>
      <c r="R20" s="935" t="s">
        <v>723</v>
      </c>
      <c r="S20" s="936"/>
      <c r="T20" s="936"/>
      <c r="U20" s="936"/>
      <c r="V20" s="484">
        <f>257341321</f>
        <v>257341321</v>
      </c>
      <c r="W20" s="942"/>
      <c r="X20" s="327"/>
      <c r="Y20" s="328"/>
      <c r="Z20" s="318"/>
      <c r="AA20" s="329"/>
      <c r="AB20" s="330"/>
      <c r="AC20" s="331"/>
    </row>
    <row r="21" spans="1:29" s="298" customFormat="1" ht="18" customHeight="1" thickTop="1">
      <c r="A21" s="489"/>
      <c r="B21" s="354"/>
      <c r="C21" s="355"/>
      <c r="D21" s="355"/>
      <c r="E21" s="356"/>
      <c r="F21" s="357"/>
      <c r="G21" s="1021"/>
      <c r="H21" s="1022"/>
      <c r="I21" s="1022"/>
      <c r="J21" s="490"/>
      <c r="K21" s="929">
        <f>SUM(J21:J22)</f>
        <v>0</v>
      </c>
      <c r="L21" s="1013" t="s">
        <v>507</v>
      </c>
      <c r="M21" s="1014"/>
      <c r="N21" s="1014"/>
      <c r="O21" s="1014"/>
      <c r="P21" s="667"/>
      <c r="Q21" s="929">
        <f>SUM(P21:P22)</f>
        <v>0</v>
      </c>
      <c r="R21" s="359"/>
      <c r="S21" s="360"/>
      <c r="T21" s="360"/>
      <c r="U21" s="360"/>
      <c r="V21" s="361"/>
      <c r="W21" s="362"/>
      <c r="X21" s="363"/>
      <c r="Y21" s="364"/>
      <c r="Z21" s="365"/>
      <c r="AA21" s="366"/>
      <c r="AB21" s="367"/>
      <c r="AC21" s="368"/>
    </row>
    <row r="22" spans="1:223" s="464" customFormat="1" ht="19.5" customHeight="1" thickBot="1">
      <c r="A22" s="692"/>
      <c r="B22" s="1025" t="s">
        <v>92</v>
      </c>
      <c r="C22" s="1026"/>
      <c r="D22" s="693">
        <f>SUM('6. kiadások megbontása'!J50)</f>
        <v>12311385</v>
      </c>
      <c r="E22" s="694">
        <f>SUM('6. kiadások megbontása'!K50)</f>
        <v>0</v>
      </c>
      <c r="F22" s="695">
        <f>SUM(D22:E22)</f>
        <v>12311385</v>
      </c>
      <c r="G22" s="957"/>
      <c r="H22" s="958"/>
      <c r="I22" s="958"/>
      <c r="J22" s="696"/>
      <c r="K22" s="965"/>
      <c r="L22" s="955" t="s">
        <v>608</v>
      </c>
      <c r="M22" s="956"/>
      <c r="N22" s="956"/>
      <c r="O22" s="956"/>
      <c r="P22" s="668"/>
      <c r="Q22" s="965"/>
      <c r="R22" s="955"/>
      <c r="S22" s="956"/>
      <c r="T22" s="956"/>
      <c r="U22" s="956"/>
      <c r="V22" s="697"/>
      <c r="W22" s="698">
        <f>SUM(V22)</f>
        <v>0</v>
      </c>
      <c r="X22" s="699">
        <f>SUM(W22,Q21,K21)</f>
        <v>0</v>
      </c>
      <c r="Y22" s="700">
        <v>0</v>
      </c>
      <c r="Z22" s="701">
        <f>SUM(X22:Y22)</f>
        <v>0</v>
      </c>
      <c r="AA22" s="699">
        <f>X22-D22</f>
        <v>-12311385</v>
      </c>
      <c r="AB22" s="700">
        <f>Y22-E22</f>
        <v>0</v>
      </c>
      <c r="AC22" s="369">
        <f>SUM(AA22:AB22)</f>
        <v>-12311385</v>
      </c>
      <c r="AD22" s="479"/>
      <c r="AE22" s="479"/>
      <c r="AF22" s="479"/>
      <c r="AG22" s="479"/>
      <c r="AH22" s="479"/>
      <c r="AI22" s="479"/>
      <c r="AJ22" s="479"/>
      <c r="AK22" s="479"/>
      <c r="AL22" s="479"/>
      <c r="AM22" s="479"/>
      <c r="AN22" s="479"/>
      <c r="AO22" s="479"/>
      <c r="AP22" s="479"/>
      <c r="AQ22" s="479"/>
      <c r="AR22" s="479"/>
      <c r="AS22" s="479"/>
      <c r="AT22" s="479"/>
      <c r="AU22" s="479"/>
      <c r="AV22" s="479"/>
      <c r="AW22" s="479"/>
      <c r="AX22" s="479"/>
      <c r="AY22" s="479"/>
      <c r="AZ22" s="479"/>
      <c r="BA22" s="479"/>
      <c r="BB22" s="479"/>
      <c r="BC22" s="479"/>
      <c r="BD22" s="479"/>
      <c r="BE22" s="479"/>
      <c r="BF22" s="479"/>
      <c r="BG22" s="479"/>
      <c r="BH22" s="479"/>
      <c r="BI22" s="479"/>
      <c r="BJ22" s="479"/>
      <c r="BK22" s="479"/>
      <c r="BL22" s="479"/>
      <c r="BM22" s="479"/>
      <c r="BN22" s="479"/>
      <c r="BO22" s="479"/>
      <c r="BP22" s="479"/>
      <c r="BQ22" s="479"/>
      <c r="BR22" s="479"/>
      <c r="BS22" s="479"/>
      <c r="BT22" s="479"/>
      <c r="BU22" s="479"/>
      <c r="BV22" s="479"/>
      <c r="BW22" s="479"/>
      <c r="BX22" s="479"/>
      <c r="BY22" s="479"/>
      <c r="BZ22" s="479"/>
      <c r="CA22" s="479"/>
      <c r="CB22" s="479"/>
      <c r="CC22" s="479"/>
      <c r="CD22" s="479"/>
      <c r="CE22" s="479"/>
      <c r="CF22" s="479"/>
      <c r="CG22" s="479"/>
      <c r="CH22" s="479"/>
      <c r="CI22" s="479"/>
      <c r="CJ22" s="479"/>
      <c r="CK22" s="479"/>
      <c r="CL22" s="479"/>
      <c r="CM22" s="479"/>
      <c r="CN22" s="479"/>
      <c r="CO22" s="479"/>
      <c r="CP22" s="479"/>
      <c r="CQ22" s="479"/>
      <c r="CR22" s="479"/>
      <c r="CS22" s="479"/>
      <c r="CT22" s="479"/>
      <c r="CU22" s="479"/>
      <c r="CV22" s="479"/>
      <c r="CW22" s="479"/>
      <c r="CX22" s="479"/>
      <c r="CY22" s="479"/>
      <c r="CZ22" s="479"/>
      <c r="DA22" s="479"/>
      <c r="DB22" s="479"/>
      <c r="DC22" s="479"/>
      <c r="DD22" s="479"/>
      <c r="DE22" s="479"/>
      <c r="DF22" s="479"/>
      <c r="DG22" s="479"/>
      <c r="DH22" s="479"/>
      <c r="DI22" s="479"/>
      <c r="DJ22" s="479"/>
      <c r="DK22" s="479"/>
      <c r="DL22" s="479"/>
      <c r="DM22" s="479"/>
      <c r="DN22" s="479"/>
      <c r="DO22" s="479"/>
      <c r="DP22" s="479"/>
      <c r="DQ22" s="479"/>
      <c r="DR22" s="479"/>
      <c r="DS22" s="479"/>
      <c r="DT22" s="479"/>
      <c r="DU22" s="479"/>
      <c r="DV22" s="479"/>
      <c r="DW22" s="479"/>
      <c r="DX22" s="479"/>
      <c r="DY22" s="479"/>
      <c r="DZ22" s="479"/>
      <c r="EA22" s="479"/>
      <c r="EB22" s="479"/>
      <c r="EC22" s="479"/>
      <c r="ED22" s="479"/>
      <c r="EE22" s="479"/>
      <c r="EF22" s="479"/>
      <c r="EG22" s="479"/>
      <c r="EH22" s="479"/>
      <c r="EI22" s="479"/>
      <c r="EJ22" s="479"/>
      <c r="EK22" s="479"/>
      <c r="EL22" s="479"/>
      <c r="EM22" s="479"/>
      <c r="EN22" s="479"/>
      <c r="EO22" s="479"/>
      <c r="EP22" s="479"/>
      <c r="EQ22" s="479"/>
      <c r="ER22" s="479"/>
      <c r="ES22" s="479"/>
      <c r="ET22" s="479"/>
      <c r="EU22" s="479"/>
      <c r="EV22" s="479"/>
      <c r="EW22" s="479"/>
      <c r="EX22" s="479"/>
      <c r="EY22" s="479"/>
      <c r="EZ22" s="479"/>
      <c r="FA22" s="479"/>
      <c r="FB22" s="479"/>
      <c r="FC22" s="479"/>
      <c r="FD22" s="479"/>
      <c r="FE22" s="479"/>
      <c r="FF22" s="479"/>
      <c r="FG22" s="479"/>
      <c r="FH22" s="479"/>
      <c r="FI22" s="479"/>
      <c r="FJ22" s="479"/>
      <c r="FK22" s="479"/>
      <c r="FL22" s="479"/>
      <c r="FM22" s="479"/>
      <c r="FN22" s="479"/>
      <c r="FO22" s="479"/>
      <c r="FP22" s="479"/>
      <c r="FQ22" s="479"/>
      <c r="FR22" s="479"/>
      <c r="FS22" s="479"/>
      <c r="FT22" s="479"/>
      <c r="FU22" s="479"/>
      <c r="FV22" s="479"/>
      <c r="FW22" s="479"/>
      <c r="FX22" s="479"/>
      <c r="FY22" s="479"/>
      <c r="FZ22" s="479"/>
      <c r="GA22" s="479"/>
      <c r="GB22" s="479"/>
      <c r="GC22" s="479"/>
      <c r="GD22" s="479"/>
      <c r="GE22" s="479"/>
      <c r="GF22" s="479"/>
      <c r="GG22" s="479"/>
      <c r="GH22" s="479"/>
      <c r="GI22" s="479"/>
      <c r="GJ22" s="479"/>
      <c r="GK22" s="479"/>
      <c r="GL22" s="479"/>
      <c r="GM22" s="479"/>
      <c r="GN22" s="479"/>
      <c r="GO22" s="479"/>
      <c r="GP22" s="479"/>
      <c r="GQ22" s="479"/>
      <c r="GR22" s="479"/>
      <c r="GS22" s="479"/>
      <c r="GT22" s="479"/>
      <c r="GU22" s="479"/>
      <c r="GV22" s="479"/>
      <c r="GW22" s="479"/>
      <c r="GX22" s="479"/>
      <c r="GY22" s="479"/>
      <c r="GZ22" s="479"/>
      <c r="HA22" s="479"/>
      <c r="HB22" s="479"/>
      <c r="HC22" s="479"/>
      <c r="HD22" s="479"/>
      <c r="HE22" s="479"/>
      <c r="HF22" s="479"/>
      <c r="HG22" s="479"/>
      <c r="HH22" s="479"/>
      <c r="HI22" s="479"/>
      <c r="HJ22" s="479"/>
      <c r="HK22" s="479"/>
      <c r="HL22" s="479"/>
      <c r="HM22" s="479"/>
      <c r="HN22" s="479"/>
      <c r="HO22" s="479"/>
    </row>
    <row r="23" spans="1:29" ht="24.75" customHeight="1" thickTop="1">
      <c r="A23" s="385"/>
      <c r="B23" s="344"/>
      <c r="C23" s="371"/>
      <c r="D23" s="372"/>
      <c r="E23" s="372"/>
      <c r="F23" s="345"/>
      <c r="G23" s="347"/>
      <c r="H23" s="348"/>
      <c r="I23" s="348"/>
      <c r="J23" s="373"/>
      <c r="K23" s="929">
        <f>SUM(J23:J26)</f>
        <v>0</v>
      </c>
      <c r="L23" s="932" t="s">
        <v>107</v>
      </c>
      <c r="M23" s="933"/>
      <c r="N23" s="933"/>
      <c r="O23" s="933"/>
      <c r="P23" s="307">
        <v>2100000</v>
      </c>
      <c r="Q23" s="929">
        <f>SUM(P23:P26)</f>
        <v>49100349</v>
      </c>
      <c r="R23" s="935" t="s">
        <v>724</v>
      </c>
      <c r="S23" s="936"/>
      <c r="T23" s="936"/>
      <c r="U23" s="936"/>
      <c r="V23" s="484">
        <v>9000000</v>
      </c>
      <c r="W23" s="1027">
        <f>SUM(V23:V26)</f>
        <v>116526923</v>
      </c>
      <c r="X23" s="374"/>
      <c r="Y23" s="375"/>
      <c r="Z23" s="376"/>
      <c r="AA23" s="374"/>
      <c r="AB23" s="375"/>
      <c r="AC23" s="357"/>
    </row>
    <row r="24" spans="1:29" ht="24.75" customHeight="1">
      <c r="A24" s="385"/>
      <c r="B24" s="344"/>
      <c r="C24" s="371"/>
      <c r="D24" s="372"/>
      <c r="E24" s="344"/>
      <c r="F24" s="345"/>
      <c r="G24" s="347"/>
      <c r="H24" s="348"/>
      <c r="I24" s="348"/>
      <c r="J24" s="373"/>
      <c r="K24" s="930"/>
      <c r="L24" s="945" t="s">
        <v>776</v>
      </c>
      <c r="M24" s="946"/>
      <c r="N24" s="946"/>
      <c r="O24" s="946"/>
      <c r="P24" s="307">
        <v>40118910</v>
      </c>
      <c r="Q24" s="930"/>
      <c r="R24" s="935" t="s">
        <v>726</v>
      </c>
      <c r="S24" s="936"/>
      <c r="T24" s="936"/>
      <c r="U24" s="936"/>
      <c r="V24" s="484"/>
      <c r="W24" s="967"/>
      <c r="X24" s="718"/>
      <c r="Y24" s="372"/>
      <c r="Z24" s="344"/>
      <c r="AA24" s="385"/>
      <c r="AB24" s="372"/>
      <c r="AC24" s="345"/>
    </row>
    <row r="25" spans="1:29" ht="24.75" customHeight="1">
      <c r="A25" s="385"/>
      <c r="B25" s="344"/>
      <c r="C25" s="371"/>
      <c r="D25" s="372"/>
      <c r="E25" s="344"/>
      <c r="F25" s="345"/>
      <c r="G25" s="347"/>
      <c r="H25" s="348"/>
      <c r="I25" s="348"/>
      <c r="J25" s="373"/>
      <c r="K25" s="930"/>
      <c r="L25" s="945" t="s">
        <v>914</v>
      </c>
      <c r="M25" s="946"/>
      <c r="N25" s="946"/>
      <c r="O25" s="946"/>
      <c r="P25" s="307">
        <v>1092680</v>
      </c>
      <c r="Q25" s="930"/>
      <c r="R25" s="932" t="s">
        <v>728</v>
      </c>
      <c r="S25" s="933"/>
      <c r="T25" s="933"/>
      <c r="U25" s="933"/>
      <c r="V25" s="742">
        <f>92795675+2881248+4230000</f>
        <v>99906923</v>
      </c>
      <c r="W25" s="967"/>
      <c r="X25" s="718"/>
      <c r="Y25" s="372"/>
      <c r="Z25" s="344"/>
      <c r="AA25" s="385"/>
      <c r="AB25" s="372"/>
      <c r="AC25" s="345"/>
    </row>
    <row r="26" spans="1:29" ht="34.5" customHeight="1" thickBot="1">
      <c r="A26" s="1010" t="s">
        <v>481</v>
      </c>
      <c r="B26" s="1011"/>
      <c r="C26" s="1012"/>
      <c r="D26" s="377">
        <f>SUM('6. kiadások megbontása'!G50)</f>
        <v>171769939</v>
      </c>
      <c r="E26" s="325">
        <f>SUM('6. kiadások megbontása'!H50)</f>
        <v>640006805</v>
      </c>
      <c r="F26" s="326">
        <f>SUM(D26:E26)</f>
        <v>811776744</v>
      </c>
      <c r="G26" s="378"/>
      <c r="H26" s="309"/>
      <c r="I26" s="309"/>
      <c r="J26" s="336"/>
      <c r="K26" s="931"/>
      <c r="L26" s="945" t="s">
        <v>918</v>
      </c>
      <c r="M26" s="946"/>
      <c r="N26" s="946"/>
      <c r="O26" s="946"/>
      <c r="P26" s="307">
        <v>5788759</v>
      </c>
      <c r="Q26" s="931"/>
      <c r="R26" s="937" t="s">
        <v>725</v>
      </c>
      <c r="S26" s="938"/>
      <c r="T26" s="938"/>
      <c r="U26" s="938"/>
      <c r="V26" s="483">
        <v>7620000</v>
      </c>
      <c r="W26" s="1028"/>
      <c r="X26" s="379">
        <f>SUM(W23,Q23,K23)</f>
        <v>165627272</v>
      </c>
      <c r="Y26" s="338">
        <f>SUM(Q27,W27,K27)</f>
        <v>645276555</v>
      </c>
      <c r="Z26" s="339">
        <f>SUM(X26:Y26)</f>
        <v>810903827</v>
      </c>
      <c r="AA26" s="337">
        <f>X26-D26</f>
        <v>-6142667</v>
      </c>
      <c r="AB26" s="338">
        <f>Y26-E26</f>
        <v>5269750</v>
      </c>
      <c r="AC26" s="340">
        <f>SUM(AA26:AB26)</f>
        <v>-872917</v>
      </c>
    </row>
    <row r="27" spans="1:29" ht="29.25" customHeight="1">
      <c r="A27" s="321"/>
      <c r="B27" s="322"/>
      <c r="C27" s="323"/>
      <c r="D27" s="377"/>
      <c r="E27" s="325"/>
      <c r="F27" s="326"/>
      <c r="G27" s="607"/>
      <c r="H27" s="608"/>
      <c r="I27" s="608"/>
      <c r="J27" s="352"/>
      <c r="K27" s="934">
        <f>SUM(J27)</f>
        <v>0</v>
      </c>
      <c r="L27" s="953" t="s">
        <v>915</v>
      </c>
      <c r="M27" s="954"/>
      <c r="N27" s="954"/>
      <c r="O27" s="954"/>
      <c r="P27" s="666">
        <v>6000000</v>
      </c>
      <c r="Q27" s="934">
        <f>SUM(P27:P28)</f>
        <v>6000000</v>
      </c>
      <c r="R27" s="935" t="s">
        <v>723</v>
      </c>
      <c r="S27" s="936"/>
      <c r="T27" s="936"/>
      <c r="U27" s="936"/>
      <c r="V27" s="743">
        <f>639276554+1</f>
        <v>639276555</v>
      </c>
      <c r="W27" s="998">
        <f>SUM(V27:V28)</f>
        <v>639276555</v>
      </c>
      <c r="X27" s="380"/>
      <c r="Y27" s="338"/>
      <c r="Z27" s="339"/>
      <c r="AA27" s="337"/>
      <c r="AB27" s="338"/>
      <c r="AC27" s="340"/>
    </row>
    <row r="28" spans="1:29" ht="27.75" customHeight="1" thickBot="1">
      <c r="A28" s="321"/>
      <c r="B28" s="322"/>
      <c r="C28" s="323"/>
      <c r="D28" s="377"/>
      <c r="E28" s="325"/>
      <c r="F28" s="326"/>
      <c r="G28" s="378"/>
      <c r="H28" s="309"/>
      <c r="I28" s="309"/>
      <c r="J28" s="336"/>
      <c r="K28" s="930"/>
      <c r="L28" s="937" t="s">
        <v>774</v>
      </c>
      <c r="M28" s="938"/>
      <c r="N28" s="938"/>
      <c r="O28" s="938"/>
      <c r="P28" s="659">
        <v>0</v>
      </c>
      <c r="Q28" s="930"/>
      <c r="R28" s="465"/>
      <c r="S28" s="606"/>
      <c r="T28" s="606"/>
      <c r="U28" s="606"/>
      <c r="V28" s="484"/>
      <c r="W28" s="999"/>
      <c r="X28" s="380"/>
      <c r="Y28" s="338"/>
      <c r="Z28" s="339"/>
      <c r="AA28" s="337"/>
      <c r="AB28" s="338"/>
      <c r="AC28" s="340"/>
    </row>
    <row r="29" spans="1:223" s="464" customFormat="1" ht="33.75" customHeight="1" thickBot="1">
      <c r="A29" s="1015" t="s">
        <v>939</v>
      </c>
      <c r="B29" s="1016"/>
      <c r="C29" s="1017"/>
      <c r="D29" s="671">
        <f>SUM(D9:D28)</f>
        <v>686902465</v>
      </c>
      <c r="E29" s="672">
        <f>SUM(E8:E28)</f>
        <v>948184731</v>
      </c>
      <c r="F29" s="673">
        <f>SUM(F8:F28)</f>
        <v>1635087196</v>
      </c>
      <c r="G29" s="674"/>
      <c r="H29" s="1018" t="s">
        <v>93</v>
      </c>
      <c r="I29" s="1019"/>
      <c r="J29" s="1020"/>
      <c r="K29" s="675">
        <f>SUM(K8:K28)</f>
        <v>167382145</v>
      </c>
      <c r="L29" s="472"/>
      <c r="M29" s="959" t="s">
        <v>94</v>
      </c>
      <c r="N29" s="959"/>
      <c r="O29" s="959"/>
      <c r="P29" s="960"/>
      <c r="Q29" s="675">
        <f>SUM(Q8:Q28)</f>
        <v>150036849</v>
      </c>
      <c r="R29" s="474"/>
      <c r="S29" s="959" t="s">
        <v>95</v>
      </c>
      <c r="T29" s="959"/>
      <c r="U29" s="959"/>
      <c r="V29" s="960"/>
      <c r="W29" s="676">
        <f>SUM(W8:W28)</f>
        <v>1384264342</v>
      </c>
      <c r="X29" s="677">
        <f>SUM(X8:X28)</f>
        <v>751626241</v>
      </c>
      <c r="Y29" s="678">
        <f>SUM(Y8:Y28)</f>
        <v>950057095</v>
      </c>
      <c r="Z29" s="679">
        <f>SUM(X29:Y29)</f>
        <v>1701683336</v>
      </c>
      <c r="AA29" s="680">
        <f>SUM(AA11:AA28)</f>
        <v>64723776</v>
      </c>
      <c r="AB29" s="681">
        <f>SUM(AB10:AB28)</f>
        <v>1872364</v>
      </c>
      <c r="AC29" s="470">
        <f>SUM(AA29:AB29)</f>
        <v>66596140</v>
      </c>
      <c r="AD29" s="479"/>
      <c r="AE29" s="479"/>
      <c r="AF29" s="479"/>
      <c r="AG29" s="479"/>
      <c r="AH29" s="479"/>
      <c r="AI29" s="479"/>
      <c r="AJ29" s="479"/>
      <c r="AK29" s="479"/>
      <c r="AL29" s="479"/>
      <c r="AM29" s="479"/>
      <c r="AN29" s="479"/>
      <c r="AO29" s="479"/>
      <c r="AP29" s="479"/>
      <c r="AQ29" s="479"/>
      <c r="AR29" s="479"/>
      <c r="AS29" s="479"/>
      <c r="AT29" s="479"/>
      <c r="AU29" s="479"/>
      <c r="AV29" s="479"/>
      <c r="AW29" s="479"/>
      <c r="AX29" s="479"/>
      <c r="AY29" s="479"/>
      <c r="AZ29" s="479"/>
      <c r="BA29" s="479"/>
      <c r="BB29" s="479"/>
      <c r="BC29" s="479"/>
      <c r="BD29" s="479"/>
      <c r="BE29" s="479"/>
      <c r="BF29" s="479"/>
      <c r="BG29" s="479"/>
      <c r="BH29" s="479"/>
      <c r="BI29" s="479"/>
      <c r="BJ29" s="479"/>
      <c r="BK29" s="479"/>
      <c r="BL29" s="479"/>
      <c r="BM29" s="479"/>
      <c r="BN29" s="479"/>
      <c r="BO29" s="479"/>
      <c r="BP29" s="479"/>
      <c r="BQ29" s="479"/>
      <c r="BR29" s="479"/>
      <c r="BS29" s="479"/>
      <c r="BT29" s="479"/>
      <c r="BU29" s="479"/>
      <c r="BV29" s="479"/>
      <c r="BW29" s="479"/>
      <c r="BX29" s="479"/>
      <c r="BY29" s="479"/>
      <c r="BZ29" s="479"/>
      <c r="CA29" s="479"/>
      <c r="CB29" s="479"/>
      <c r="CC29" s="479"/>
      <c r="CD29" s="479"/>
      <c r="CE29" s="479"/>
      <c r="CF29" s="479"/>
      <c r="CG29" s="479"/>
      <c r="CH29" s="479"/>
      <c r="CI29" s="479"/>
      <c r="CJ29" s="479"/>
      <c r="CK29" s="479"/>
      <c r="CL29" s="479"/>
      <c r="CM29" s="479"/>
      <c r="CN29" s="479"/>
      <c r="CO29" s="479"/>
      <c r="CP29" s="479"/>
      <c r="CQ29" s="479"/>
      <c r="CR29" s="479"/>
      <c r="CS29" s="479"/>
      <c r="CT29" s="479"/>
      <c r="CU29" s="479"/>
      <c r="CV29" s="479"/>
      <c r="CW29" s="479"/>
      <c r="CX29" s="479"/>
      <c r="CY29" s="479"/>
      <c r="CZ29" s="479"/>
      <c r="DA29" s="479"/>
      <c r="DB29" s="479"/>
      <c r="DC29" s="479"/>
      <c r="DD29" s="479"/>
      <c r="DE29" s="479"/>
      <c r="DF29" s="479"/>
      <c r="DG29" s="479"/>
      <c r="DH29" s="479"/>
      <c r="DI29" s="479"/>
      <c r="DJ29" s="479"/>
      <c r="DK29" s="479"/>
      <c r="DL29" s="479"/>
      <c r="DM29" s="479"/>
      <c r="DN29" s="479"/>
      <c r="DO29" s="479"/>
      <c r="DP29" s="479"/>
      <c r="DQ29" s="479"/>
      <c r="DR29" s="479"/>
      <c r="DS29" s="479"/>
      <c r="DT29" s="479"/>
      <c r="DU29" s="479"/>
      <c r="DV29" s="479"/>
      <c r="DW29" s="479"/>
      <c r="DX29" s="479"/>
      <c r="DY29" s="479"/>
      <c r="DZ29" s="479"/>
      <c r="EA29" s="479"/>
      <c r="EB29" s="479"/>
      <c r="EC29" s="479"/>
      <c r="ED29" s="479"/>
      <c r="EE29" s="479"/>
      <c r="EF29" s="479"/>
      <c r="EG29" s="479"/>
      <c r="EH29" s="479"/>
      <c r="EI29" s="479"/>
      <c r="EJ29" s="479"/>
      <c r="EK29" s="479"/>
      <c r="EL29" s="479"/>
      <c r="EM29" s="479"/>
      <c r="EN29" s="479"/>
      <c r="EO29" s="479"/>
      <c r="EP29" s="479"/>
      <c r="EQ29" s="479"/>
      <c r="ER29" s="479"/>
      <c r="ES29" s="479"/>
      <c r="ET29" s="479"/>
      <c r="EU29" s="479"/>
      <c r="EV29" s="479"/>
      <c r="EW29" s="479"/>
      <c r="EX29" s="479"/>
      <c r="EY29" s="479"/>
      <c r="EZ29" s="479"/>
      <c r="FA29" s="479"/>
      <c r="FB29" s="479"/>
      <c r="FC29" s="479"/>
      <c r="FD29" s="479"/>
      <c r="FE29" s="479"/>
      <c r="FF29" s="479"/>
      <c r="FG29" s="479"/>
      <c r="FH29" s="479"/>
      <c r="FI29" s="479"/>
      <c r="FJ29" s="479"/>
      <c r="FK29" s="479"/>
      <c r="FL29" s="479"/>
      <c r="FM29" s="479"/>
      <c r="FN29" s="479"/>
      <c r="FO29" s="479"/>
      <c r="FP29" s="479"/>
      <c r="FQ29" s="479"/>
      <c r="FR29" s="479"/>
      <c r="FS29" s="479"/>
      <c r="FT29" s="479"/>
      <c r="FU29" s="479"/>
      <c r="FV29" s="479"/>
      <c r="FW29" s="479"/>
      <c r="FX29" s="479"/>
      <c r="FY29" s="479"/>
      <c r="FZ29" s="479"/>
      <c r="GA29" s="479"/>
      <c r="GB29" s="479"/>
      <c r="GC29" s="479"/>
      <c r="GD29" s="479"/>
      <c r="GE29" s="479"/>
      <c r="GF29" s="479"/>
      <c r="GG29" s="479"/>
      <c r="GH29" s="479"/>
      <c r="GI29" s="479"/>
      <c r="GJ29" s="479"/>
      <c r="GK29" s="479"/>
      <c r="GL29" s="479"/>
      <c r="GM29" s="479"/>
      <c r="GN29" s="479"/>
      <c r="GO29" s="479"/>
      <c r="GP29" s="479"/>
      <c r="GQ29" s="479"/>
      <c r="GR29" s="479"/>
      <c r="GS29" s="479"/>
      <c r="GT29" s="479"/>
      <c r="GU29" s="479"/>
      <c r="GV29" s="479"/>
      <c r="GW29" s="479"/>
      <c r="GX29" s="479"/>
      <c r="GY29" s="479"/>
      <c r="GZ29" s="479"/>
      <c r="HA29" s="479"/>
      <c r="HB29" s="479"/>
      <c r="HC29" s="479"/>
      <c r="HD29" s="479"/>
      <c r="HE29" s="479"/>
      <c r="HF29" s="479"/>
      <c r="HG29" s="479"/>
      <c r="HH29" s="479"/>
      <c r="HI29" s="479"/>
      <c r="HJ29" s="479"/>
      <c r="HK29" s="479"/>
      <c r="HL29" s="479"/>
      <c r="HM29" s="479"/>
      <c r="HN29" s="479"/>
      <c r="HO29" s="479"/>
    </row>
    <row r="30" spans="1:29" ht="27.75" customHeight="1" thickBot="1" thickTop="1">
      <c r="A30" s="1030" t="s">
        <v>936</v>
      </c>
      <c r="B30" s="1031"/>
      <c r="C30" s="1032"/>
      <c r="D30" s="980" t="s">
        <v>364</v>
      </c>
      <c r="E30" s="981"/>
      <c r="F30" s="982"/>
      <c r="G30" s="983" t="s">
        <v>501</v>
      </c>
      <c r="H30" s="981"/>
      <c r="I30" s="981"/>
      <c r="J30" s="981"/>
      <c r="K30" s="1006"/>
      <c r="L30" s="974" t="s">
        <v>502</v>
      </c>
      <c r="M30" s="981"/>
      <c r="N30" s="981"/>
      <c r="O30" s="981"/>
      <c r="P30" s="981"/>
      <c r="Q30" s="1006"/>
      <c r="R30" s="974" t="s">
        <v>503</v>
      </c>
      <c r="S30" s="981"/>
      <c r="T30" s="981"/>
      <c r="U30" s="981"/>
      <c r="V30" s="981"/>
      <c r="W30" s="982"/>
      <c r="X30" s="1024" t="s">
        <v>504</v>
      </c>
      <c r="Y30" s="993"/>
      <c r="Z30" s="993"/>
      <c r="AA30" s="994" t="s">
        <v>87</v>
      </c>
      <c r="AB30" s="995"/>
      <c r="AC30" s="996"/>
    </row>
    <row r="31" spans="1:223" s="381" customFormat="1" ht="18.75" customHeight="1" thickBot="1" thickTop="1">
      <c r="A31" s="1033"/>
      <c r="B31" s="1034"/>
      <c r="C31" s="1035"/>
      <c r="D31" s="460" t="s">
        <v>88</v>
      </c>
      <c r="E31" s="703" t="s">
        <v>85</v>
      </c>
      <c r="F31" s="301" t="s">
        <v>89</v>
      </c>
      <c r="G31" s="1036"/>
      <c r="H31" s="1008"/>
      <c r="I31" s="1008"/>
      <c r="J31" s="1037"/>
      <c r="K31" s="1009"/>
      <c r="L31" s="1007"/>
      <c r="M31" s="1008"/>
      <c r="N31" s="1008"/>
      <c r="O31" s="1008"/>
      <c r="P31" s="1008"/>
      <c r="Q31" s="1009"/>
      <c r="R31" s="1007"/>
      <c r="S31" s="1008"/>
      <c r="T31" s="1008"/>
      <c r="U31" s="1008"/>
      <c r="V31" s="1008"/>
      <c r="W31" s="1023"/>
      <c r="X31" s="688" t="s">
        <v>88</v>
      </c>
      <c r="Y31" s="691" t="s">
        <v>85</v>
      </c>
      <c r="Z31" s="301" t="s">
        <v>89</v>
      </c>
      <c r="AA31" s="683" t="s">
        <v>88</v>
      </c>
      <c r="AB31" s="460" t="s">
        <v>85</v>
      </c>
      <c r="AC31" s="301" t="s">
        <v>89</v>
      </c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8"/>
      <c r="BC31" s="298"/>
      <c r="BD31" s="298"/>
      <c r="BE31" s="298"/>
      <c r="BF31" s="298"/>
      <c r="BG31" s="298"/>
      <c r="BH31" s="298"/>
      <c r="BI31" s="298"/>
      <c r="BJ31" s="298"/>
      <c r="BK31" s="298"/>
      <c r="BL31" s="298"/>
      <c r="BM31" s="298"/>
      <c r="BN31" s="298"/>
      <c r="BO31" s="298"/>
      <c r="BP31" s="298"/>
      <c r="BQ31" s="298"/>
      <c r="BR31" s="298"/>
      <c r="BS31" s="298"/>
      <c r="BT31" s="298"/>
      <c r="BU31" s="298"/>
      <c r="BV31" s="298"/>
      <c r="BW31" s="298"/>
      <c r="BX31" s="298"/>
      <c r="BY31" s="298"/>
      <c r="BZ31" s="298"/>
      <c r="CA31" s="298"/>
      <c r="CB31" s="298"/>
      <c r="CC31" s="298"/>
      <c r="CD31" s="298"/>
      <c r="CE31" s="298"/>
      <c r="CF31" s="298"/>
      <c r="CG31" s="298"/>
      <c r="CH31" s="298"/>
      <c r="CI31" s="298"/>
      <c r="CJ31" s="298"/>
      <c r="CK31" s="298"/>
      <c r="CL31" s="298"/>
      <c r="CM31" s="298"/>
      <c r="CN31" s="298"/>
      <c r="CO31" s="298"/>
      <c r="CP31" s="298"/>
      <c r="CQ31" s="298"/>
      <c r="CR31" s="298"/>
      <c r="CS31" s="298"/>
      <c r="CT31" s="298"/>
      <c r="CU31" s="298"/>
      <c r="CV31" s="298"/>
      <c r="CW31" s="298"/>
      <c r="CX31" s="298"/>
      <c r="CY31" s="298"/>
      <c r="CZ31" s="298"/>
      <c r="DA31" s="298"/>
      <c r="DB31" s="298"/>
      <c r="DC31" s="298"/>
      <c r="DD31" s="298"/>
      <c r="DE31" s="298"/>
      <c r="DF31" s="298"/>
      <c r="DG31" s="298"/>
      <c r="DH31" s="298"/>
      <c r="DI31" s="298"/>
      <c r="DJ31" s="298"/>
      <c r="DK31" s="298"/>
      <c r="DL31" s="298"/>
      <c r="DM31" s="298"/>
      <c r="DN31" s="298"/>
      <c r="DO31" s="298"/>
      <c r="DP31" s="298"/>
      <c r="DQ31" s="298"/>
      <c r="DR31" s="298"/>
      <c r="DS31" s="298"/>
      <c r="DT31" s="298"/>
      <c r="DU31" s="298"/>
      <c r="DV31" s="298"/>
      <c r="DW31" s="298"/>
      <c r="DX31" s="298"/>
      <c r="DY31" s="298"/>
      <c r="DZ31" s="298"/>
      <c r="EA31" s="298"/>
      <c r="EB31" s="298"/>
      <c r="EC31" s="298"/>
      <c r="ED31" s="298"/>
      <c r="EE31" s="298"/>
      <c r="EF31" s="298"/>
      <c r="EG31" s="298"/>
      <c r="EH31" s="298"/>
      <c r="EI31" s="298"/>
      <c r="EJ31" s="298"/>
      <c r="EK31" s="298"/>
      <c r="EL31" s="298"/>
      <c r="EM31" s="298"/>
      <c r="EN31" s="298"/>
      <c r="EO31" s="298"/>
      <c r="EP31" s="298"/>
      <c r="EQ31" s="298"/>
      <c r="ER31" s="298"/>
      <c r="ES31" s="298"/>
      <c r="ET31" s="298"/>
      <c r="EU31" s="298"/>
      <c r="EV31" s="298"/>
      <c r="EW31" s="298"/>
      <c r="EX31" s="298"/>
      <c r="EY31" s="298"/>
      <c r="EZ31" s="298"/>
      <c r="FA31" s="298"/>
      <c r="FB31" s="298"/>
      <c r="FC31" s="298"/>
      <c r="FD31" s="298"/>
      <c r="FE31" s="298"/>
      <c r="FF31" s="298"/>
      <c r="FG31" s="298"/>
      <c r="FH31" s="298"/>
      <c r="FI31" s="298"/>
      <c r="FJ31" s="298"/>
      <c r="FK31" s="298"/>
      <c r="FL31" s="298"/>
      <c r="FM31" s="298"/>
      <c r="FN31" s="298"/>
      <c r="FO31" s="298"/>
      <c r="FP31" s="298"/>
      <c r="FQ31" s="298"/>
      <c r="FR31" s="298"/>
      <c r="FS31" s="298"/>
      <c r="FT31" s="298"/>
      <c r="FU31" s="298"/>
      <c r="FV31" s="298"/>
      <c r="FW31" s="298"/>
      <c r="FX31" s="298"/>
      <c r="FY31" s="298"/>
      <c r="FZ31" s="298"/>
      <c r="GA31" s="298"/>
      <c r="GB31" s="298"/>
      <c r="GC31" s="298"/>
      <c r="GD31" s="298"/>
      <c r="GE31" s="298"/>
      <c r="GF31" s="298"/>
      <c r="GG31" s="298"/>
      <c r="GH31" s="298"/>
      <c r="GI31" s="298"/>
      <c r="GJ31" s="298"/>
      <c r="GK31" s="298"/>
      <c r="GL31" s="298"/>
      <c r="GM31" s="298"/>
      <c r="GN31" s="298"/>
      <c r="GO31" s="298"/>
      <c r="GP31" s="298"/>
      <c r="GQ31" s="298"/>
      <c r="GR31" s="298"/>
      <c r="GS31" s="298"/>
      <c r="GT31" s="298"/>
      <c r="GU31" s="298"/>
      <c r="GV31" s="298"/>
      <c r="GW31" s="298"/>
      <c r="GX31" s="298"/>
      <c r="GY31" s="298"/>
      <c r="GZ31" s="298"/>
      <c r="HA31" s="298"/>
      <c r="HB31" s="298"/>
      <c r="HC31" s="298"/>
      <c r="HD31" s="298"/>
      <c r="HE31" s="298"/>
      <c r="HF31" s="298"/>
      <c r="HG31" s="298"/>
      <c r="HH31" s="298"/>
      <c r="HI31" s="298"/>
      <c r="HJ31" s="298"/>
      <c r="HK31" s="298"/>
      <c r="HL31" s="298"/>
      <c r="HM31" s="298"/>
      <c r="HN31" s="298"/>
      <c r="HO31" s="298"/>
    </row>
    <row r="32" spans="1:29" ht="12.75" customHeight="1">
      <c r="A32" s="302"/>
      <c r="B32" s="344"/>
      <c r="C32" s="344"/>
      <c r="D32" s="372"/>
      <c r="E32" s="344"/>
      <c r="F32" s="306"/>
      <c r="G32" s="1000" t="s">
        <v>462</v>
      </c>
      <c r="H32" s="1001"/>
      <c r="I32" s="1001"/>
      <c r="J32" s="1004">
        <f>119812800+22486700</f>
        <v>142299500</v>
      </c>
      <c r="K32" s="1038">
        <f>SUM(J32:J35)</f>
        <v>142438855</v>
      </c>
      <c r="L32" s="939"/>
      <c r="M32" s="940"/>
      <c r="N32" s="940"/>
      <c r="O32" s="940"/>
      <c r="P32" s="947"/>
      <c r="Q32" s="934">
        <f>SUM(P32:P35)</f>
        <v>0</v>
      </c>
      <c r="R32" s="949" t="s">
        <v>788</v>
      </c>
      <c r="S32" s="950"/>
      <c r="T32" s="950"/>
      <c r="U32" s="950"/>
      <c r="V32" s="947">
        <v>250000</v>
      </c>
      <c r="W32" s="941">
        <f>SUM(V32:V35)</f>
        <v>6576559</v>
      </c>
      <c r="X32" s="382"/>
      <c r="Y32" s="383"/>
      <c r="Z32" s="384"/>
      <c r="AA32" s="302"/>
      <c r="AB32" s="319"/>
      <c r="AC32" s="320"/>
    </row>
    <row r="33" spans="1:29" ht="12.75" customHeight="1">
      <c r="A33" s="385"/>
      <c r="B33" s="342"/>
      <c r="C33" s="342"/>
      <c r="D33" s="386"/>
      <c r="E33" s="344"/>
      <c r="F33" s="345"/>
      <c r="G33" s="1002"/>
      <c r="H33" s="1003"/>
      <c r="I33" s="1003"/>
      <c r="J33" s="1005"/>
      <c r="K33" s="930"/>
      <c r="L33" s="935"/>
      <c r="M33" s="936"/>
      <c r="N33" s="936"/>
      <c r="O33" s="936"/>
      <c r="P33" s="948"/>
      <c r="Q33" s="930"/>
      <c r="R33" s="932"/>
      <c r="S33" s="933"/>
      <c r="T33" s="933"/>
      <c r="U33" s="933"/>
      <c r="V33" s="948"/>
      <c r="W33" s="942"/>
      <c r="X33" s="387"/>
      <c r="Y33" s="328"/>
      <c r="Z33" s="318"/>
      <c r="AA33" s="329"/>
      <c r="AB33" s="330"/>
      <c r="AC33" s="331"/>
    </row>
    <row r="34" spans="1:29" ht="12.75" customHeight="1">
      <c r="A34" s="385"/>
      <c r="B34" s="342"/>
      <c r="C34" s="342"/>
      <c r="D34" s="386"/>
      <c r="E34" s="344"/>
      <c r="F34" s="345"/>
      <c r="G34" s="789"/>
      <c r="H34" s="790"/>
      <c r="I34" s="790"/>
      <c r="J34" s="791"/>
      <c r="K34" s="930"/>
      <c r="L34" s="788"/>
      <c r="M34" s="711"/>
      <c r="N34" s="711"/>
      <c r="O34" s="711"/>
      <c r="P34" s="787"/>
      <c r="Q34" s="930"/>
      <c r="R34" s="932" t="s">
        <v>728</v>
      </c>
      <c r="S34" s="933"/>
      <c r="T34" s="933"/>
      <c r="U34" s="933"/>
      <c r="V34" s="482">
        <v>789210</v>
      </c>
      <c r="W34" s="942"/>
      <c r="X34" s="387"/>
      <c r="Y34" s="328"/>
      <c r="Z34" s="318"/>
      <c r="AA34" s="329"/>
      <c r="AB34" s="330"/>
      <c r="AC34" s="331"/>
    </row>
    <row r="35" spans="1:29" ht="24.75" customHeight="1" thickBot="1">
      <c r="A35" s="385"/>
      <c r="B35" s="1011" t="s">
        <v>480</v>
      </c>
      <c r="C35" s="1012"/>
      <c r="D35" s="377">
        <f>SUM('6. kiadások megbontása'!D54)</f>
        <v>135294167</v>
      </c>
      <c r="E35" s="325">
        <f>SUM('6. kiadások megbontása'!E54)</f>
        <v>1934590</v>
      </c>
      <c r="F35" s="326">
        <f>SUM(D35:E35)</f>
        <v>137228757</v>
      </c>
      <c r="G35" s="969" t="s">
        <v>995</v>
      </c>
      <c r="H35" s="946"/>
      <c r="I35" s="946"/>
      <c r="J35" s="469">
        <f>17860+121495</f>
        <v>139355</v>
      </c>
      <c r="K35" s="930"/>
      <c r="L35" s="935"/>
      <c r="M35" s="936"/>
      <c r="N35" s="936"/>
      <c r="O35" s="936"/>
      <c r="P35" s="482"/>
      <c r="Q35" s="930"/>
      <c r="R35" s="932" t="s">
        <v>508</v>
      </c>
      <c r="S35" s="933"/>
      <c r="T35" s="933"/>
      <c r="U35" s="933"/>
      <c r="V35" s="480">
        <v>5537349</v>
      </c>
      <c r="W35" s="942"/>
      <c r="X35" s="387">
        <f>SUM(W32,Q32,K32)</f>
        <v>149015414</v>
      </c>
      <c r="Y35" s="328">
        <v>0</v>
      </c>
      <c r="Z35" s="339">
        <f>SUM(Y35,X35)</f>
        <v>149015414</v>
      </c>
      <c r="AA35" s="337">
        <f>X35-D35</f>
        <v>13721247</v>
      </c>
      <c r="AB35" s="338">
        <f>Y35-E35</f>
        <v>-1934590</v>
      </c>
      <c r="AC35" s="331">
        <f>SUM(AA35:AB35)</f>
        <v>11786657</v>
      </c>
    </row>
    <row r="36" spans="1:29" ht="20.25" customHeight="1" thickBot="1">
      <c r="A36" s="1075" t="s">
        <v>481</v>
      </c>
      <c r="B36" s="1076"/>
      <c r="C36" s="1077"/>
      <c r="D36" s="792">
        <f>'6. kiadások megbontása'!G54</f>
        <v>8450747</v>
      </c>
      <c r="E36" s="793"/>
      <c r="F36" s="794">
        <f>SUM(D36:E36)</f>
        <v>8450747</v>
      </c>
      <c r="G36" s="795"/>
      <c r="H36" s="795"/>
      <c r="I36" s="795"/>
      <c r="J36" s="796"/>
      <c r="K36" s="797"/>
      <c r="L36" s="798"/>
      <c r="M36" s="799"/>
      <c r="N36" s="799"/>
      <c r="O36" s="799"/>
      <c r="P36" s="800"/>
      <c r="Q36" s="797"/>
      <c r="R36" s="943"/>
      <c r="S36" s="944"/>
      <c r="T36" s="944"/>
      <c r="U36" s="944"/>
      <c r="V36" s="801"/>
      <c r="W36" s="802">
        <f>SUM(V36)</f>
        <v>0</v>
      </c>
      <c r="X36" s="803">
        <f>W36</f>
        <v>0</v>
      </c>
      <c r="Y36" s="804"/>
      <c r="Z36" s="805">
        <f>SUM(Y36,X36)</f>
        <v>0</v>
      </c>
      <c r="AA36" s="806"/>
      <c r="AB36" s="807"/>
      <c r="AC36" s="805"/>
    </row>
    <row r="37" spans="1:223" s="464" customFormat="1" ht="33.75" customHeight="1" thickBot="1">
      <c r="A37" s="1015" t="s">
        <v>938</v>
      </c>
      <c r="B37" s="1016"/>
      <c r="C37" s="1017"/>
      <c r="D37" s="671">
        <f>SUM(D32:D36)</f>
        <v>143744914</v>
      </c>
      <c r="E37" s="672">
        <f>SUM(E32:E36)</f>
        <v>1934590</v>
      </c>
      <c r="F37" s="673">
        <f>SUM(F32:F36)</f>
        <v>145679504</v>
      </c>
      <c r="G37" s="674"/>
      <c r="H37" s="1018" t="s">
        <v>93</v>
      </c>
      <c r="I37" s="1019"/>
      <c r="J37" s="1020"/>
      <c r="K37" s="675">
        <f>SUM(K32:K35)</f>
        <v>142438855</v>
      </c>
      <c r="L37" s="472"/>
      <c r="M37" s="959" t="s">
        <v>94</v>
      </c>
      <c r="N37" s="959"/>
      <c r="O37" s="959"/>
      <c r="P37" s="960"/>
      <c r="Q37" s="675">
        <f>SUM(Q32:Q35)</f>
        <v>0</v>
      </c>
      <c r="R37" s="474"/>
      <c r="S37" s="959" t="s">
        <v>95</v>
      </c>
      <c r="T37" s="959"/>
      <c r="U37" s="959"/>
      <c r="V37" s="960"/>
      <c r="W37" s="676">
        <f>SUM(W32:W36)</f>
        <v>6576559</v>
      </c>
      <c r="X37" s="677">
        <f>SUM(X32:X36)</f>
        <v>149015414</v>
      </c>
      <c r="Y37" s="678">
        <v>0</v>
      </c>
      <c r="Z37" s="679">
        <f>SUM(X37:Y37)</f>
        <v>149015414</v>
      </c>
      <c r="AA37" s="680">
        <f>X37-D37</f>
        <v>5270500</v>
      </c>
      <c r="AB37" s="681">
        <f>Y37-E37</f>
        <v>-1934590</v>
      </c>
      <c r="AC37" s="470">
        <f>SUM(AA37:AB37)</f>
        <v>3335910</v>
      </c>
      <c r="AD37" s="479"/>
      <c r="AE37" s="479"/>
      <c r="AF37" s="479"/>
      <c r="AG37" s="479"/>
      <c r="AH37" s="479"/>
      <c r="AI37" s="479"/>
      <c r="AJ37" s="479"/>
      <c r="AK37" s="479"/>
      <c r="AL37" s="479"/>
      <c r="AM37" s="479"/>
      <c r="AN37" s="479"/>
      <c r="AO37" s="479"/>
      <c r="AP37" s="479"/>
      <c r="AQ37" s="479"/>
      <c r="AR37" s="479"/>
      <c r="AS37" s="479"/>
      <c r="AT37" s="479"/>
      <c r="AU37" s="479"/>
      <c r="AV37" s="479"/>
      <c r="AW37" s="479"/>
      <c r="AX37" s="479"/>
      <c r="AY37" s="479"/>
      <c r="AZ37" s="479"/>
      <c r="BA37" s="479"/>
      <c r="BB37" s="479"/>
      <c r="BC37" s="479"/>
      <c r="BD37" s="479"/>
      <c r="BE37" s="479"/>
      <c r="BF37" s="479"/>
      <c r="BG37" s="479"/>
      <c r="BH37" s="479"/>
      <c r="BI37" s="479"/>
      <c r="BJ37" s="479"/>
      <c r="BK37" s="479"/>
      <c r="BL37" s="479"/>
      <c r="BM37" s="479"/>
      <c r="BN37" s="479"/>
      <c r="BO37" s="479"/>
      <c r="BP37" s="479"/>
      <c r="BQ37" s="479"/>
      <c r="BR37" s="479"/>
      <c r="BS37" s="479"/>
      <c r="BT37" s="479"/>
      <c r="BU37" s="479"/>
      <c r="BV37" s="479"/>
      <c r="BW37" s="479"/>
      <c r="BX37" s="479"/>
      <c r="BY37" s="479"/>
      <c r="BZ37" s="479"/>
      <c r="CA37" s="479"/>
      <c r="CB37" s="479"/>
      <c r="CC37" s="479"/>
      <c r="CD37" s="479"/>
      <c r="CE37" s="479"/>
      <c r="CF37" s="479"/>
      <c r="CG37" s="479"/>
      <c r="CH37" s="479"/>
      <c r="CI37" s="479"/>
      <c r="CJ37" s="479"/>
      <c r="CK37" s="479"/>
      <c r="CL37" s="479"/>
      <c r="CM37" s="479"/>
      <c r="CN37" s="479"/>
      <c r="CO37" s="479"/>
      <c r="CP37" s="479"/>
      <c r="CQ37" s="479"/>
      <c r="CR37" s="479"/>
      <c r="CS37" s="479"/>
      <c r="CT37" s="479"/>
      <c r="CU37" s="479"/>
      <c r="CV37" s="479"/>
      <c r="CW37" s="479"/>
      <c r="CX37" s="479"/>
      <c r="CY37" s="479"/>
      <c r="CZ37" s="479"/>
      <c r="DA37" s="479"/>
      <c r="DB37" s="479"/>
      <c r="DC37" s="479"/>
      <c r="DD37" s="479"/>
      <c r="DE37" s="479"/>
      <c r="DF37" s="479"/>
      <c r="DG37" s="479"/>
      <c r="DH37" s="479"/>
      <c r="DI37" s="479"/>
      <c r="DJ37" s="479"/>
      <c r="DK37" s="479"/>
      <c r="DL37" s="479"/>
      <c r="DM37" s="479"/>
      <c r="DN37" s="479"/>
      <c r="DO37" s="479"/>
      <c r="DP37" s="479"/>
      <c r="DQ37" s="479"/>
      <c r="DR37" s="479"/>
      <c r="DS37" s="479"/>
      <c r="DT37" s="479"/>
      <c r="DU37" s="479"/>
      <c r="DV37" s="479"/>
      <c r="DW37" s="479"/>
      <c r="DX37" s="479"/>
      <c r="DY37" s="479"/>
      <c r="DZ37" s="479"/>
      <c r="EA37" s="479"/>
      <c r="EB37" s="479"/>
      <c r="EC37" s="479"/>
      <c r="ED37" s="479"/>
      <c r="EE37" s="479"/>
      <c r="EF37" s="479"/>
      <c r="EG37" s="479"/>
      <c r="EH37" s="479"/>
      <c r="EI37" s="479"/>
      <c r="EJ37" s="479"/>
      <c r="EK37" s="479"/>
      <c r="EL37" s="479"/>
      <c r="EM37" s="479"/>
      <c r="EN37" s="479"/>
      <c r="EO37" s="479"/>
      <c r="EP37" s="479"/>
      <c r="EQ37" s="479"/>
      <c r="ER37" s="479"/>
      <c r="ES37" s="479"/>
      <c r="ET37" s="479"/>
      <c r="EU37" s="479"/>
      <c r="EV37" s="479"/>
      <c r="EW37" s="479"/>
      <c r="EX37" s="479"/>
      <c r="EY37" s="479"/>
      <c r="EZ37" s="479"/>
      <c r="FA37" s="479"/>
      <c r="FB37" s="479"/>
      <c r="FC37" s="479"/>
      <c r="FD37" s="479"/>
      <c r="FE37" s="479"/>
      <c r="FF37" s="479"/>
      <c r="FG37" s="479"/>
      <c r="FH37" s="479"/>
      <c r="FI37" s="479"/>
      <c r="FJ37" s="479"/>
      <c r="FK37" s="479"/>
      <c r="FL37" s="479"/>
      <c r="FM37" s="479"/>
      <c r="FN37" s="479"/>
      <c r="FO37" s="479"/>
      <c r="FP37" s="479"/>
      <c r="FQ37" s="479"/>
      <c r="FR37" s="479"/>
      <c r="FS37" s="479"/>
      <c r="FT37" s="479"/>
      <c r="FU37" s="479"/>
      <c r="FV37" s="479"/>
      <c r="FW37" s="479"/>
      <c r="FX37" s="479"/>
      <c r="FY37" s="479"/>
      <c r="FZ37" s="479"/>
      <c r="GA37" s="479"/>
      <c r="GB37" s="479"/>
      <c r="GC37" s="479"/>
      <c r="GD37" s="479"/>
      <c r="GE37" s="479"/>
      <c r="GF37" s="479"/>
      <c r="GG37" s="479"/>
      <c r="GH37" s="479"/>
      <c r="GI37" s="479"/>
      <c r="GJ37" s="479"/>
      <c r="GK37" s="479"/>
      <c r="GL37" s="479"/>
      <c r="GM37" s="479"/>
      <c r="GN37" s="479"/>
      <c r="GO37" s="479"/>
      <c r="GP37" s="479"/>
      <c r="GQ37" s="479"/>
      <c r="GR37" s="479"/>
      <c r="GS37" s="479"/>
      <c r="GT37" s="479"/>
      <c r="GU37" s="479"/>
      <c r="GV37" s="479"/>
      <c r="GW37" s="479"/>
      <c r="GX37" s="479"/>
      <c r="GY37" s="479"/>
      <c r="GZ37" s="479"/>
      <c r="HA37" s="479"/>
      <c r="HB37" s="479"/>
      <c r="HC37" s="479"/>
      <c r="HD37" s="479"/>
      <c r="HE37" s="479"/>
      <c r="HF37" s="479"/>
      <c r="HG37" s="479"/>
      <c r="HH37" s="479"/>
      <c r="HI37" s="479"/>
      <c r="HJ37" s="479"/>
      <c r="HK37" s="479"/>
      <c r="HL37" s="479"/>
      <c r="HM37" s="479"/>
      <c r="HN37" s="479"/>
      <c r="HO37" s="479"/>
    </row>
    <row r="38" spans="1:29" ht="27.75" customHeight="1" thickBot="1" thickTop="1">
      <c r="A38" s="1030" t="s">
        <v>785</v>
      </c>
      <c r="B38" s="1031"/>
      <c r="C38" s="1032"/>
      <c r="D38" s="980" t="s">
        <v>364</v>
      </c>
      <c r="E38" s="981"/>
      <c r="F38" s="982"/>
      <c r="G38" s="983" t="s">
        <v>501</v>
      </c>
      <c r="H38" s="981"/>
      <c r="I38" s="981"/>
      <c r="J38" s="981"/>
      <c r="K38" s="1006"/>
      <c r="L38" s="974" t="s">
        <v>502</v>
      </c>
      <c r="M38" s="981"/>
      <c r="N38" s="981"/>
      <c r="O38" s="981"/>
      <c r="P38" s="981"/>
      <c r="Q38" s="1006"/>
      <c r="R38" s="974" t="s">
        <v>503</v>
      </c>
      <c r="S38" s="981"/>
      <c r="T38" s="981"/>
      <c r="U38" s="981"/>
      <c r="V38" s="981"/>
      <c r="W38" s="982"/>
      <c r="X38" s="1024" t="s">
        <v>504</v>
      </c>
      <c r="Y38" s="993"/>
      <c r="Z38" s="993"/>
      <c r="AA38" s="994" t="s">
        <v>87</v>
      </c>
      <c r="AB38" s="995"/>
      <c r="AC38" s="996"/>
    </row>
    <row r="39" spans="1:223" s="381" customFormat="1" ht="18.75" customHeight="1" thickBot="1" thickTop="1">
      <c r="A39" s="1033"/>
      <c r="B39" s="1034"/>
      <c r="C39" s="1035"/>
      <c r="D39" s="460" t="s">
        <v>88</v>
      </c>
      <c r="E39" s="703" t="s">
        <v>85</v>
      </c>
      <c r="F39" s="301" t="s">
        <v>89</v>
      </c>
      <c r="G39" s="1036"/>
      <c r="H39" s="1008"/>
      <c r="I39" s="1008"/>
      <c r="J39" s="1037"/>
      <c r="K39" s="1009"/>
      <c r="L39" s="1007"/>
      <c r="M39" s="1008"/>
      <c r="N39" s="1008"/>
      <c r="O39" s="1008"/>
      <c r="P39" s="1008"/>
      <c r="Q39" s="1009"/>
      <c r="R39" s="1007"/>
      <c r="S39" s="1008"/>
      <c r="T39" s="1008"/>
      <c r="U39" s="1008"/>
      <c r="V39" s="1008"/>
      <c r="W39" s="1008"/>
      <c r="X39" s="690" t="s">
        <v>88</v>
      </c>
      <c r="Y39" s="691" t="s">
        <v>85</v>
      </c>
      <c r="Z39" s="301" t="s">
        <v>89</v>
      </c>
      <c r="AA39" s="683" t="s">
        <v>88</v>
      </c>
      <c r="AB39" s="460" t="s">
        <v>85</v>
      </c>
      <c r="AC39" s="301" t="s">
        <v>89</v>
      </c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  <c r="BF39" s="298"/>
      <c r="BG39" s="298"/>
      <c r="BH39" s="298"/>
      <c r="BI39" s="298"/>
      <c r="BJ39" s="298"/>
      <c r="BK39" s="298"/>
      <c r="BL39" s="298"/>
      <c r="BM39" s="298"/>
      <c r="BN39" s="298"/>
      <c r="BO39" s="298"/>
      <c r="BP39" s="298"/>
      <c r="BQ39" s="298"/>
      <c r="BR39" s="298"/>
      <c r="BS39" s="298"/>
      <c r="BT39" s="298"/>
      <c r="BU39" s="298"/>
      <c r="BV39" s="298"/>
      <c r="BW39" s="298"/>
      <c r="BX39" s="298"/>
      <c r="BY39" s="298"/>
      <c r="BZ39" s="298"/>
      <c r="CA39" s="298"/>
      <c r="CB39" s="298"/>
      <c r="CC39" s="298"/>
      <c r="CD39" s="298"/>
      <c r="CE39" s="298"/>
      <c r="CF39" s="298"/>
      <c r="CG39" s="298"/>
      <c r="CH39" s="298"/>
      <c r="CI39" s="298"/>
      <c r="CJ39" s="298"/>
      <c r="CK39" s="298"/>
      <c r="CL39" s="298"/>
      <c r="CM39" s="298"/>
      <c r="CN39" s="298"/>
      <c r="CO39" s="298"/>
      <c r="CP39" s="298"/>
      <c r="CQ39" s="298"/>
      <c r="CR39" s="298"/>
      <c r="CS39" s="298"/>
      <c r="CT39" s="298"/>
      <c r="CU39" s="298"/>
      <c r="CV39" s="298"/>
      <c r="CW39" s="298"/>
      <c r="CX39" s="298"/>
      <c r="CY39" s="298"/>
      <c r="CZ39" s="298"/>
      <c r="DA39" s="298"/>
      <c r="DB39" s="298"/>
      <c r="DC39" s="298"/>
      <c r="DD39" s="298"/>
      <c r="DE39" s="298"/>
      <c r="DF39" s="298"/>
      <c r="DG39" s="298"/>
      <c r="DH39" s="298"/>
      <c r="DI39" s="298"/>
      <c r="DJ39" s="298"/>
      <c r="DK39" s="298"/>
      <c r="DL39" s="298"/>
      <c r="DM39" s="298"/>
      <c r="DN39" s="298"/>
      <c r="DO39" s="298"/>
      <c r="DP39" s="298"/>
      <c r="DQ39" s="298"/>
      <c r="DR39" s="298"/>
      <c r="DS39" s="298"/>
      <c r="DT39" s="298"/>
      <c r="DU39" s="298"/>
      <c r="DV39" s="298"/>
      <c r="DW39" s="298"/>
      <c r="DX39" s="298"/>
      <c r="DY39" s="298"/>
      <c r="DZ39" s="298"/>
      <c r="EA39" s="298"/>
      <c r="EB39" s="298"/>
      <c r="EC39" s="298"/>
      <c r="ED39" s="298"/>
      <c r="EE39" s="298"/>
      <c r="EF39" s="298"/>
      <c r="EG39" s="298"/>
      <c r="EH39" s="298"/>
      <c r="EI39" s="298"/>
      <c r="EJ39" s="298"/>
      <c r="EK39" s="298"/>
      <c r="EL39" s="298"/>
      <c r="EM39" s="298"/>
      <c r="EN39" s="298"/>
      <c r="EO39" s="298"/>
      <c r="EP39" s="298"/>
      <c r="EQ39" s="298"/>
      <c r="ER39" s="298"/>
      <c r="ES39" s="298"/>
      <c r="ET39" s="298"/>
      <c r="EU39" s="298"/>
      <c r="EV39" s="298"/>
      <c r="EW39" s="298"/>
      <c r="EX39" s="298"/>
      <c r="EY39" s="298"/>
      <c r="EZ39" s="298"/>
      <c r="FA39" s="298"/>
      <c r="FB39" s="298"/>
      <c r="FC39" s="298"/>
      <c r="FD39" s="298"/>
      <c r="FE39" s="298"/>
      <c r="FF39" s="298"/>
      <c r="FG39" s="298"/>
      <c r="FH39" s="298"/>
      <c r="FI39" s="298"/>
      <c r="FJ39" s="298"/>
      <c r="FK39" s="298"/>
      <c r="FL39" s="298"/>
      <c r="FM39" s="298"/>
      <c r="FN39" s="298"/>
      <c r="FO39" s="298"/>
      <c r="FP39" s="298"/>
      <c r="FQ39" s="298"/>
      <c r="FR39" s="298"/>
      <c r="FS39" s="298"/>
      <c r="FT39" s="298"/>
      <c r="FU39" s="298"/>
      <c r="FV39" s="298"/>
      <c r="FW39" s="298"/>
      <c r="FX39" s="298"/>
      <c r="FY39" s="298"/>
      <c r="FZ39" s="298"/>
      <c r="GA39" s="298"/>
      <c r="GB39" s="298"/>
      <c r="GC39" s="298"/>
      <c r="GD39" s="298"/>
      <c r="GE39" s="298"/>
      <c r="GF39" s="298"/>
      <c r="GG39" s="298"/>
      <c r="GH39" s="298"/>
      <c r="GI39" s="298"/>
      <c r="GJ39" s="298"/>
      <c r="GK39" s="298"/>
      <c r="GL39" s="298"/>
      <c r="GM39" s="298"/>
      <c r="GN39" s="298"/>
      <c r="GO39" s="298"/>
      <c r="GP39" s="298"/>
      <c r="GQ39" s="298"/>
      <c r="GR39" s="298"/>
      <c r="GS39" s="298"/>
      <c r="GT39" s="298"/>
      <c r="GU39" s="298"/>
      <c r="GV39" s="298"/>
      <c r="GW39" s="298"/>
      <c r="GX39" s="298"/>
      <c r="GY39" s="298"/>
      <c r="GZ39" s="298"/>
      <c r="HA39" s="298"/>
      <c r="HB39" s="298"/>
      <c r="HC39" s="298"/>
      <c r="HD39" s="298"/>
      <c r="HE39" s="298"/>
      <c r="HF39" s="298"/>
      <c r="HG39" s="298"/>
      <c r="HH39" s="298"/>
      <c r="HI39" s="298"/>
      <c r="HJ39" s="298"/>
      <c r="HK39" s="298"/>
      <c r="HL39" s="298"/>
      <c r="HM39" s="298"/>
      <c r="HN39" s="298"/>
      <c r="HO39" s="298"/>
    </row>
    <row r="40" spans="1:29" ht="26.25" customHeight="1">
      <c r="A40" s="302"/>
      <c r="B40" s="344"/>
      <c r="C40" s="344"/>
      <c r="D40" s="372"/>
      <c r="E40" s="344"/>
      <c r="F40" s="306"/>
      <c r="G40" s="969" t="s">
        <v>525</v>
      </c>
      <c r="H40" s="946"/>
      <c r="I40" s="946"/>
      <c r="J40" s="468">
        <v>10821150</v>
      </c>
      <c r="K40" s="934">
        <f>SUM(J40:J41)</f>
        <v>11669970</v>
      </c>
      <c r="L40" s="953" t="s">
        <v>991</v>
      </c>
      <c r="M40" s="954"/>
      <c r="N40" s="954"/>
      <c r="O40" s="954"/>
      <c r="P40" s="947">
        <v>2576000</v>
      </c>
      <c r="Q40" s="934">
        <f>SUM(P40:P41)</f>
        <v>2576000</v>
      </c>
      <c r="R40" s="932" t="s">
        <v>778</v>
      </c>
      <c r="S40" s="933"/>
      <c r="T40" s="933"/>
      <c r="U40" s="933"/>
      <c r="V40" s="485">
        <v>114300</v>
      </c>
      <c r="W40" s="966">
        <f>SUM(V40:V41)</f>
        <v>6265700</v>
      </c>
      <c r="X40" s="687"/>
      <c r="Y40" s="383"/>
      <c r="Z40" s="384"/>
      <c r="AA40" s="302"/>
      <c r="AB40" s="319"/>
      <c r="AC40" s="320"/>
    </row>
    <row r="41" spans="1:29" ht="28.5" customHeight="1" thickBot="1">
      <c r="A41" s="385"/>
      <c r="B41" s="1011" t="s">
        <v>480</v>
      </c>
      <c r="C41" s="1012"/>
      <c r="D41" s="377">
        <f>SUM('6. kiadások megbontása'!D71)</f>
        <v>32193380</v>
      </c>
      <c r="E41" s="325">
        <f>SUM('6. kiadások megbontása'!E71)</f>
        <v>1505000</v>
      </c>
      <c r="F41" s="326">
        <f>SUM(D41:E41)</f>
        <v>33698380</v>
      </c>
      <c r="G41" s="969" t="s">
        <v>995</v>
      </c>
      <c r="H41" s="946"/>
      <c r="I41" s="946"/>
      <c r="J41" s="469">
        <v>848820</v>
      </c>
      <c r="K41" s="930"/>
      <c r="L41" s="945"/>
      <c r="M41" s="946"/>
      <c r="N41" s="946"/>
      <c r="O41" s="946"/>
      <c r="P41" s="948"/>
      <c r="Q41" s="930"/>
      <c r="R41" s="932" t="s">
        <v>779</v>
      </c>
      <c r="S41" s="933"/>
      <c r="T41" s="933"/>
      <c r="U41" s="933"/>
      <c r="V41" s="485">
        <f>5470400+536221+144779</f>
        <v>6151400</v>
      </c>
      <c r="W41" s="967"/>
      <c r="X41" s="686">
        <f>SUM(W40,Q40,K40)</f>
        <v>20511670</v>
      </c>
      <c r="Y41" s="328">
        <v>0</v>
      </c>
      <c r="Z41" s="339">
        <f>SUM(Y41,X41)</f>
        <v>20511670</v>
      </c>
      <c r="AA41" s="337">
        <f>X41-D41</f>
        <v>-11681710</v>
      </c>
      <c r="AB41" s="338">
        <f>Y41-E41</f>
        <v>-1505000</v>
      </c>
      <c r="AC41" s="331">
        <f>SUM(AA41:AB41)</f>
        <v>-13186710</v>
      </c>
    </row>
    <row r="42" spans="1:29" ht="15.75">
      <c r="A42" s="412"/>
      <c r="B42" s="413"/>
      <c r="C42" s="471"/>
      <c r="D42" s="414"/>
      <c r="E42" s="415"/>
      <c r="F42" s="416"/>
      <c r="G42" s="1078"/>
      <c r="H42" s="971"/>
      <c r="I42" s="971"/>
      <c r="J42" s="417"/>
      <c r="K42" s="934">
        <f>SUM(J42:J44)</f>
        <v>0</v>
      </c>
      <c r="L42" s="953" t="s">
        <v>849</v>
      </c>
      <c r="M42" s="954"/>
      <c r="N42" s="954"/>
      <c r="O42" s="954"/>
      <c r="P42" s="417"/>
      <c r="Q42" s="713"/>
      <c r="R42" s="953" t="s">
        <v>919</v>
      </c>
      <c r="S42" s="954"/>
      <c r="T42" s="954"/>
      <c r="U42" s="954"/>
      <c r="V42" s="418"/>
      <c r="W42" s="934">
        <f>SUM(V42:V44)</f>
        <v>5642681</v>
      </c>
      <c r="X42" s="419"/>
      <c r="Y42" s="420"/>
      <c r="Z42" s="421"/>
      <c r="AA42" s="422"/>
      <c r="AB42" s="423"/>
      <c r="AC42" s="424"/>
    </row>
    <row r="43" spans="1:29" ht="27" customHeight="1" thickBot="1">
      <c r="A43" s="1010" t="s">
        <v>481</v>
      </c>
      <c r="B43" s="1011"/>
      <c r="C43" s="1012"/>
      <c r="D43" s="377">
        <f>SUM('6. kiadások megbontása'!G71)</f>
        <v>11862203</v>
      </c>
      <c r="E43" s="325">
        <f>SUM('6. kiadások megbontása'!H71)</f>
        <v>0</v>
      </c>
      <c r="F43" s="326">
        <f>SUM(D43:E43)</f>
        <v>11862203</v>
      </c>
      <c r="G43" s="347"/>
      <c r="H43" s="348"/>
      <c r="I43" s="348"/>
      <c r="J43" s="425"/>
      <c r="K43" s="930"/>
      <c r="L43" s="937"/>
      <c r="M43" s="938"/>
      <c r="N43" s="938"/>
      <c r="O43" s="938"/>
      <c r="P43" s="307"/>
      <c r="Q43" s="712">
        <f>SUM(P43)</f>
        <v>0</v>
      </c>
      <c r="R43" s="945"/>
      <c r="S43" s="946"/>
      <c r="T43" s="946"/>
      <c r="U43" s="946"/>
      <c r="V43" s="307">
        <v>5642681</v>
      </c>
      <c r="W43" s="967"/>
      <c r="X43" s="686">
        <f>SUM(K43+Q43+W42)</f>
        <v>5642681</v>
      </c>
      <c r="Y43" s="328">
        <f>Q44</f>
        <v>0</v>
      </c>
      <c r="Z43" s="339">
        <f>SUM(X43:Y43)</f>
        <v>5642681</v>
      </c>
      <c r="AA43" s="409">
        <f>X43-D43</f>
        <v>-6219522</v>
      </c>
      <c r="AB43" s="338">
        <f>Y43-E43</f>
        <v>0</v>
      </c>
      <c r="AC43" s="340">
        <f>SUM(AA43:AB43)</f>
        <v>-6219522</v>
      </c>
    </row>
    <row r="44" spans="1:29" ht="27" customHeight="1" thickBot="1">
      <c r="A44" s="321"/>
      <c r="B44" s="410"/>
      <c r="C44" s="410"/>
      <c r="D44" s="388"/>
      <c r="E44" s="389"/>
      <c r="F44" s="426"/>
      <c r="G44" s="427"/>
      <c r="H44" s="428"/>
      <c r="I44" s="428"/>
      <c r="J44" s="429"/>
      <c r="K44" s="931"/>
      <c r="L44" s="953" t="s">
        <v>850</v>
      </c>
      <c r="M44" s="954"/>
      <c r="N44" s="954"/>
      <c r="O44" s="954"/>
      <c r="P44" s="666"/>
      <c r="Q44" s="712">
        <f>SUM(P44)</f>
        <v>0</v>
      </c>
      <c r="R44" s="744"/>
      <c r="S44" s="745"/>
      <c r="T44" s="745"/>
      <c r="U44" s="745"/>
      <c r="V44" s="746"/>
      <c r="W44" s="931"/>
      <c r="X44" s="430"/>
      <c r="Y44" s="431"/>
      <c r="Z44" s="390"/>
      <c r="AA44" s="432"/>
      <c r="AB44" s="433"/>
      <c r="AC44" s="434"/>
    </row>
    <row r="45" spans="1:223" s="464" customFormat="1" ht="33.75" customHeight="1" thickBot="1">
      <c r="A45" s="1015" t="s">
        <v>937</v>
      </c>
      <c r="B45" s="1016"/>
      <c r="C45" s="1017"/>
      <c r="D45" s="671">
        <f>SUM(D40:D44)</f>
        <v>44055583</v>
      </c>
      <c r="E45" s="672">
        <f>SUM(E40:E44)</f>
        <v>1505000</v>
      </c>
      <c r="F45" s="673">
        <f>SUM(F40:F44)</f>
        <v>45560583</v>
      </c>
      <c r="G45" s="674"/>
      <c r="H45" s="1018" t="s">
        <v>93</v>
      </c>
      <c r="I45" s="1019"/>
      <c r="J45" s="1020"/>
      <c r="K45" s="675">
        <f>SUM(K42+K40)</f>
        <v>11669970</v>
      </c>
      <c r="L45" s="472"/>
      <c r="M45" s="959" t="s">
        <v>94</v>
      </c>
      <c r="N45" s="959"/>
      <c r="O45" s="959"/>
      <c r="P45" s="960"/>
      <c r="Q45" s="675">
        <f>SUM(Q40:Q44)</f>
        <v>2576000</v>
      </c>
      <c r="R45" s="474"/>
      <c r="S45" s="959" t="s">
        <v>95</v>
      </c>
      <c r="T45" s="959"/>
      <c r="U45" s="959"/>
      <c r="V45" s="960"/>
      <c r="W45" s="676">
        <f>SUM(W40:W44)</f>
        <v>11908381</v>
      </c>
      <c r="X45" s="677">
        <f>SUM(X40:X44)</f>
        <v>26154351</v>
      </c>
      <c r="Y45" s="678">
        <f>SUM(Y40:Y44)</f>
        <v>0</v>
      </c>
      <c r="Z45" s="679">
        <f>SUM(X45:Y45)</f>
        <v>26154351</v>
      </c>
      <c r="AA45" s="680">
        <f>X45-D45</f>
        <v>-17901232</v>
      </c>
      <c r="AB45" s="681">
        <f>Y45-E45</f>
        <v>-1505000</v>
      </c>
      <c r="AC45" s="470">
        <f>SUM(AA45:AB45)</f>
        <v>-19406232</v>
      </c>
      <c r="AD45" s="479"/>
      <c r="AE45" s="479"/>
      <c r="AF45" s="479"/>
      <c r="AG45" s="479"/>
      <c r="AH45" s="479"/>
      <c r="AI45" s="479"/>
      <c r="AJ45" s="479"/>
      <c r="AK45" s="479"/>
      <c r="AL45" s="479"/>
      <c r="AM45" s="479"/>
      <c r="AN45" s="479"/>
      <c r="AO45" s="479"/>
      <c r="AP45" s="479"/>
      <c r="AQ45" s="479"/>
      <c r="AR45" s="479"/>
      <c r="AS45" s="479"/>
      <c r="AT45" s="479"/>
      <c r="AU45" s="479"/>
      <c r="AV45" s="479"/>
      <c r="AW45" s="479"/>
      <c r="AX45" s="479"/>
      <c r="AY45" s="479"/>
      <c r="AZ45" s="479"/>
      <c r="BA45" s="479"/>
      <c r="BB45" s="479"/>
      <c r="BC45" s="479"/>
      <c r="BD45" s="479"/>
      <c r="BE45" s="479"/>
      <c r="BF45" s="479"/>
      <c r="BG45" s="479"/>
      <c r="BH45" s="479"/>
      <c r="BI45" s="479"/>
      <c r="BJ45" s="479"/>
      <c r="BK45" s="479"/>
      <c r="BL45" s="479"/>
      <c r="BM45" s="479"/>
      <c r="BN45" s="479"/>
      <c r="BO45" s="479"/>
      <c r="BP45" s="479"/>
      <c r="BQ45" s="479"/>
      <c r="BR45" s="479"/>
      <c r="BS45" s="479"/>
      <c r="BT45" s="479"/>
      <c r="BU45" s="479"/>
      <c r="BV45" s="479"/>
      <c r="BW45" s="479"/>
      <c r="BX45" s="479"/>
      <c r="BY45" s="479"/>
      <c r="BZ45" s="479"/>
      <c r="CA45" s="479"/>
      <c r="CB45" s="479"/>
      <c r="CC45" s="479"/>
      <c r="CD45" s="479"/>
      <c r="CE45" s="479"/>
      <c r="CF45" s="479"/>
      <c r="CG45" s="479"/>
      <c r="CH45" s="479"/>
      <c r="CI45" s="479"/>
      <c r="CJ45" s="479"/>
      <c r="CK45" s="479"/>
      <c r="CL45" s="479"/>
      <c r="CM45" s="479"/>
      <c r="CN45" s="479"/>
      <c r="CO45" s="479"/>
      <c r="CP45" s="479"/>
      <c r="CQ45" s="479"/>
      <c r="CR45" s="479"/>
      <c r="CS45" s="479"/>
      <c r="CT45" s="479"/>
      <c r="CU45" s="479"/>
      <c r="CV45" s="479"/>
      <c r="CW45" s="479"/>
      <c r="CX45" s="479"/>
      <c r="CY45" s="479"/>
      <c r="CZ45" s="479"/>
      <c r="DA45" s="479"/>
      <c r="DB45" s="479"/>
      <c r="DC45" s="479"/>
      <c r="DD45" s="479"/>
      <c r="DE45" s="479"/>
      <c r="DF45" s="479"/>
      <c r="DG45" s="479"/>
      <c r="DH45" s="479"/>
      <c r="DI45" s="479"/>
      <c r="DJ45" s="479"/>
      <c r="DK45" s="479"/>
      <c r="DL45" s="479"/>
      <c r="DM45" s="479"/>
      <c r="DN45" s="479"/>
      <c r="DO45" s="479"/>
      <c r="DP45" s="479"/>
      <c r="DQ45" s="479"/>
      <c r="DR45" s="479"/>
      <c r="DS45" s="479"/>
      <c r="DT45" s="479"/>
      <c r="DU45" s="479"/>
      <c r="DV45" s="479"/>
      <c r="DW45" s="479"/>
      <c r="DX45" s="479"/>
      <c r="DY45" s="479"/>
      <c r="DZ45" s="479"/>
      <c r="EA45" s="479"/>
      <c r="EB45" s="479"/>
      <c r="EC45" s="479"/>
      <c r="ED45" s="479"/>
      <c r="EE45" s="479"/>
      <c r="EF45" s="479"/>
      <c r="EG45" s="479"/>
      <c r="EH45" s="479"/>
      <c r="EI45" s="479"/>
      <c r="EJ45" s="479"/>
      <c r="EK45" s="479"/>
      <c r="EL45" s="479"/>
      <c r="EM45" s="479"/>
      <c r="EN45" s="479"/>
      <c r="EO45" s="479"/>
      <c r="EP45" s="479"/>
      <c r="EQ45" s="479"/>
      <c r="ER45" s="479"/>
      <c r="ES45" s="479"/>
      <c r="ET45" s="479"/>
      <c r="EU45" s="479"/>
      <c r="EV45" s="479"/>
      <c r="EW45" s="479"/>
      <c r="EX45" s="479"/>
      <c r="EY45" s="479"/>
      <c r="EZ45" s="479"/>
      <c r="FA45" s="479"/>
      <c r="FB45" s="479"/>
      <c r="FC45" s="479"/>
      <c r="FD45" s="479"/>
      <c r="FE45" s="479"/>
      <c r="FF45" s="479"/>
      <c r="FG45" s="479"/>
      <c r="FH45" s="479"/>
      <c r="FI45" s="479"/>
      <c r="FJ45" s="479"/>
      <c r="FK45" s="479"/>
      <c r="FL45" s="479"/>
      <c r="FM45" s="479"/>
      <c r="FN45" s="479"/>
      <c r="FO45" s="479"/>
      <c r="FP45" s="479"/>
      <c r="FQ45" s="479"/>
      <c r="FR45" s="479"/>
      <c r="FS45" s="479"/>
      <c r="FT45" s="479"/>
      <c r="FU45" s="479"/>
      <c r="FV45" s="479"/>
      <c r="FW45" s="479"/>
      <c r="FX45" s="479"/>
      <c r="FY45" s="479"/>
      <c r="FZ45" s="479"/>
      <c r="GA45" s="479"/>
      <c r="GB45" s="479"/>
      <c r="GC45" s="479"/>
      <c r="GD45" s="479"/>
      <c r="GE45" s="479"/>
      <c r="GF45" s="479"/>
      <c r="GG45" s="479"/>
      <c r="GH45" s="479"/>
      <c r="GI45" s="479"/>
      <c r="GJ45" s="479"/>
      <c r="GK45" s="479"/>
      <c r="GL45" s="479"/>
      <c r="GM45" s="479"/>
      <c r="GN45" s="479"/>
      <c r="GO45" s="479"/>
      <c r="GP45" s="479"/>
      <c r="GQ45" s="479"/>
      <c r="GR45" s="479"/>
      <c r="GS45" s="479"/>
      <c r="GT45" s="479"/>
      <c r="GU45" s="479"/>
      <c r="GV45" s="479"/>
      <c r="GW45" s="479"/>
      <c r="GX45" s="479"/>
      <c r="GY45" s="479"/>
      <c r="GZ45" s="479"/>
      <c r="HA45" s="479"/>
      <c r="HB45" s="479"/>
      <c r="HC45" s="479"/>
      <c r="HD45" s="479"/>
      <c r="HE45" s="479"/>
      <c r="HF45" s="479"/>
      <c r="HG45" s="479"/>
      <c r="HH45" s="479"/>
      <c r="HI45" s="479"/>
      <c r="HJ45" s="479"/>
      <c r="HK45" s="479"/>
      <c r="HL45" s="479"/>
      <c r="HM45" s="479"/>
      <c r="HN45" s="479"/>
      <c r="HO45" s="479"/>
    </row>
    <row r="46" spans="1:29" ht="17.25" thickBot="1" thickTop="1">
      <c r="A46" s="391"/>
      <c r="B46" s="392"/>
      <c r="C46" s="392"/>
      <c r="D46" s="393"/>
      <c r="E46" s="394"/>
      <c r="F46" s="395"/>
      <c r="G46" s="394"/>
      <c r="H46" s="394"/>
      <c r="I46" s="396"/>
      <c r="J46" s="396"/>
      <c r="K46" s="397"/>
      <c r="L46" s="398"/>
      <c r="M46" s="394"/>
      <c r="N46" s="394"/>
      <c r="O46" s="394"/>
      <c r="P46" s="394"/>
      <c r="Q46" s="397"/>
      <c r="R46" s="394"/>
      <c r="S46" s="394"/>
      <c r="T46" s="394"/>
      <c r="U46" s="394"/>
      <c r="V46" s="394"/>
      <c r="W46" s="399"/>
      <c r="X46" s="400"/>
      <c r="Y46" s="401"/>
      <c r="Z46" s="402"/>
      <c r="AA46" s="391"/>
      <c r="AB46" s="403"/>
      <c r="AC46" s="404"/>
    </row>
    <row r="47" spans="1:29" ht="14.25" thickBot="1" thickTop="1">
      <c r="A47" s="961" t="s">
        <v>744</v>
      </c>
      <c r="B47" s="962"/>
      <c r="C47" s="962"/>
      <c r="D47" s="980" t="s">
        <v>364</v>
      </c>
      <c r="E47" s="981"/>
      <c r="F47" s="982"/>
      <c r="G47" s="983" t="s">
        <v>501</v>
      </c>
      <c r="H47" s="1043"/>
      <c r="I47" s="1043"/>
      <c r="J47" s="1043"/>
      <c r="K47" s="1044"/>
      <c r="L47" s="974" t="s">
        <v>502</v>
      </c>
      <c r="M47" s="975"/>
      <c r="N47" s="975"/>
      <c r="O47" s="975"/>
      <c r="P47" s="975"/>
      <c r="Q47" s="976"/>
      <c r="R47" s="974" t="s">
        <v>503</v>
      </c>
      <c r="S47" s="975"/>
      <c r="T47" s="975"/>
      <c r="U47" s="975"/>
      <c r="V47" s="975"/>
      <c r="W47" s="1067"/>
      <c r="X47" s="1024" t="s">
        <v>504</v>
      </c>
      <c r="Y47" s="993"/>
      <c r="Z47" s="993"/>
      <c r="AA47" s="994" t="s">
        <v>87</v>
      </c>
      <c r="AB47" s="995"/>
      <c r="AC47" s="996"/>
    </row>
    <row r="48" spans="1:223" s="663" customFormat="1" ht="32.25" customHeight="1" thickBot="1">
      <c r="A48" s="963"/>
      <c r="B48" s="964"/>
      <c r="C48" s="964"/>
      <c r="D48" s="460" t="s">
        <v>88</v>
      </c>
      <c r="E48" s="703" t="s">
        <v>85</v>
      </c>
      <c r="F48" s="301" t="s">
        <v>89</v>
      </c>
      <c r="G48" s="1045"/>
      <c r="H48" s="1046"/>
      <c r="I48" s="1046"/>
      <c r="J48" s="1046"/>
      <c r="K48" s="1047"/>
      <c r="L48" s="977"/>
      <c r="M48" s="978"/>
      <c r="N48" s="978"/>
      <c r="O48" s="978"/>
      <c r="P48" s="978"/>
      <c r="Q48" s="979"/>
      <c r="R48" s="977"/>
      <c r="S48" s="978"/>
      <c r="T48" s="978"/>
      <c r="U48" s="978"/>
      <c r="V48" s="978"/>
      <c r="W48" s="1068"/>
      <c r="X48" s="688" t="s">
        <v>88</v>
      </c>
      <c r="Y48" s="460" t="s">
        <v>85</v>
      </c>
      <c r="Z48" s="689" t="s">
        <v>89</v>
      </c>
      <c r="AA48" s="459" t="s">
        <v>88</v>
      </c>
      <c r="AB48" s="460" t="s">
        <v>85</v>
      </c>
      <c r="AC48" s="301" t="s">
        <v>89</v>
      </c>
      <c r="AD48" s="682"/>
      <c r="AE48" s="682"/>
      <c r="AF48" s="682"/>
      <c r="AG48" s="682"/>
      <c r="AH48" s="682"/>
      <c r="AI48" s="682"/>
      <c r="AJ48" s="682"/>
      <c r="AK48" s="682"/>
      <c r="AL48" s="682"/>
      <c r="AM48" s="682"/>
      <c r="AN48" s="682"/>
      <c r="AO48" s="682"/>
      <c r="AP48" s="682"/>
      <c r="AQ48" s="682"/>
      <c r="AR48" s="682"/>
      <c r="AS48" s="682"/>
      <c r="AT48" s="682"/>
      <c r="AU48" s="682"/>
      <c r="AV48" s="682"/>
      <c r="AW48" s="682"/>
      <c r="AX48" s="682"/>
      <c r="AY48" s="682"/>
      <c r="AZ48" s="682"/>
      <c r="BA48" s="682"/>
      <c r="BB48" s="682"/>
      <c r="BC48" s="682"/>
      <c r="BD48" s="682"/>
      <c r="BE48" s="682"/>
      <c r="BF48" s="682"/>
      <c r="BG48" s="682"/>
      <c r="BH48" s="682"/>
      <c r="BI48" s="682"/>
      <c r="BJ48" s="682"/>
      <c r="BK48" s="682"/>
      <c r="BL48" s="682"/>
      <c r="BM48" s="682"/>
      <c r="BN48" s="682"/>
      <c r="BO48" s="682"/>
      <c r="BP48" s="682"/>
      <c r="BQ48" s="682"/>
      <c r="BR48" s="682"/>
      <c r="BS48" s="682"/>
      <c r="BT48" s="682"/>
      <c r="BU48" s="682"/>
      <c r="BV48" s="682"/>
      <c r="BW48" s="682"/>
      <c r="BX48" s="682"/>
      <c r="BY48" s="682"/>
      <c r="BZ48" s="682"/>
      <c r="CA48" s="682"/>
      <c r="CB48" s="682"/>
      <c r="CC48" s="682"/>
      <c r="CD48" s="682"/>
      <c r="CE48" s="682"/>
      <c r="CF48" s="682"/>
      <c r="CG48" s="682"/>
      <c r="CH48" s="682"/>
      <c r="CI48" s="682"/>
      <c r="CJ48" s="682"/>
      <c r="CK48" s="682"/>
      <c r="CL48" s="682"/>
      <c r="CM48" s="682"/>
      <c r="CN48" s="682"/>
      <c r="CO48" s="682"/>
      <c r="CP48" s="682"/>
      <c r="CQ48" s="682"/>
      <c r="CR48" s="682"/>
      <c r="CS48" s="682"/>
      <c r="CT48" s="682"/>
      <c r="CU48" s="682"/>
      <c r="CV48" s="682"/>
      <c r="CW48" s="682"/>
      <c r="CX48" s="682"/>
      <c r="CY48" s="682"/>
      <c r="CZ48" s="682"/>
      <c r="DA48" s="682"/>
      <c r="DB48" s="682"/>
      <c r="DC48" s="682"/>
      <c r="DD48" s="682"/>
      <c r="DE48" s="682"/>
      <c r="DF48" s="682"/>
      <c r="DG48" s="682"/>
      <c r="DH48" s="682"/>
      <c r="DI48" s="682"/>
      <c r="DJ48" s="682"/>
      <c r="DK48" s="682"/>
      <c r="DL48" s="682"/>
      <c r="DM48" s="682"/>
      <c r="DN48" s="682"/>
      <c r="DO48" s="682"/>
      <c r="DP48" s="682"/>
      <c r="DQ48" s="682"/>
      <c r="DR48" s="682"/>
      <c r="DS48" s="682"/>
      <c r="DT48" s="682"/>
      <c r="DU48" s="682"/>
      <c r="DV48" s="682"/>
      <c r="DW48" s="682"/>
      <c r="DX48" s="682"/>
      <c r="DY48" s="682"/>
      <c r="DZ48" s="682"/>
      <c r="EA48" s="682"/>
      <c r="EB48" s="682"/>
      <c r="EC48" s="682"/>
      <c r="ED48" s="682"/>
      <c r="EE48" s="682"/>
      <c r="EF48" s="682"/>
      <c r="EG48" s="682"/>
      <c r="EH48" s="682"/>
      <c r="EI48" s="682"/>
      <c r="EJ48" s="682"/>
      <c r="EK48" s="682"/>
      <c r="EL48" s="682"/>
      <c r="EM48" s="682"/>
      <c r="EN48" s="682"/>
      <c r="EO48" s="682"/>
      <c r="EP48" s="682"/>
      <c r="EQ48" s="682"/>
      <c r="ER48" s="682"/>
      <c r="ES48" s="682"/>
      <c r="ET48" s="682"/>
      <c r="EU48" s="682"/>
      <c r="EV48" s="682"/>
      <c r="EW48" s="682"/>
      <c r="EX48" s="682"/>
      <c r="EY48" s="682"/>
      <c r="EZ48" s="682"/>
      <c r="FA48" s="682"/>
      <c r="FB48" s="682"/>
      <c r="FC48" s="682"/>
      <c r="FD48" s="682"/>
      <c r="FE48" s="682"/>
      <c r="FF48" s="682"/>
      <c r="FG48" s="682"/>
      <c r="FH48" s="682"/>
      <c r="FI48" s="682"/>
      <c r="FJ48" s="682"/>
      <c r="FK48" s="682"/>
      <c r="FL48" s="682"/>
      <c r="FM48" s="682"/>
      <c r="FN48" s="682"/>
      <c r="FO48" s="682"/>
      <c r="FP48" s="682"/>
      <c r="FQ48" s="682"/>
      <c r="FR48" s="682"/>
      <c r="FS48" s="682"/>
      <c r="FT48" s="682"/>
      <c r="FU48" s="682"/>
      <c r="FV48" s="682"/>
      <c r="FW48" s="682"/>
      <c r="FX48" s="682"/>
      <c r="FY48" s="682"/>
      <c r="FZ48" s="682"/>
      <c r="GA48" s="682"/>
      <c r="GB48" s="682"/>
      <c r="GC48" s="682"/>
      <c r="GD48" s="682"/>
      <c r="GE48" s="682"/>
      <c r="GF48" s="682"/>
      <c r="GG48" s="682"/>
      <c r="GH48" s="682"/>
      <c r="GI48" s="682"/>
      <c r="GJ48" s="682"/>
      <c r="GK48" s="682"/>
      <c r="GL48" s="682"/>
      <c r="GM48" s="682"/>
      <c r="GN48" s="682"/>
      <c r="GO48" s="682"/>
      <c r="GP48" s="682"/>
      <c r="GQ48" s="682"/>
      <c r="GR48" s="682"/>
      <c r="GS48" s="682"/>
      <c r="GT48" s="682"/>
      <c r="GU48" s="682"/>
      <c r="GV48" s="682"/>
      <c r="GW48" s="682"/>
      <c r="GX48" s="682"/>
      <c r="GY48" s="682"/>
      <c r="GZ48" s="682"/>
      <c r="HA48" s="682"/>
      <c r="HB48" s="682"/>
      <c r="HC48" s="682"/>
      <c r="HD48" s="682"/>
      <c r="HE48" s="682"/>
      <c r="HF48" s="682"/>
      <c r="HG48" s="682"/>
      <c r="HH48" s="682"/>
      <c r="HI48" s="682"/>
      <c r="HJ48" s="682"/>
      <c r="HK48" s="682"/>
      <c r="HL48" s="682"/>
      <c r="HM48" s="682"/>
      <c r="HN48" s="682"/>
      <c r="HO48" s="682"/>
    </row>
    <row r="49" spans="1:29" ht="25.5" customHeight="1">
      <c r="A49" s="385"/>
      <c r="B49" s="344"/>
      <c r="C49" s="344"/>
      <c r="D49" s="372"/>
      <c r="E49" s="344"/>
      <c r="F49" s="345"/>
      <c r="G49" s="1042" t="s">
        <v>468</v>
      </c>
      <c r="H49" s="933"/>
      <c r="I49" s="933"/>
      <c r="J49" s="482">
        <v>17434600</v>
      </c>
      <c r="K49" s="934">
        <f>SUM(J49:J57)</f>
        <v>195245548</v>
      </c>
      <c r="L49" s="968"/>
      <c r="M49" s="954"/>
      <c r="N49" s="954"/>
      <c r="O49" s="954"/>
      <c r="P49" s="482"/>
      <c r="Q49" s="1071">
        <f>SUM(P49:P57)</f>
        <v>0</v>
      </c>
      <c r="R49" s="935" t="s">
        <v>509</v>
      </c>
      <c r="S49" s="936"/>
      <c r="T49" s="936"/>
      <c r="U49" s="936"/>
      <c r="V49" s="485">
        <v>1411725</v>
      </c>
      <c r="W49" s="941">
        <f>SUM(V49:V57)</f>
        <v>1411725</v>
      </c>
      <c r="X49" s="344"/>
      <c r="Y49" s="372"/>
      <c r="Z49" s="406"/>
      <c r="AA49" s="385"/>
      <c r="AB49" s="372"/>
      <c r="AC49" s="320"/>
    </row>
    <row r="50" spans="1:29" ht="25.5" customHeight="1">
      <c r="A50" s="385"/>
      <c r="B50" s="344"/>
      <c r="C50" s="371"/>
      <c r="D50" s="372"/>
      <c r="E50" s="344"/>
      <c r="F50" s="345"/>
      <c r="G50" s="1029" t="s">
        <v>606</v>
      </c>
      <c r="H50" s="936"/>
      <c r="I50" s="936"/>
      <c r="J50" s="482">
        <v>94595400</v>
      </c>
      <c r="K50" s="930"/>
      <c r="L50" s="1069"/>
      <c r="M50" s="1070"/>
      <c r="N50" s="1070"/>
      <c r="O50" s="1070"/>
      <c r="P50" s="346"/>
      <c r="Q50" s="1072"/>
      <c r="R50" s="935"/>
      <c r="S50" s="936"/>
      <c r="T50" s="936"/>
      <c r="U50" s="936"/>
      <c r="V50" s="748"/>
      <c r="W50" s="942"/>
      <c r="X50" s="307"/>
      <c r="Y50" s="330"/>
      <c r="Z50" s="318"/>
      <c r="AA50" s="329"/>
      <c r="AB50" s="330"/>
      <c r="AC50" s="331"/>
    </row>
    <row r="51" spans="1:29" ht="30" customHeight="1">
      <c r="A51" s="385"/>
      <c r="B51" s="344"/>
      <c r="C51" s="371"/>
      <c r="D51" s="372"/>
      <c r="E51" s="344"/>
      <c r="F51" s="345"/>
      <c r="G51" s="1029" t="s">
        <v>524</v>
      </c>
      <c r="H51" s="936"/>
      <c r="I51" s="936"/>
      <c r="J51" s="485">
        <v>6068200</v>
      </c>
      <c r="K51" s="930"/>
      <c r="L51" s="466"/>
      <c r="M51" s="467"/>
      <c r="N51" s="467"/>
      <c r="O51" s="467"/>
      <c r="P51" s="346"/>
      <c r="Q51" s="1072"/>
      <c r="R51" s="935"/>
      <c r="S51" s="936"/>
      <c r="T51" s="936"/>
      <c r="U51" s="936"/>
      <c r="V51" s="748"/>
      <c r="W51" s="942"/>
      <c r="X51" s="307"/>
      <c r="Y51" s="330"/>
      <c r="Z51" s="318"/>
      <c r="AA51" s="329"/>
      <c r="AB51" s="330"/>
      <c r="AC51" s="331"/>
    </row>
    <row r="52" spans="1:29" ht="26.25" customHeight="1">
      <c r="A52" s="1010" t="s">
        <v>480</v>
      </c>
      <c r="B52" s="1053"/>
      <c r="C52" s="1054"/>
      <c r="D52" s="377">
        <f>SUM('6. kiadások megbontása'!D65)</f>
        <v>241334476</v>
      </c>
      <c r="E52" s="325">
        <f>SUM('6. kiadások megbontása'!E65)</f>
        <v>1618615</v>
      </c>
      <c r="F52" s="326">
        <f>SUM(D52:E52)</f>
        <v>242953091</v>
      </c>
      <c r="G52" s="1029" t="s">
        <v>730</v>
      </c>
      <c r="H52" s="936"/>
      <c r="I52" s="936"/>
      <c r="J52" s="742">
        <v>23648884</v>
      </c>
      <c r="K52" s="930"/>
      <c r="L52" s="370"/>
      <c r="M52" s="344"/>
      <c r="N52" s="344"/>
      <c r="O52" s="344"/>
      <c r="P52" s="344"/>
      <c r="Q52" s="1072"/>
      <c r="R52" s="945"/>
      <c r="S52" s="946"/>
      <c r="T52" s="946"/>
      <c r="U52" s="946"/>
      <c r="V52" s="307"/>
      <c r="W52" s="942"/>
      <c r="X52" s="408">
        <f>SUM(W49+Q49+K49)</f>
        <v>196657273</v>
      </c>
      <c r="Y52" s="338">
        <v>0</v>
      </c>
      <c r="Z52" s="339">
        <f>SUM(X52:Y52)</f>
        <v>196657273</v>
      </c>
      <c r="AA52" s="409">
        <f>X52-D52</f>
        <v>-44677203</v>
      </c>
      <c r="AB52" s="338">
        <f>Y52-E52</f>
        <v>-1618615</v>
      </c>
      <c r="AC52" s="340">
        <f>SUM(AA52:AB52)</f>
        <v>-46295818</v>
      </c>
    </row>
    <row r="53" spans="1:29" ht="29.25" customHeight="1">
      <c r="A53" s="321"/>
      <c r="B53" s="410"/>
      <c r="C53" s="609"/>
      <c r="D53" s="377"/>
      <c r="E53" s="325"/>
      <c r="F53" s="326"/>
      <c r="G53" s="1029" t="s">
        <v>732</v>
      </c>
      <c r="H53" s="936"/>
      <c r="I53" s="936"/>
      <c r="J53" s="485">
        <f>3740000+18150000+418000</f>
        <v>22308000</v>
      </c>
      <c r="K53" s="930"/>
      <c r="L53" s="370"/>
      <c r="M53" s="344"/>
      <c r="N53" s="344"/>
      <c r="O53" s="344"/>
      <c r="P53" s="411"/>
      <c r="Q53" s="1072"/>
      <c r="R53" s="945"/>
      <c r="S53" s="946"/>
      <c r="T53" s="946"/>
      <c r="U53" s="946"/>
      <c r="V53" s="407"/>
      <c r="W53" s="942"/>
      <c r="X53" s="387"/>
      <c r="Y53" s="328"/>
      <c r="Z53" s="339"/>
      <c r="AA53" s="337"/>
      <c r="AB53" s="338"/>
      <c r="AC53" s="331"/>
    </row>
    <row r="54" spans="1:29" ht="29.25" customHeight="1">
      <c r="A54" s="321"/>
      <c r="B54" s="410"/>
      <c r="C54" s="609"/>
      <c r="D54" s="377"/>
      <c r="E54" s="325"/>
      <c r="F54" s="326"/>
      <c r="G54" s="1029" t="s">
        <v>800</v>
      </c>
      <c r="H54" s="936"/>
      <c r="I54" s="936"/>
      <c r="J54" s="485">
        <v>7303142</v>
      </c>
      <c r="K54" s="930"/>
      <c r="L54" s="370"/>
      <c r="M54" s="344"/>
      <c r="N54" s="344"/>
      <c r="O54" s="344"/>
      <c r="P54" s="411"/>
      <c r="Q54" s="1072"/>
      <c r="R54" s="465"/>
      <c r="S54" s="606"/>
      <c r="T54" s="606"/>
      <c r="U54" s="606"/>
      <c r="V54" s="407"/>
      <c r="W54" s="942"/>
      <c r="X54" s="387"/>
      <c r="Y54" s="328"/>
      <c r="Z54" s="339"/>
      <c r="AA54" s="337"/>
      <c r="AB54" s="338"/>
      <c r="AC54" s="331"/>
    </row>
    <row r="55" spans="1:29" ht="29.25" customHeight="1">
      <c r="A55" s="321"/>
      <c r="B55" s="410"/>
      <c r="C55" s="609"/>
      <c r="D55" s="377"/>
      <c r="E55" s="325"/>
      <c r="F55" s="326"/>
      <c r="G55" s="1029" t="s">
        <v>773</v>
      </c>
      <c r="H55" s="936"/>
      <c r="I55" s="936"/>
      <c r="J55" s="482">
        <v>11944000</v>
      </c>
      <c r="K55" s="930"/>
      <c r="L55" s="370"/>
      <c r="M55" s="344"/>
      <c r="N55" s="344"/>
      <c r="O55" s="344"/>
      <c r="P55" s="411"/>
      <c r="Q55" s="1072"/>
      <c r="R55" s="465"/>
      <c r="S55" s="606"/>
      <c r="T55" s="606"/>
      <c r="U55" s="606"/>
      <c r="V55" s="407"/>
      <c r="W55" s="942"/>
      <c r="X55" s="387"/>
      <c r="Y55" s="328"/>
      <c r="Z55" s="339"/>
      <c r="AA55" s="337"/>
      <c r="AB55" s="338"/>
      <c r="AC55" s="331"/>
    </row>
    <row r="56" spans="1:29" ht="29.25" customHeight="1">
      <c r="A56" s="321"/>
      <c r="B56" s="410"/>
      <c r="C56" s="609"/>
      <c r="D56" s="377"/>
      <c r="E56" s="325"/>
      <c r="F56" s="326"/>
      <c r="G56" s="969" t="s">
        <v>995</v>
      </c>
      <c r="H56" s="946"/>
      <c r="I56" s="946"/>
      <c r="J56" s="482">
        <f>254623+9577+12631+10068391</f>
        <v>10345222</v>
      </c>
      <c r="K56" s="930"/>
      <c r="L56" s="370"/>
      <c r="M56" s="344"/>
      <c r="N56" s="344"/>
      <c r="O56" s="344"/>
      <c r="P56" s="411"/>
      <c r="Q56" s="1072"/>
      <c r="R56" s="465"/>
      <c r="S56" s="606"/>
      <c r="T56" s="606"/>
      <c r="U56" s="606"/>
      <c r="V56" s="407"/>
      <c r="W56" s="942"/>
      <c r="X56" s="387"/>
      <c r="Y56" s="328"/>
      <c r="Z56" s="339"/>
      <c r="AA56" s="337"/>
      <c r="AB56" s="338"/>
      <c r="AC56" s="331"/>
    </row>
    <row r="57" spans="1:29" ht="29.25" customHeight="1" thickBot="1">
      <c r="A57" s="321"/>
      <c r="B57" s="410"/>
      <c r="C57" s="609"/>
      <c r="D57" s="377"/>
      <c r="E57" s="325"/>
      <c r="F57" s="326"/>
      <c r="G57" s="1029" t="s">
        <v>846</v>
      </c>
      <c r="H57" s="936"/>
      <c r="I57" s="936"/>
      <c r="J57" s="748">
        <v>1598100</v>
      </c>
      <c r="K57" s="930"/>
      <c r="L57" s="370"/>
      <c r="M57" s="344"/>
      <c r="N57" s="344"/>
      <c r="O57" s="344"/>
      <c r="P57" s="411"/>
      <c r="Q57" s="1072"/>
      <c r="R57" s="465"/>
      <c r="S57" s="606"/>
      <c r="T57" s="606"/>
      <c r="U57" s="606"/>
      <c r="V57" s="407"/>
      <c r="W57" s="942"/>
      <c r="X57" s="387"/>
      <c r="Y57" s="328"/>
      <c r="Z57" s="339"/>
      <c r="AA57" s="337"/>
      <c r="AB57" s="338"/>
      <c r="AC57" s="331"/>
    </row>
    <row r="58" spans="1:29" ht="29.25" customHeight="1">
      <c r="A58" s="412"/>
      <c r="B58" s="413"/>
      <c r="C58" s="471"/>
      <c r="D58" s="414"/>
      <c r="E58" s="415"/>
      <c r="F58" s="416"/>
      <c r="G58" s="781"/>
      <c r="H58" s="780"/>
      <c r="I58" s="780"/>
      <c r="J58" s="747"/>
      <c r="K58" s="720"/>
      <c r="L58" s="968" t="s">
        <v>988</v>
      </c>
      <c r="M58" s="954"/>
      <c r="N58" s="954"/>
      <c r="O58" s="954"/>
      <c r="P58" s="417">
        <v>5354163</v>
      </c>
      <c r="Q58" s="1073">
        <f>SUM(P58:P59)</f>
        <v>12765278</v>
      </c>
      <c r="R58" s="777"/>
      <c r="S58" s="778"/>
      <c r="T58" s="778"/>
      <c r="U58" s="778"/>
      <c r="V58" s="785"/>
      <c r="W58" s="721"/>
      <c r="X58" s="786"/>
      <c r="Y58" s="420"/>
      <c r="Z58" s="421"/>
      <c r="AA58" s="422"/>
      <c r="AB58" s="423"/>
      <c r="AC58" s="424"/>
    </row>
    <row r="59" spans="1:29" ht="27.75" customHeight="1" thickBot="1">
      <c r="A59" s="1039" t="s">
        <v>481</v>
      </c>
      <c r="B59" s="1040"/>
      <c r="C59" s="1041"/>
      <c r="D59" s="782">
        <f>SUM('6. kiadások megbontása'!G65)</f>
        <v>24692202</v>
      </c>
      <c r="E59" s="782">
        <f>SUM('6. kiadások megbontása'!H65)</f>
        <v>63500</v>
      </c>
      <c r="F59" s="783">
        <f>SUM(D59:E59)</f>
        <v>24755702</v>
      </c>
      <c r="G59" s="1029"/>
      <c r="H59" s="936"/>
      <c r="I59" s="936"/>
      <c r="J59" s="482"/>
      <c r="K59" s="776">
        <f>SUM(J59:J59)</f>
        <v>0</v>
      </c>
      <c r="L59" s="1061" t="s">
        <v>789</v>
      </c>
      <c r="M59" s="952"/>
      <c r="N59" s="952"/>
      <c r="O59" s="952"/>
      <c r="P59" s="481">
        <v>7411115</v>
      </c>
      <c r="Q59" s="1074"/>
      <c r="R59" s="937" t="s">
        <v>920</v>
      </c>
      <c r="S59" s="938"/>
      <c r="T59" s="938"/>
      <c r="U59" s="938"/>
      <c r="V59" s="481">
        <v>7760424</v>
      </c>
      <c r="W59" s="779">
        <f>SUM(V59:V59)</f>
        <v>7760424</v>
      </c>
      <c r="X59" s="784">
        <f>SUM(K59+Q58+W59)</f>
        <v>20525702</v>
      </c>
      <c r="Y59" s="328">
        <v>0</v>
      </c>
      <c r="Z59" s="331">
        <f>SUM(X59:Y59)</f>
        <v>20525702</v>
      </c>
      <c r="AA59" s="686">
        <f>X59-D59</f>
        <v>-4166500</v>
      </c>
      <c r="AB59" s="328">
        <f>Y59-E59</f>
        <v>-63500</v>
      </c>
      <c r="AC59" s="369">
        <f>SUM(AA59:AB59)</f>
        <v>-4230000</v>
      </c>
    </row>
    <row r="60" spans="1:223" s="464" customFormat="1" ht="44.25" customHeight="1" thickBot="1" thickTop="1">
      <c r="A60" s="1055" t="s">
        <v>790</v>
      </c>
      <c r="B60" s="1056"/>
      <c r="C60" s="1057"/>
      <c r="D60" s="722">
        <f>SUM(D50:D59)</f>
        <v>266026678</v>
      </c>
      <c r="E60" s="723">
        <f>SUM(E50:E59)</f>
        <v>1682115</v>
      </c>
      <c r="F60" s="724">
        <f>SUM(D60:E60)</f>
        <v>267708793</v>
      </c>
      <c r="G60" s="670"/>
      <c r="H60" s="1018" t="s">
        <v>93</v>
      </c>
      <c r="I60" s="1019"/>
      <c r="J60" s="1020"/>
      <c r="K60" s="473">
        <f>SUM(K49:K59)</f>
        <v>195245548</v>
      </c>
      <c r="L60" s="472"/>
      <c r="M60" s="959" t="s">
        <v>94</v>
      </c>
      <c r="N60" s="959"/>
      <c r="O60" s="959"/>
      <c r="P60" s="960"/>
      <c r="Q60" s="473">
        <f>SUM(Q49:Q58)</f>
        <v>12765278</v>
      </c>
      <c r="R60" s="474"/>
      <c r="S60" s="959" t="s">
        <v>95</v>
      </c>
      <c r="T60" s="959"/>
      <c r="U60" s="959"/>
      <c r="V60" s="960"/>
      <c r="W60" s="473">
        <f>SUM(W49:W59)</f>
        <v>9172149</v>
      </c>
      <c r="X60" s="475">
        <f>SUM(X48:X59)</f>
        <v>217182975</v>
      </c>
      <c r="Y60" s="476">
        <f>SUM(Y48:Y59)</f>
        <v>0</v>
      </c>
      <c r="Z60" s="477">
        <f>SUM(X60:Y60)</f>
        <v>217182975</v>
      </c>
      <c r="AA60" s="475">
        <f>X60-D60</f>
        <v>-48843703</v>
      </c>
      <c r="AB60" s="478">
        <f>Y60-E60</f>
        <v>-1682115</v>
      </c>
      <c r="AC60" s="477">
        <f>SUM(AA60:AB60)</f>
        <v>-50525818</v>
      </c>
      <c r="AD60" s="479"/>
      <c r="AE60" s="479"/>
      <c r="AF60" s="479"/>
      <c r="AG60" s="479"/>
      <c r="AH60" s="479"/>
      <c r="AI60" s="479"/>
      <c r="AJ60" s="479"/>
      <c r="AK60" s="479"/>
      <c r="AL60" s="479"/>
      <c r="AM60" s="479"/>
      <c r="AN60" s="479"/>
      <c r="AO60" s="479"/>
      <c r="AP60" s="479"/>
      <c r="AQ60" s="479"/>
      <c r="AR60" s="479"/>
      <c r="AS60" s="479"/>
      <c r="AT60" s="479"/>
      <c r="AU60" s="479"/>
      <c r="AV60" s="479"/>
      <c r="AW60" s="479"/>
      <c r="AX60" s="479"/>
      <c r="AY60" s="479"/>
      <c r="AZ60" s="479"/>
      <c r="BA60" s="479"/>
      <c r="BB60" s="479"/>
      <c r="BC60" s="479"/>
      <c r="BD60" s="479"/>
      <c r="BE60" s="479"/>
      <c r="BF60" s="479"/>
      <c r="BG60" s="479"/>
      <c r="BH60" s="479"/>
      <c r="BI60" s="479"/>
      <c r="BJ60" s="479"/>
      <c r="BK60" s="479"/>
      <c r="BL60" s="479"/>
      <c r="BM60" s="479"/>
      <c r="BN60" s="479"/>
      <c r="BO60" s="479"/>
      <c r="BP60" s="479"/>
      <c r="BQ60" s="479"/>
      <c r="BR60" s="479"/>
      <c r="BS60" s="479"/>
      <c r="BT60" s="479"/>
      <c r="BU60" s="479"/>
      <c r="BV60" s="479"/>
      <c r="BW60" s="479"/>
      <c r="BX60" s="479"/>
      <c r="BY60" s="479"/>
      <c r="BZ60" s="479"/>
      <c r="CA60" s="479"/>
      <c r="CB60" s="479"/>
      <c r="CC60" s="479"/>
      <c r="CD60" s="479"/>
      <c r="CE60" s="479"/>
      <c r="CF60" s="479"/>
      <c r="CG60" s="479"/>
      <c r="CH60" s="479"/>
      <c r="CI60" s="479"/>
      <c r="CJ60" s="479"/>
      <c r="CK60" s="479"/>
      <c r="CL60" s="479"/>
      <c r="CM60" s="479"/>
      <c r="CN60" s="479"/>
      <c r="CO60" s="479"/>
      <c r="CP60" s="479"/>
      <c r="CQ60" s="479"/>
      <c r="CR60" s="479"/>
      <c r="CS60" s="479"/>
      <c r="CT60" s="479"/>
      <c r="CU60" s="479"/>
      <c r="CV60" s="479"/>
      <c r="CW60" s="479"/>
      <c r="CX60" s="479"/>
      <c r="CY60" s="479"/>
      <c r="CZ60" s="479"/>
      <c r="DA60" s="479"/>
      <c r="DB60" s="479"/>
      <c r="DC60" s="479"/>
      <c r="DD60" s="479"/>
      <c r="DE60" s="479"/>
      <c r="DF60" s="479"/>
      <c r="DG60" s="479"/>
      <c r="DH60" s="479"/>
      <c r="DI60" s="479"/>
      <c r="DJ60" s="479"/>
      <c r="DK60" s="479"/>
      <c r="DL60" s="479"/>
      <c r="DM60" s="479"/>
      <c r="DN60" s="479"/>
      <c r="DO60" s="479"/>
      <c r="DP60" s="479"/>
      <c r="DQ60" s="479"/>
      <c r="DR60" s="479"/>
      <c r="DS60" s="479"/>
      <c r="DT60" s="479"/>
      <c r="DU60" s="479"/>
      <c r="DV60" s="479"/>
      <c r="DW60" s="479"/>
      <c r="DX60" s="479"/>
      <c r="DY60" s="479"/>
      <c r="DZ60" s="479"/>
      <c r="EA60" s="479"/>
      <c r="EB60" s="479"/>
      <c r="EC60" s="479"/>
      <c r="ED60" s="479"/>
      <c r="EE60" s="479"/>
      <c r="EF60" s="479"/>
      <c r="EG60" s="479"/>
      <c r="EH60" s="479"/>
      <c r="EI60" s="479"/>
      <c r="EJ60" s="479"/>
      <c r="EK60" s="479"/>
      <c r="EL60" s="479"/>
      <c r="EM60" s="479"/>
      <c r="EN60" s="479"/>
      <c r="EO60" s="479"/>
      <c r="EP60" s="479"/>
      <c r="EQ60" s="479"/>
      <c r="ER60" s="479"/>
      <c r="ES60" s="479"/>
      <c r="ET60" s="479"/>
      <c r="EU60" s="479"/>
      <c r="EV60" s="479"/>
      <c r="EW60" s="479"/>
      <c r="EX60" s="479"/>
      <c r="EY60" s="479"/>
      <c r="EZ60" s="479"/>
      <c r="FA60" s="479"/>
      <c r="FB60" s="479"/>
      <c r="FC60" s="479"/>
      <c r="FD60" s="479"/>
      <c r="FE60" s="479"/>
      <c r="FF60" s="479"/>
      <c r="FG60" s="479"/>
      <c r="FH60" s="479"/>
      <c r="FI60" s="479"/>
      <c r="FJ60" s="479"/>
      <c r="FK60" s="479"/>
      <c r="FL60" s="479"/>
      <c r="FM60" s="479"/>
      <c r="FN60" s="479"/>
      <c r="FO60" s="479"/>
      <c r="FP60" s="479"/>
      <c r="FQ60" s="479"/>
      <c r="FR60" s="479"/>
      <c r="FS60" s="479"/>
      <c r="FT60" s="479"/>
      <c r="FU60" s="479"/>
      <c r="FV60" s="479"/>
      <c r="FW60" s="479"/>
      <c r="FX60" s="479"/>
      <c r="FY60" s="479"/>
      <c r="FZ60" s="479"/>
      <c r="GA60" s="479"/>
      <c r="GB60" s="479"/>
      <c r="GC60" s="479"/>
      <c r="GD60" s="479"/>
      <c r="GE60" s="479"/>
      <c r="GF60" s="479"/>
      <c r="GG60" s="479"/>
      <c r="GH60" s="479"/>
      <c r="GI60" s="479"/>
      <c r="GJ60" s="479"/>
      <c r="GK60" s="479"/>
      <c r="GL60" s="479"/>
      <c r="GM60" s="479"/>
      <c r="GN60" s="479"/>
      <c r="GO60" s="479"/>
      <c r="GP60" s="479"/>
      <c r="GQ60" s="479"/>
      <c r="GR60" s="479"/>
      <c r="GS60" s="479"/>
      <c r="GT60" s="479"/>
      <c r="GU60" s="479"/>
      <c r="GV60" s="479"/>
      <c r="GW60" s="479"/>
      <c r="GX60" s="479"/>
      <c r="GY60" s="479"/>
      <c r="GZ60" s="479"/>
      <c r="HA60" s="479"/>
      <c r="HB60" s="479"/>
      <c r="HC60" s="479"/>
      <c r="HD60" s="479"/>
      <c r="HE60" s="479"/>
      <c r="HF60" s="479"/>
      <c r="HG60" s="479"/>
      <c r="HH60" s="479"/>
      <c r="HI60" s="479"/>
      <c r="HJ60" s="479"/>
      <c r="HK60" s="479"/>
      <c r="HL60" s="479"/>
      <c r="HM60" s="479"/>
      <c r="HN60" s="479"/>
      <c r="HO60" s="479"/>
    </row>
    <row r="61" spans="1:29" ht="21" customHeight="1" thickBot="1" thickTop="1">
      <c r="A61" s="1048" t="s">
        <v>367</v>
      </c>
      <c r="B61" s="1049"/>
      <c r="C61" s="1050"/>
      <c r="D61" s="435">
        <f>SUM(D60,D37,D29,D45)</f>
        <v>1140729640</v>
      </c>
      <c r="E61" s="435">
        <f>SUM(E60,E37,E29,E45)</f>
        <v>953306436</v>
      </c>
      <c r="F61" s="436">
        <f>SUM(D61:E61)</f>
        <v>2094036076</v>
      </c>
      <c r="G61" s="437"/>
      <c r="H61" s="1058" t="s">
        <v>96</v>
      </c>
      <c r="I61" s="1059"/>
      <c r="J61" s="1060"/>
      <c r="K61" s="439">
        <f>SUM(K60,K37,K29,K45)</f>
        <v>516736518</v>
      </c>
      <c r="L61" s="438"/>
      <c r="M61" s="1064" t="s">
        <v>97</v>
      </c>
      <c r="N61" s="1064"/>
      <c r="O61" s="1064"/>
      <c r="P61" s="1065"/>
      <c r="Q61" s="439">
        <f>SUM(Q60,Q37,Q29,Q45)</f>
        <v>165378127</v>
      </c>
      <c r="R61" s="440"/>
      <c r="S61" s="1064" t="s">
        <v>98</v>
      </c>
      <c r="T61" s="1064"/>
      <c r="U61" s="1064"/>
      <c r="V61" s="1065"/>
      <c r="W61" s="684">
        <f>SUM(W60,W37,W29,W45)</f>
        <v>1411921431</v>
      </c>
      <c r="X61" s="685">
        <f>SUM(X60,X37,X29,X45)</f>
        <v>1143978981</v>
      </c>
      <c r="Y61" s="441">
        <f>SUM(Y60,Y37,Y29,Y45)</f>
        <v>950057095</v>
      </c>
      <c r="Z61" s="442">
        <f>SUM(W61+Q61+K61)</f>
        <v>2094036076</v>
      </c>
      <c r="AA61" s="441">
        <f>SUM(AA60,AA37,AA29,AA45)</f>
        <v>3249341</v>
      </c>
      <c r="AB61" s="441">
        <f>SUM(AB60,AB37,AB29,AB45)</f>
        <v>-3249341</v>
      </c>
      <c r="AC61" s="660">
        <f>SUM(AC60,AC37,AC29,AC45)</f>
        <v>0</v>
      </c>
    </row>
    <row r="62" spans="1:29" ht="19.5" thickTop="1">
      <c r="A62" s="1051"/>
      <c r="B62" s="1052"/>
      <c r="C62" s="1052"/>
      <c r="D62" s="405"/>
      <c r="E62" s="405"/>
      <c r="F62" s="405"/>
      <c r="G62" s="358"/>
      <c r="H62" s="358"/>
      <c r="I62" s="358"/>
      <c r="J62" s="443"/>
      <c r="K62" s="382"/>
      <c r="L62" s="356"/>
      <c r="M62" s="344"/>
      <c r="N62" s="344"/>
      <c r="O62" s="344"/>
      <c r="P62" s="344"/>
      <c r="Q62" s="344"/>
      <c r="R62" s="356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356"/>
    </row>
    <row r="63" spans="1:29" ht="15.75">
      <c r="A63" s="405"/>
      <c r="B63" s="405"/>
      <c r="C63" s="405"/>
      <c r="D63" s="1062" t="s">
        <v>478</v>
      </c>
      <c r="E63" s="1063"/>
      <c r="F63" s="1063"/>
      <c r="G63" s="309"/>
      <c r="H63" s="309"/>
      <c r="I63" s="309"/>
      <c r="J63" s="303"/>
      <c r="K63" s="382"/>
      <c r="L63" s="344"/>
      <c r="M63" s="344"/>
      <c r="N63" s="344"/>
      <c r="O63" s="344"/>
      <c r="P63" s="344"/>
      <c r="Q63" s="344"/>
      <c r="R63" s="344"/>
      <c r="S63" s="405"/>
      <c r="T63" s="405"/>
      <c r="U63" s="405"/>
      <c r="V63" s="405"/>
      <c r="W63" s="1062" t="s">
        <v>99</v>
      </c>
      <c r="X63" s="1063"/>
      <c r="Y63" s="1063"/>
      <c r="Z63" s="444"/>
      <c r="AA63" s="1062" t="s">
        <v>87</v>
      </c>
      <c r="AB63" s="1063"/>
      <c r="AC63" s="1063"/>
    </row>
    <row r="64" spans="1:29" ht="15.75">
      <c r="A64" s="405"/>
      <c r="B64" s="405"/>
      <c r="C64" s="405"/>
      <c r="D64" s="445" t="s">
        <v>88</v>
      </c>
      <c r="E64" s="445" t="s">
        <v>100</v>
      </c>
      <c r="F64" s="445" t="s">
        <v>89</v>
      </c>
      <c r="G64" s="309"/>
      <c r="H64" s="309"/>
      <c r="I64" s="309"/>
      <c r="J64" s="303"/>
      <c r="K64" s="382"/>
      <c r="L64" s="344"/>
      <c r="M64" s="344"/>
      <c r="N64" s="344"/>
      <c r="O64" s="344"/>
      <c r="P64" s="344"/>
      <c r="Q64" s="344"/>
      <c r="R64" s="344"/>
      <c r="S64" s="1066"/>
      <c r="T64" s="1066"/>
      <c r="U64" s="1066"/>
      <c r="V64" s="1066"/>
      <c r="W64" s="445" t="s">
        <v>88</v>
      </c>
      <c r="X64" s="445" t="s">
        <v>100</v>
      </c>
      <c r="Y64" s="445" t="s">
        <v>89</v>
      </c>
      <c r="Z64" s="446"/>
      <c r="AA64" s="445" t="s">
        <v>88</v>
      </c>
      <c r="AB64" s="445" t="s">
        <v>100</v>
      </c>
      <c r="AC64" s="445" t="s">
        <v>89</v>
      </c>
    </row>
    <row r="65" spans="1:29" ht="15.75">
      <c r="A65" s="405"/>
      <c r="B65" s="405"/>
      <c r="C65" s="447" t="s">
        <v>101</v>
      </c>
      <c r="D65" s="405"/>
      <c r="E65" s="405"/>
      <c r="F65" s="405"/>
      <c r="G65" s="309"/>
      <c r="H65" s="309"/>
      <c r="I65" s="309"/>
      <c r="J65" s="303"/>
      <c r="K65" s="382"/>
      <c r="L65" s="344"/>
      <c r="M65" s="344"/>
      <c r="N65" s="344"/>
      <c r="O65" s="344"/>
      <c r="P65" s="344"/>
      <c r="Q65" s="344"/>
      <c r="R65" s="344"/>
      <c r="S65" s="405"/>
      <c r="T65" s="447" t="s">
        <v>101</v>
      </c>
      <c r="U65" s="405"/>
      <c r="V65" s="1062"/>
      <c r="W65" s="1063"/>
      <c r="X65" s="405"/>
      <c r="Y65" s="405"/>
      <c r="Z65" s="405"/>
      <c r="AA65" s="405"/>
      <c r="AB65" s="405"/>
      <c r="AC65" s="344"/>
    </row>
    <row r="66" spans="1:29" ht="15.75">
      <c r="A66" s="405"/>
      <c r="B66" s="405"/>
      <c r="C66" s="405" t="s">
        <v>102</v>
      </c>
      <c r="D66" s="448">
        <f>SUM(D10)</f>
        <v>502821141</v>
      </c>
      <c r="E66" s="448">
        <f>SUM(E10)</f>
        <v>308177926</v>
      </c>
      <c r="F66" s="448">
        <f>SUM(D66:E66)</f>
        <v>810999067</v>
      </c>
      <c r="G66" s="309"/>
      <c r="H66" s="309"/>
      <c r="I66" s="309"/>
      <c r="J66" s="303"/>
      <c r="K66" s="382"/>
      <c r="L66" s="344"/>
      <c r="M66" s="344"/>
      <c r="N66" s="344"/>
      <c r="O66" s="344"/>
      <c r="P66" s="344"/>
      <c r="Q66" s="344"/>
      <c r="R66" s="344"/>
      <c r="S66" s="405"/>
      <c r="T66" s="405" t="s">
        <v>102</v>
      </c>
      <c r="U66" s="405"/>
      <c r="V66" s="405"/>
      <c r="W66" s="448">
        <f>SUM(X15)</f>
        <v>585998969</v>
      </c>
      <c r="X66" s="448">
        <f>Y15</f>
        <v>304780540</v>
      </c>
      <c r="Y66" s="448">
        <f>SUM(W66:X66)</f>
        <v>890779509</v>
      </c>
      <c r="Z66" s="389"/>
      <c r="AA66" s="448">
        <f aca="true" t="shared" si="0" ref="AA66:AB69">W66-D66</f>
        <v>83177828</v>
      </c>
      <c r="AB66" s="448">
        <f t="shared" si="0"/>
        <v>-3397386</v>
      </c>
      <c r="AC66" s="389">
        <f>SUM(AA66:AB66)</f>
        <v>79780442</v>
      </c>
    </row>
    <row r="67" spans="1:29" ht="15.75">
      <c r="A67" s="405"/>
      <c r="B67" s="405"/>
      <c r="C67" s="405" t="s">
        <v>373</v>
      </c>
      <c r="D67" s="448">
        <f>SUM(D35)</f>
        <v>135294167</v>
      </c>
      <c r="E67" s="448">
        <f>SUM(E35)</f>
        <v>1934590</v>
      </c>
      <c r="F67" s="448">
        <f>SUM(D67:E67)</f>
        <v>137228757</v>
      </c>
      <c r="G67" s="309"/>
      <c r="H67" s="309"/>
      <c r="I67" s="309"/>
      <c r="J67" s="449"/>
      <c r="K67" s="382"/>
      <c r="L67" s="344"/>
      <c r="M67" s="344"/>
      <c r="N67" s="344"/>
      <c r="O67" s="344"/>
      <c r="P67" s="344"/>
      <c r="Q67" s="344"/>
      <c r="R67" s="344"/>
      <c r="S67" s="405"/>
      <c r="T67" s="405" t="s">
        <v>373</v>
      </c>
      <c r="U67" s="405"/>
      <c r="V67" s="405"/>
      <c r="W67" s="448">
        <f>SUM(X35)</f>
        <v>149015414</v>
      </c>
      <c r="X67" s="448">
        <f>Y35</f>
        <v>0</v>
      </c>
      <c r="Y67" s="448">
        <f>SUM(W67:X67)</f>
        <v>149015414</v>
      </c>
      <c r="Z67" s="389"/>
      <c r="AA67" s="448">
        <f t="shared" si="0"/>
        <v>13721247</v>
      </c>
      <c r="AB67" s="448">
        <f t="shared" si="0"/>
        <v>-1934590</v>
      </c>
      <c r="AC67" s="389">
        <f>SUM(AA67:AB67)</f>
        <v>11786657</v>
      </c>
    </row>
    <row r="68" spans="1:29" ht="15.75">
      <c r="A68" s="405"/>
      <c r="B68" s="405"/>
      <c r="C68" s="405" t="s">
        <v>772</v>
      </c>
      <c r="D68" s="448">
        <f>SUM(D41)</f>
        <v>32193380</v>
      </c>
      <c r="E68" s="448">
        <f>SUM(E41)</f>
        <v>1505000</v>
      </c>
      <c r="F68" s="448">
        <f>SUM(D68:E68)</f>
        <v>33698380</v>
      </c>
      <c r="G68" s="309"/>
      <c r="H68" s="309"/>
      <c r="I68" s="309"/>
      <c r="J68" s="449"/>
      <c r="K68" s="382"/>
      <c r="L68" s="344"/>
      <c r="M68" s="344"/>
      <c r="N68" s="344"/>
      <c r="O68" s="344"/>
      <c r="P68" s="344"/>
      <c r="Q68" s="344"/>
      <c r="R68" s="344"/>
      <c r="S68" s="405"/>
      <c r="T68" s="405" t="s">
        <v>787</v>
      </c>
      <c r="U68" s="405"/>
      <c r="V68" s="405"/>
      <c r="W68" s="448">
        <f>SUM(X41)</f>
        <v>20511670</v>
      </c>
      <c r="X68" s="448">
        <f>SUM(Y41)</f>
        <v>0</v>
      </c>
      <c r="Y68" s="448">
        <f>SUM(W68:X68)</f>
        <v>20511670</v>
      </c>
      <c r="Z68" s="389"/>
      <c r="AA68" s="448">
        <f>W68-D68</f>
        <v>-11681710</v>
      </c>
      <c r="AB68" s="448">
        <f>X68-E68</f>
        <v>-1505000</v>
      </c>
      <c r="AC68" s="389">
        <f>SUM(AA68:AB68)</f>
        <v>-13186710</v>
      </c>
    </row>
    <row r="69" spans="1:29" ht="12.75">
      <c r="A69" s="405"/>
      <c r="B69" s="405"/>
      <c r="C69" s="450" t="s">
        <v>103</v>
      </c>
      <c r="D69" s="451">
        <f>SUM(D52)</f>
        <v>241334476</v>
      </c>
      <c r="E69" s="451">
        <f>SUM(E52)</f>
        <v>1618615</v>
      </c>
      <c r="F69" s="451">
        <f>SUM(D69:E69)</f>
        <v>242953091</v>
      </c>
      <c r="G69" s="405"/>
      <c r="H69" s="405"/>
      <c r="I69" s="405"/>
      <c r="J69" s="405"/>
      <c r="K69" s="344"/>
      <c r="L69" s="344"/>
      <c r="M69" s="344"/>
      <c r="N69" s="344"/>
      <c r="O69" s="344"/>
      <c r="P69" s="344"/>
      <c r="Q69" s="344"/>
      <c r="R69" s="344"/>
      <c r="S69" s="405"/>
      <c r="T69" s="450" t="s">
        <v>103</v>
      </c>
      <c r="U69" s="452"/>
      <c r="V69" s="452"/>
      <c r="W69" s="451">
        <f>SUM(X52)</f>
        <v>196657273</v>
      </c>
      <c r="X69" s="451">
        <f>Y52</f>
        <v>0</v>
      </c>
      <c r="Y69" s="451">
        <f>SUM(W69:X69)</f>
        <v>196657273</v>
      </c>
      <c r="Z69" s="389"/>
      <c r="AA69" s="451">
        <f t="shared" si="0"/>
        <v>-44677203</v>
      </c>
      <c r="AB69" s="451">
        <f t="shared" si="0"/>
        <v>-1618615</v>
      </c>
      <c r="AC69" s="451">
        <f>SUM(AA69:AB69)</f>
        <v>-46295818</v>
      </c>
    </row>
    <row r="70" spans="1:29" ht="12.75">
      <c r="A70" s="405"/>
      <c r="B70" s="405"/>
      <c r="C70" s="453" t="s">
        <v>366</v>
      </c>
      <c r="D70" s="448">
        <f>SUM(D66:D69)</f>
        <v>911643164</v>
      </c>
      <c r="E70" s="448">
        <f>SUM(E66:E69)</f>
        <v>313236131</v>
      </c>
      <c r="F70" s="448">
        <f>SUM(F66:F69)</f>
        <v>1224879295</v>
      </c>
      <c r="G70" s="405"/>
      <c r="H70" s="405"/>
      <c r="I70" s="405"/>
      <c r="J70" s="405"/>
      <c r="K70" s="344"/>
      <c r="L70" s="344"/>
      <c r="M70" s="344"/>
      <c r="N70" s="344"/>
      <c r="O70" s="344"/>
      <c r="P70" s="344"/>
      <c r="Q70" s="344"/>
      <c r="R70" s="344"/>
      <c r="S70" s="405"/>
      <c r="T70" s="453" t="s">
        <v>366</v>
      </c>
      <c r="U70" s="405"/>
      <c r="V70" s="453"/>
      <c r="W70" s="448">
        <f>SUM(W66:W69)</f>
        <v>952183326</v>
      </c>
      <c r="X70" s="448">
        <f>SUM(X66:X69)</f>
        <v>304780540</v>
      </c>
      <c r="Y70" s="448">
        <f>SUM(Y66:Y69)</f>
        <v>1256963866</v>
      </c>
      <c r="Z70" s="389"/>
      <c r="AA70" s="448">
        <f>SUM(AA66:AA69)</f>
        <v>40540162</v>
      </c>
      <c r="AB70" s="448">
        <f>SUM(AB66:AB69)</f>
        <v>-8455591</v>
      </c>
      <c r="AC70" s="448">
        <f>SUM(AC66:AC69)</f>
        <v>32084571</v>
      </c>
    </row>
    <row r="71" spans="1:29" ht="12.75">
      <c r="A71" s="405"/>
      <c r="B71" s="405"/>
      <c r="C71" s="453"/>
      <c r="D71" s="448"/>
      <c r="E71" s="448"/>
      <c r="F71" s="448"/>
      <c r="G71" s="405"/>
      <c r="H71" s="405"/>
      <c r="I71" s="405"/>
      <c r="J71" s="405"/>
      <c r="K71" s="405"/>
      <c r="L71" s="344"/>
      <c r="M71" s="344"/>
      <c r="N71" s="344"/>
      <c r="O71" s="344"/>
      <c r="P71" s="344"/>
      <c r="Q71" s="344"/>
      <c r="R71" s="344"/>
      <c r="S71" s="405"/>
      <c r="T71" s="405"/>
      <c r="U71" s="405"/>
      <c r="V71" s="405"/>
      <c r="W71" s="405"/>
      <c r="X71" s="405"/>
      <c r="Y71" s="405"/>
      <c r="Z71" s="405"/>
      <c r="AA71" s="405"/>
      <c r="AB71" s="405"/>
      <c r="AC71" s="344"/>
    </row>
    <row r="72" spans="1:29" ht="12.75">
      <c r="A72" s="405"/>
      <c r="B72" s="405"/>
      <c r="C72" s="447" t="s">
        <v>104</v>
      </c>
      <c r="D72" s="448"/>
      <c r="E72" s="448"/>
      <c r="F72" s="448"/>
      <c r="G72" s="405"/>
      <c r="H72" s="405"/>
      <c r="I72" s="405"/>
      <c r="J72" s="405"/>
      <c r="K72" s="405"/>
      <c r="L72" s="344"/>
      <c r="M72" s="344"/>
      <c r="N72" s="344"/>
      <c r="O72" s="344"/>
      <c r="P72" s="344"/>
      <c r="Q72" s="344"/>
      <c r="R72" s="344"/>
      <c r="S72" s="405"/>
      <c r="T72" s="447" t="s">
        <v>104</v>
      </c>
      <c r="U72" s="454"/>
      <c r="V72" s="447"/>
      <c r="W72" s="455"/>
      <c r="X72" s="455"/>
      <c r="Y72" s="405"/>
      <c r="Z72" s="405"/>
      <c r="AA72" s="405"/>
      <c r="AB72" s="405"/>
      <c r="AC72" s="344"/>
    </row>
    <row r="73" spans="1:29" ht="12.75">
      <c r="A73" s="405"/>
      <c r="B73" s="405"/>
      <c r="C73" s="405" t="s">
        <v>102</v>
      </c>
      <c r="D73" s="448">
        <f>SUM(D26)</f>
        <v>171769939</v>
      </c>
      <c r="E73" s="448">
        <f>SUM(E26)</f>
        <v>640006805</v>
      </c>
      <c r="F73" s="448">
        <f>SUM(D73:E73)</f>
        <v>811776744</v>
      </c>
      <c r="G73" s="405"/>
      <c r="H73" s="405"/>
      <c r="I73" s="405"/>
      <c r="J73" s="405"/>
      <c r="K73" s="405"/>
      <c r="L73" s="344"/>
      <c r="M73" s="344"/>
      <c r="N73" s="344"/>
      <c r="O73" s="344"/>
      <c r="P73" s="344"/>
      <c r="Q73" s="344"/>
      <c r="R73" s="344"/>
      <c r="S73" s="405"/>
      <c r="T73" s="405" t="s">
        <v>102</v>
      </c>
      <c r="U73" s="405"/>
      <c r="V73" s="405"/>
      <c r="W73" s="448">
        <f>SUM(X26)</f>
        <v>165627272</v>
      </c>
      <c r="X73" s="448">
        <f>Y26</f>
        <v>645276555</v>
      </c>
      <c r="Y73" s="448">
        <f>SUM(W73:X73)</f>
        <v>810903827</v>
      </c>
      <c r="Z73" s="389"/>
      <c r="AA73" s="448">
        <f aca="true" t="shared" si="1" ref="AA73:AB76">W73-D73</f>
        <v>-6142667</v>
      </c>
      <c r="AB73" s="448">
        <f t="shared" si="1"/>
        <v>5269750</v>
      </c>
      <c r="AC73" s="389">
        <f>SUM(AA73:AB73)</f>
        <v>-872917</v>
      </c>
    </row>
    <row r="74" spans="1:29" ht="12.75">
      <c r="A74" s="405"/>
      <c r="B74" s="405"/>
      <c r="C74" s="405" t="s">
        <v>373</v>
      </c>
      <c r="D74" s="448">
        <f>D36</f>
        <v>8450747</v>
      </c>
      <c r="E74" s="448">
        <v>0</v>
      </c>
      <c r="F74" s="448">
        <f>SUM(D74:E74)</f>
        <v>8450747</v>
      </c>
      <c r="G74" s="405"/>
      <c r="H74" s="405"/>
      <c r="I74" s="405"/>
      <c r="J74" s="405"/>
      <c r="K74" s="405"/>
      <c r="L74" s="344"/>
      <c r="M74" s="344"/>
      <c r="N74" s="344"/>
      <c r="O74" s="344"/>
      <c r="P74" s="344"/>
      <c r="Q74" s="344"/>
      <c r="R74" s="344"/>
      <c r="S74" s="405"/>
      <c r="T74" s="405" t="s">
        <v>373</v>
      </c>
      <c r="U74" s="405"/>
      <c r="V74" s="405"/>
      <c r="W74" s="448">
        <f>SUM(X36)</f>
        <v>0</v>
      </c>
      <c r="X74" s="448">
        <v>0</v>
      </c>
      <c r="Y74" s="448">
        <f>SUM(W74:X74)</f>
        <v>0</v>
      </c>
      <c r="Z74" s="389"/>
      <c r="AA74" s="448">
        <f t="shared" si="1"/>
        <v>-8450747</v>
      </c>
      <c r="AB74" s="448">
        <f t="shared" si="1"/>
        <v>0</v>
      </c>
      <c r="AC74" s="389">
        <f>SUM(AA74:AB74)</f>
        <v>-8450747</v>
      </c>
    </row>
    <row r="75" spans="1:29" ht="12.75">
      <c r="A75" s="405"/>
      <c r="B75" s="405"/>
      <c r="C75" s="405" t="s">
        <v>772</v>
      </c>
      <c r="D75" s="448">
        <f>SUM(D43)</f>
        <v>11862203</v>
      </c>
      <c r="E75" s="448">
        <f>SUM(E43)</f>
        <v>0</v>
      </c>
      <c r="F75" s="448">
        <f>SUM(D75:E75)</f>
        <v>11862203</v>
      </c>
      <c r="G75" s="405"/>
      <c r="H75" s="405"/>
      <c r="I75" s="405"/>
      <c r="J75" s="405"/>
      <c r="K75" s="405"/>
      <c r="L75" s="344"/>
      <c r="M75" s="344"/>
      <c r="N75" s="344"/>
      <c r="O75" s="344"/>
      <c r="P75" s="344"/>
      <c r="Q75" s="344"/>
      <c r="R75" s="344"/>
      <c r="S75" s="405"/>
      <c r="T75" s="405" t="s">
        <v>787</v>
      </c>
      <c r="U75" s="405"/>
      <c r="V75" s="405"/>
      <c r="W75" s="448">
        <f>X43</f>
        <v>5642681</v>
      </c>
      <c r="X75" s="448">
        <f>Y43</f>
        <v>0</v>
      </c>
      <c r="Y75" s="448">
        <f>SUM(W75:X75)</f>
        <v>5642681</v>
      </c>
      <c r="Z75" s="389"/>
      <c r="AA75" s="448">
        <f>W75-D75</f>
        <v>-6219522</v>
      </c>
      <c r="AB75" s="448">
        <f>X75-E75</f>
        <v>0</v>
      </c>
      <c r="AC75" s="389">
        <f>SUM(AA75:AB75)</f>
        <v>-6219522</v>
      </c>
    </row>
    <row r="76" spans="1:29" ht="12.75">
      <c r="A76" s="405"/>
      <c r="B76" s="405"/>
      <c r="C76" s="450" t="s">
        <v>103</v>
      </c>
      <c r="D76" s="451">
        <f>SUM(D59)</f>
        <v>24692202</v>
      </c>
      <c r="E76" s="451">
        <f>E59</f>
        <v>63500</v>
      </c>
      <c r="F76" s="451">
        <f>SUM(D76:E76)</f>
        <v>24755702</v>
      </c>
      <c r="G76" s="405"/>
      <c r="H76" s="405"/>
      <c r="I76" s="405"/>
      <c r="J76" s="405"/>
      <c r="K76" s="405"/>
      <c r="L76" s="344"/>
      <c r="M76" s="344"/>
      <c r="N76" s="344"/>
      <c r="O76" s="344"/>
      <c r="P76" s="344"/>
      <c r="Q76" s="344"/>
      <c r="R76" s="344"/>
      <c r="S76" s="405"/>
      <c r="T76" s="450" t="s">
        <v>103</v>
      </c>
      <c r="U76" s="452"/>
      <c r="V76" s="452"/>
      <c r="W76" s="451">
        <f>SUM(X59)</f>
        <v>20525702</v>
      </c>
      <c r="X76" s="451">
        <v>0</v>
      </c>
      <c r="Y76" s="451">
        <f>SUM(W76:X76)</f>
        <v>20525702</v>
      </c>
      <c r="Z76" s="389"/>
      <c r="AA76" s="451">
        <f t="shared" si="1"/>
        <v>-4166500</v>
      </c>
      <c r="AB76" s="451">
        <f t="shared" si="1"/>
        <v>-63500</v>
      </c>
      <c r="AC76" s="451">
        <f>SUM(AA76:AB76)</f>
        <v>-4230000</v>
      </c>
    </row>
    <row r="77" spans="1:29" ht="12.75">
      <c r="A77" s="405"/>
      <c r="B77" s="405"/>
      <c r="C77" s="453" t="s">
        <v>366</v>
      </c>
      <c r="D77" s="448">
        <f>SUM(D73:D76)</f>
        <v>216775091</v>
      </c>
      <c r="E77" s="448">
        <f>SUM(E73:E76)</f>
        <v>640070305</v>
      </c>
      <c r="F77" s="448">
        <f>SUM(F73:F76)</f>
        <v>856845396</v>
      </c>
      <c r="G77" s="405"/>
      <c r="H77" s="405"/>
      <c r="I77" s="405"/>
      <c r="J77" s="405"/>
      <c r="K77" s="405"/>
      <c r="L77" s="344"/>
      <c r="M77" s="344"/>
      <c r="N77" s="344"/>
      <c r="O77" s="344"/>
      <c r="P77" s="344"/>
      <c r="Q77" s="344"/>
      <c r="R77" s="344"/>
      <c r="S77" s="405"/>
      <c r="T77" s="453" t="s">
        <v>366</v>
      </c>
      <c r="U77" s="405"/>
      <c r="V77" s="453"/>
      <c r="W77" s="448">
        <f>SUM(W73:W76)</f>
        <v>191795655</v>
      </c>
      <c r="X77" s="448">
        <f>SUM(X73:X76)</f>
        <v>645276555</v>
      </c>
      <c r="Y77" s="448">
        <f>SUM(Y73:Y76)</f>
        <v>837072210</v>
      </c>
      <c r="Z77" s="389"/>
      <c r="AA77" s="448">
        <f>SUM(AA73:AA76)</f>
        <v>-24979436</v>
      </c>
      <c r="AB77" s="448">
        <f>SUM(AB73:AB76)</f>
        <v>5206250</v>
      </c>
      <c r="AC77" s="448">
        <f>SUM(AC73:AC76)</f>
        <v>-19773186</v>
      </c>
    </row>
    <row r="78" spans="1:29" ht="12.75">
      <c r="A78" s="405"/>
      <c r="B78" s="405"/>
      <c r="C78" s="453"/>
      <c r="D78" s="448"/>
      <c r="E78" s="448"/>
      <c r="F78" s="448"/>
      <c r="G78" s="405"/>
      <c r="H78" s="405"/>
      <c r="I78" s="405"/>
      <c r="J78" s="405"/>
      <c r="K78" s="405"/>
      <c r="L78" s="405"/>
      <c r="M78" s="405"/>
      <c r="N78" s="405"/>
      <c r="O78" s="405"/>
      <c r="P78" s="405"/>
      <c r="Q78" s="405"/>
      <c r="R78" s="405"/>
      <c r="S78" s="405"/>
      <c r="T78" s="405"/>
      <c r="U78" s="405"/>
      <c r="V78" s="405"/>
      <c r="W78" s="405"/>
      <c r="X78" s="405"/>
      <c r="Y78" s="405"/>
      <c r="Z78" s="344"/>
      <c r="AA78" s="448"/>
      <c r="AB78" s="448"/>
      <c r="AC78" s="344"/>
    </row>
    <row r="79" spans="1:29" ht="12.75">
      <c r="A79" s="405"/>
      <c r="B79" s="405"/>
      <c r="C79" s="447" t="s">
        <v>105</v>
      </c>
      <c r="D79" s="448"/>
      <c r="E79" s="448"/>
      <c r="F79" s="448"/>
      <c r="G79" s="405"/>
      <c r="H79" s="405"/>
      <c r="I79" s="405"/>
      <c r="J79" s="405"/>
      <c r="K79" s="405"/>
      <c r="L79" s="405"/>
      <c r="M79" s="405"/>
      <c r="N79" s="405"/>
      <c r="O79" s="405"/>
      <c r="P79" s="405"/>
      <c r="Q79" s="405"/>
      <c r="R79" s="405"/>
      <c r="S79" s="405"/>
      <c r="T79" s="447" t="s">
        <v>105</v>
      </c>
      <c r="U79" s="405"/>
      <c r="V79" s="447"/>
      <c r="W79" s="405"/>
      <c r="X79" s="405"/>
      <c r="Y79" s="405"/>
      <c r="Z79" s="344"/>
      <c r="AA79" s="448"/>
      <c r="AB79" s="448"/>
      <c r="AC79" s="344"/>
    </row>
    <row r="80" spans="1:29" ht="12.75">
      <c r="A80" s="405"/>
      <c r="B80" s="405"/>
      <c r="C80" s="405" t="s">
        <v>102</v>
      </c>
      <c r="D80" s="448">
        <f>SUM(D22)</f>
        <v>12311385</v>
      </c>
      <c r="E80" s="448">
        <f>SUM(E22)</f>
        <v>0</v>
      </c>
      <c r="F80" s="448">
        <f>SUM(D80:E80)</f>
        <v>12311385</v>
      </c>
      <c r="G80" s="405"/>
      <c r="H80" s="405"/>
      <c r="I80" s="405"/>
      <c r="J80" s="405"/>
      <c r="K80" s="405"/>
      <c r="L80" s="405"/>
      <c r="M80" s="405"/>
      <c r="N80" s="405"/>
      <c r="O80" s="405"/>
      <c r="P80" s="405"/>
      <c r="Q80" s="405"/>
      <c r="R80" s="405"/>
      <c r="S80" s="405"/>
      <c r="T80" s="405" t="s">
        <v>102</v>
      </c>
      <c r="U80" s="405"/>
      <c r="V80" s="405"/>
      <c r="W80" s="448">
        <f>SUM(X22)</f>
        <v>0</v>
      </c>
      <c r="X80" s="448">
        <v>0</v>
      </c>
      <c r="Y80" s="448">
        <f>SUM(W80:X80)</f>
        <v>0</v>
      </c>
      <c r="Z80" s="389"/>
      <c r="AA80" s="448">
        <f aca="true" t="shared" si="2" ref="AA80:AB83">W80-D80</f>
        <v>-12311385</v>
      </c>
      <c r="AB80" s="448">
        <f t="shared" si="2"/>
        <v>0</v>
      </c>
      <c r="AC80" s="389">
        <f>SUM(AA80:AB80)</f>
        <v>-12311385</v>
      </c>
    </row>
    <row r="81" spans="1:29" ht="12.75">
      <c r="A81" s="405"/>
      <c r="B81" s="405"/>
      <c r="C81" s="405" t="s">
        <v>373</v>
      </c>
      <c r="D81" s="448">
        <v>0</v>
      </c>
      <c r="E81" s="448">
        <v>0</v>
      </c>
      <c r="F81" s="448">
        <f>SUM(D81:E81)</f>
        <v>0</v>
      </c>
      <c r="G81" s="405"/>
      <c r="H81" s="405"/>
      <c r="I81" s="405"/>
      <c r="J81" s="405"/>
      <c r="K81" s="405"/>
      <c r="L81" s="405"/>
      <c r="M81" s="405"/>
      <c r="N81" s="405"/>
      <c r="O81" s="405"/>
      <c r="P81" s="405"/>
      <c r="Q81" s="405"/>
      <c r="R81" s="405"/>
      <c r="S81" s="405"/>
      <c r="T81" s="405" t="s">
        <v>373</v>
      </c>
      <c r="U81" s="405"/>
      <c r="V81" s="405"/>
      <c r="W81" s="448">
        <v>0</v>
      </c>
      <c r="X81" s="448">
        <v>0</v>
      </c>
      <c r="Y81" s="448">
        <f>SUM(W81:X81)</f>
        <v>0</v>
      </c>
      <c r="Z81" s="389"/>
      <c r="AA81" s="448">
        <f t="shared" si="2"/>
        <v>0</v>
      </c>
      <c r="AB81" s="448">
        <f t="shared" si="2"/>
        <v>0</v>
      </c>
      <c r="AC81" s="389">
        <f>SUM(AA81:AB81)</f>
        <v>0</v>
      </c>
    </row>
    <row r="82" spans="1:29" ht="12.75">
      <c r="A82" s="405"/>
      <c r="B82" s="405"/>
      <c r="C82" s="405" t="s">
        <v>772</v>
      </c>
      <c r="D82" s="448">
        <v>0</v>
      </c>
      <c r="E82" s="448">
        <v>0</v>
      </c>
      <c r="F82" s="448">
        <f>SUM(D82:E82)</f>
        <v>0</v>
      </c>
      <c r="G82" s="405"/>
      <c r="H82" s="405"/>
      <c r="I82" s="405"/>
      <c r="J82" s="405"/>
      <c r="K82" s="405"/>
      <c r="L82" s="405"/>
      <c r="M82" s="405"/>
      <c r="N82" s="405"/>
      <c r="O82" s="405"/>
      <c r="P82" s="405"/>
      <c r="Q82" s="405"/>
      <c r="R82" s="405"/>
      <c r="S82" s="405"/>
      <c r="T82" s="405" t="s">
        <v>787</v>
      </c>
      <c r="U82" s="405"/>
      <c r="V82" s="405"/>
      <c r="W82" s="448">
        <v>0</v>
      </c>
      <c r="X82" s="448">
        <v>0</v>
      </c>
      <c r="Y82" s="448">
        <f>SUM(W82:X82)</f>
        <v>0</v>
      </c>
      <c r="Z82" s="389"/>
      <c r="AA82" s="448">
        <f>W82-D82</f>
        <v>0</v>
      </c>
      <c r="AB82" s="448">
        <f>X82-E82</f>
        <v>0</v>
      </c>
      <c r="AC82" s="389">
        <f>SUM(AA82:AB82)</f>
        <v>0</v>
      </c>
    </row>
    <row r="83" spans="1:29" ht="12.75">
      <c r="A83" s="405"/>
      <c r="B83" s="405"/>
      <c r="C83" s="450" t="s">
        <v>103</v>
      </c>
      <c r="D83" s="451">
        <v>0</v>
      </c>
      <c r="E83" s="451">
        <v>0</v>
      </c>
      <c r="F83" s="451">
        <f>SUM(D83:E83)</f>
        <v>0</v>
      </c>
      <c r="G83" s="405"/>
      <c r="H83" s="405"/>
      <c r="I83" s="405"/>
      <c r="J83" s="405"/>
      <c r="K83" s="405"/>
      <c r="L83" s="405"/>
      <c r="M83" s="405"/>
      <c r="N83" s="405"/>
      <c r="O83" s="405"/>
      <c r="P83" s="405"/>
      <c r="Q83" s="405"/>
      <c r="R83" s="405"/>
      <c r="S83" s="405"/>
      <c r="T83" s="450" t="s">
        <v>103</v>
      </c>
      <c r="U83" s="452"/>
      <c r="V83" s="452"/>
      <c r="W83" s="451">
        <v>0</v>
      </c>
      <c r="X83" s="451">
        <v>0</v>
      </c>
      <c r="Y83" s="451">
        <f>SUM(W83:X83)</f>
        <v>0</v>
      </c>
      <c r="Z83" s="389"/>
      <c r="AA83" s="451">
        <f t="shared" si="2"/>
        <v>0</v>
      </c>
      <c r="AB83" s="451">
        <f t="shared" si="2"/>
        <v>0</v>
      </c>
      <c r="AC83" s="451">
        <f>SUM(AA83:AB83)</f>
        <v>0</v>
      </c>
    </row>
    <row r="84" spans="1:29" ht="12.75">
      <c r="A84" s="405"/>
      <c r="B84" s="405"/>
      <c r="C84" s="453" t="s">
        <v>366</v>
      </c>
      <c r="D84" s="448">
        <f>SUM(D80:D83)</f>
        <v>12311385</v>
      </c>
      <c r="E84" s="448">
        <f>SUM(E80:E83)</f>
        <v>0</v>
      </c>
      <c r="F84" s="448">
        <f>SUM(F80:F83)</f>
        <v>12311385</v>
      </c>
      <c r="G84" s="405"/>
      <c r="H84" s="405"/>
      <c r="I84" s="405"/>
      <c r="J84" s="405"/>
      <c r="K84" s="405"/>
      <c r="L84" s="405"/>
      <c r="M84" s="405"/>
      <c r="N84" s="405"/>
      <c r="O84" s="405"/>
      <c r="P84" s="405"/>
      <c r="Q84" s="405"/>
      <c r="R84" s="405"/>
      <c r="S84" s="405"/>
      <c r="T84" s="453" t="s">
        <v>366</v>
      </c>
      <c r="U84" s="405"/>
      <c r="V84" s="453"/>
      <c r="W84" s="448">
        <f>SUM(W80:W83)</f>
        <v>0</v>
      </c>
      <c r="X84" s="448">
        <f>SUM(X80:X83)</f>
        <v>0</v>
      </c>
      <c r="Y84" s="448">
        <f>SUM(Y80:Y83)</f>
        <v>0</v>
      </c>
      <c r="Z84" s="389"/>
      <c r="AA84" s="448">
        <f>SUM(AA80:AA83)</f>
        <v>-12311385</v>
      </c>
      <c r="AB84" s="448">
        <f>SUM(AB80:AB83)</f>
        <v>0</v>
      </c>
      <c r="AC84" s="448">
        <f>SUM(AC80:AC83)</f>
        <v>-12311385</v>
      </c>
    </row>
    <row r="85" spans="1:29" ht="12.75">
      <c r="A85" s="405"/>
      <c r="B85" s="405"/>
      <c r="C85" s="453"/>
      <c r="D85" s="405"/>
      <c r="E85" s="405"/>
      <c r="F85" s="405"/>
      <c r="G85" s="405"/>
      <c r="H85" s="405"/>
      <c r="I85" s="405"/>
      <c r="J85" s="405"/>
      <c r="K85" s="405"/>
      <c r="L85" s="405"/>
      <c r="M85" s="405"/>
      <c r="N85" s="405"/>
      <c r="O85" s="405"/>
      <c r="P85" s="405"/>
      <c r="Q85" s="405"/>
      <c r="R85" s="405"/>
      <c r="S85" s="405"/>
      <c r="T85" s="405"/>
      <c r="U85" s="405"/>
      <c r="V85" s="405"/>
      <c r="W85" s="405"/>
      <c r="X85" s="405"/>
      <c r="Y85" s="405"/>
      <c r="Z85" s="344"/>
      <c r="AA85" s="448"/>
      <c r="AB85" s="448"/>
      <c r="AC85" s="344"/>
    </row>
    <row r="86" spans="1:29" ht="12.75">
      <c r="A86" s="405"/>
      <c r="B86" s="405"/>
      <c r="C86" s="456" t="s">
        <v>106</v>
      </c>
      <c r="D86" s="457">
        <f>SUM(D84,D77,D70)</f>
        <v>1140729640</v>
      </c>
      <c r="E86" s="457">
        <f>SUM(E84,E77,E70)</f>
        <v>953306436</v>
      </c>
      <c r="F86" s="457">
        <f>SUM(F84,F77,F70)</f>
        <v>2094036076</v>
      </c>
      <c r="G86" s="456"/>
      <c r="H86" s="456"/>
      <c r="I86" s="456"/>
      <c r="J86" s="456"/>
      <c r="K86" s="456"/>
      <c r="L86" s="456"/>
      <c r="M86" s="456"/>
      <c r="N86" s="456"/>
      <c r="O86" s="456"/>
      <c r="P86" s="456"/>
      <c r="Q86" s="456"/>
      <c r="R86" s="456"/>
      <c r="S86" s="456"/>
      <c r="T86" s="456" t="s">
        <v>106</v>
      </c>
      <c r="U86" s="456"/>
      <c r="V86" s="456"/>
      <c r="W86" s="457">
        <f>SUM(W84,W77,W70)</f>
        <v>1143978981</v>
      </c>
      <c r="X86" s="457">
        <f>SUM(X84,X77,X70)</f>
        <v>950057095</v>
      </c>
      <c r="Y86" s="457">
        <f>SUM(Y84,Y77,Y70)</f>
        <v>2094036076</v>
      </c>
      <c r="Z86" s="325"/>
      <c r="AA86" s="457">
        <f>SUM(AA84,AA77,AA70)</f>
        <v>3249341</v>
      </c>
      <c r="AB86" s="457">
        <f>SUM(AB84,AB77,AB70)</f>
        <v>-3249341</v>
      </c>
      <c r="AC86" s="457">
        <f>SUM(AC84,AC77,AC70)</f>
        <v>0</v>
      </c>
    </row>
    <row r="87" spans="1:29" ht="12.75">
      <c r="A87" s="456"/>
      <c r="B87" s="456"/>
      <c r="D87" s="405"/>
      <c r="E87" s="405"/>
      <c r="F87" s="405"/>
      <c r="G87" s="405"/>
      <c r="H87" s="405"/>
      <c r="I87" s="405"/>
      <c r="J87" s="405"/>
      <c r="K87" s="405"/>
      <c r="L87" s="405"/>
      <c r="M87" s="405"/>
      <c r="N87" s="405"/>
      <c r="O87" s="405"/>
      <c r="P87" s="405"/>
      <c r="Q87" s="405"/>
      <c r="R87" s="405"/>
      <c r="S87" s="405"/>
      <c r="T87" s="405"/>
      <c r="U87" s="405"/>
      <c r="V87" s="405"/>
      <c r="W87" s="405"/>
      <c r="X87" s="405"/>
      <c r="Y87" s="405"/>
      <c r="Z87" s="405"/>
      <c r="AA87" s="405"/>
      <c r="AB87" s="405"/>
      <c r="AC87" s="344"/>
    </row>
    <row r="88" spans="1:29" ht="12.75">
      <c r="A88" s="405"/>
      <c r="B88" s="405"/>
      <c r="C88" s="405"/>
      <c r="D88" s="405"/>
      <c r="E88" s="405"/>
      <c r="F88" s="405"/>
      <c r="G88" s="405"/>
      <c r="H88" s="405"/>
      <c r="I88" s="405"/>
      <c r="J88" s="405"/>
      <c r="K88" s="405"/>
      <c r="L88" s="405"/>
      <c r="M88" s="405"/>
      <c r="N88" s="405"/>
      <c r="O88" s="405"/>
      <c r="P88" s="405"/>
      <c r="Q88" s="405"/>
      <c r="R88" s="405"/>
      <c r="S88" s="405"/>
      <c r="T88" s="405"/>
      <c r="U88" s="405"/>
      <c r="V88" s="405"/>
      <c r="W88" s="405"/>
      <c r="X88" s="405"/>
      <c r="Y88" s="405"/>
      <c r="Z88" s="405"/>
      <c r="AA88" s="405"/>
      <c r="AB88" s="405"/>
      <c r="AC88" s="344"/>
    </row>
    <row r="89" spans="1:3" ht="12.75">
      <c r="A89" s="405"/>
      <c r="B89" s="405"/>
      <c r="C89" s="405"/>
    </row>
  </sheetData>
  <sheetProtection/>
  <mergeCells count="174">
    <mergeCell ref="G35:I35"/>
    <mergeCell ref="R34:U34"/>
    <mergeCell ref="G56:I56"/>
    <mergeCell ref="AA38:AC38"/>
    <mergeCell ref="G40:I40"/>
    <mergeCell ref="X38:Z38"/>
    <mergeCell ref="G41:I41"/>
    <mergeCell ref="W40:W41"/>
    <mergeCell ref="G42:I42"/>
    <mergeCell ref="G38:K39"/>
    <mergeCell ref="H45:J45"/>
    <mergeCell ref="R14:U14"/>
    <mergeCell ref="R42:U43"/>
    <mergeCell ref="K40:K41"/>
    <mergeCell ref="L44:O44"/>
    <mergeCell ref="K42:K44"/>
    <mergeCell ref="L38:Q39"/>
    <mergeCell ref="L40:O41"/>
    <mergeCell ref="P40:P41"/>
    <mergeCell ref="R18:U18"/>
    <mergeCell ref="B41:C41"/>
    <mergeCell ref="A36:C36"/>
    <mergeCell ref="R40:U40"/>
    <mergeCell ref="Q40:Q41"/>
    <mergeCell ref="A38:C39"/>
    <mergeCell ref="D38:F38"/>
    <mergeCell ref="M37:P37"/>
    <mergeCell ref="S37:V37"/>
    <mergeCell ref="R41:U41"/>
    <mergeCell ref="R38:W39"/>
    <mergeCell ref="V65:W65"/>
    <mergeCell ref="Q49:Q57"/>
    <mergeCell ref="R49:U49"/>
    <mergeCell ref="R50:U50"/>
    <mergeCell ref="L42:O43"/>
    <mergeCell ref="Q58:Q59"/>
    <mergeCell ref="M45:P45"/>
    <mergeCell ref="S45:V45"/>
    <mergeCell ref="W42:W44"/>
    <mergeCell ref="W49:W57"/>
    <mergeCell ref="AA63:AC63"/>
    <mergeCell ref="L47:Q48"/>
    <mergeCell ref="W63:Y63"/>
    <mergeCell ref="S64:V64"/>
    <mergeCell ref="AA47:AC47"/>
    <mergeCell ref="M61:P61"/>
    <mergeCell ref="R47:W48"/>
    <mergeCell ref="L49:O49"/>
    <mergeCell ref="L50:O50"/>
    <mergeCell ref="R52:U52"/>
    <mergeCell ref="H60:J60"/>
    <mergeCell ref="D63:F63"/>
    <mergeCell ref="S61:V61"/>
    <mergeCell ref="R53:U53"/>
    <mergeCell ref="M60:P60"/>
    <mergeCell ref="S60:V60"/>
    <mergeCell ref="G54:I54"/>
    <mergeCell ref="G55:I55"/>
    <mergeCell ref="L58:O58"/>
    <mergeCell ref="K49:K57"/>
    <mergeCell ref="G57:I57"/>
    <mergeCell ref="G47:K48"/>
    <mergeCell ref="R51:U51"/>
    <mergeCell ref="D47:F47"/>
    <mergeCell ref="A61:C61"/>
    <mergeCell ref="A62:C62"/>
    <mergeCell ref="A52:C52"/>
    <mergeCell ref="A60:C60"/>
    <mergeCell ref="H61:J61"/>
    <mergeCell ref="L59:O59"/>
    <mergeCell ref="A43:C43"/>
    <mergeCell ref="A59:C59"/>
    <mergeCell ref="A45:C45"/>
    <mergeCell ref="A47:C48"/>
    <mergeCell ref="X47:Z47"/>
    <mergeCell ref="R59:U59"/>
    <mergeCell ref="G59:I59"/>
    <mergeCell ref="G49:I49"/>
    <mergeCell ref="G51:I51"/>
    <mergeCell ref="G50:I50"/>
    <mergeCell ref="G53:I53"/>
    <mergeCell ref="G52:I52"/>
    <mergeCell ref="A30:C31"/>
    <mergeCell ref="D30:F30"/>
    <mergeCell ref="G30:K31"/>
    <mergeCell ref="K27:K28"/>
    <mergeCell ref="A37:C37"/>
    <mergeCell ref="H37:J37"/>
    <mergeCell ref="K32:K35"/>
    <mergeCell ref="B35:C35"/>
    <mergeCell ref="AA30:AC30"/>
    <mergeCell ref="R30:W31"/>
    <mergeCell ref="X30:Z30"/>
    <mergeCell ref="W8:W17"/>
    <mergeCell ref="B22:C22"/>
    <mergeCell ref="W18:W20"/>
    <mergeCell ref="W23:W26"/>
    <mergeCell ref="L9:O9"/>
    <mergeCell ref="G11:I11"/>
    <mergeCell ref="R20:U20"/>
    <mergeCell ref="A26:C26"/>
    <mergeCell ref="L21:O21"/>
    <mergeCell ref="G17:I17"/>
    <mergeCell ref="G16:I16"/>
    <mergeCell ref="A29:C29"/>
    <mergeCell ref="H29:J29"/>
    <mergeCell ref="G21:I21"/>
    <mergeCell ref="W27:W28"/>
    <mergeCell ref="R26:U26"/>
    <mergeCell ref="R24:U24"/>
    <mergeCell ref="R16:U16"/>
    <mergeCell ref="R25:U25"/>
    <mergeCell ref="G32:I33"/>
    <mergeCell ref="J32:J33"/>
    <mergeCell ref="L30:Q31"/>
    <mergeCell ref="S29:V29"/>
    <mergeCell ref="R17:U17"/>
    <mergeCell ref="L6:Q7"/>
    <mergeCell ref="R6:W7"/>
    <mergeCell ref="D6:F6"/>
    <mergeCell ref="G6:K7"/>
    <mergeCell ref="R9:U9"/>
    <mergeCell ref="T1:AB1"/>
    <mergeCell ref="X6:Z6"/>
    <mergeCell ref="AA6:AC6"/>
    <mergeCell ref="K8:K17"/>
    <mergeCell ref="A3:AC3"/>
    <mergeCell ref="L10:O10"/>
    <mergeCell ref="G8:I8"/>
    <mergeCell ref="G12:I12"/>
    <mergeCell ref="R8:U8"/>
    <mergeCell ref="L8:O8"/>
    <mergeCell ref="G9:I9"/>
    <mergeCell ref="G10:I10"/>
    <mergeCell ref="Q8:Q17"/>
    <mergeCell ref="L15:O15"/>
    <mergeCell ref="G13:I13"/>
    <mergeCell ref="A6:C7"/>
    <mergeCell ref="L12:O12"/>
    <mergeCell ref="G15:I15"/>
    <mergeCell ref="Q21:Q22"/>
    <mergeCell ref="L22:O22"/>
    <mergeCell ref="K18:K20"/>
    <mergeCell ref="Q18:Q20"/>
    <mergeCell ref="K21:K22"/>
    <mergeCell ref="L16:O16"/>
    <mergeCell ref="L13:O13"/>
    <mergeCell ref="R22:U22"/>
    <mergeCell ref="G22:I22"/>
    <mergeCell ref="K23:K26"/>
    <mergeCell ref="L17:O17"/>
    <mergeCell ref="R32:U33"/>
    <mergeCell ref="V32:V33"/>
    <mergeCell ref="Q32:Q35"/>
    <mergeCell ref="M29:P29"/>
    <mergeCell ref="L26:O26"/>
    <mergeCell ref="L24:O24"/>
    <mergeCell ref="W32:W35"/>
    <mergeCell ref="R36:U36"/>
    <mergeCell ref="L35:O35"/>
    <mergeCell ref="R15:U15"/>
    <mergeCell ref="L25:O25"/>
    <mergeCell ref="R35:U35"/>
    <mergeCell ref="P32:P33"/>
    <mergeCell ref="L18:O18"/>
    <mergeCell ref="L20:O20"/>
    <mergeCell ref="L27:O27"/>
    <mergeCell ref="Q23:Q26"/>
    <mergeCell ref="L23:O23"/>
    <mergeCell ref="Q27:Q28"/>
    <mergeCell ref="R23:U23"/>
    <mergeCell ref="L28:O28"/>
    <mergeCell ref="L32:O33"/>
    <mergeCell ref="R27:U27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Q104"/>
  <sheetViews>
    <sheetView zoomScalePageLayoutView="0" workbookViewId="0" topLeftCell="A1">
      <pane ySplit="7" topLeftCell="A86" activePane="bottomLeft" state="frozen"/>
      <selection pane="topLeft" activeCell="A1" sqref="A1"/>
      <selection pane="bottomLeft" activeCell="M2" sqref="M2"/>
    </sheetView>
  </sheetViews>
  <sheetFormatPr defaultColWidth="9.00390625" defaultRowHeight="12.75"/>
  <cols>
    <col min="1" max="1" width="64.375" style="0" bestFit="1" customWidth="1"/>
    <col min="14" max="14" width="9.125" style="149" customWidth="1"/>
  </cols>
  <sheetData>
    <row r="1" spans="8:13" ht="15">
      <c r="H1" s="1"/>
      <c r="I1" s="1"/>
      <c r="J1" s="1"/>
      <c r="K1" s="1"/>
      <c r="L1" s="1"/>
      <c r="M1" s="6" t="s">
        <v>1018</v>
      </c>
    </row>
    <row r="2" spans="8:13" ht="12.75">
      <c r="H2" s="1"/>
      <c r="I2" s="1"/>
      <c r="J2" s="1"/>
      <c r="K2" s="1"/>
      <c r="L2" s="1"/>
      <c r="M2" s="2"/>
    </row>
    <row r="3" spans="8:13" ht="12.75">
      <c r="H3" s="1"/>
      <c r="I3" s="1"/>
      <c r="J3" s="1"/>
      <c r="K3" s="1"/>
      <c r="L3" s="1"/>
      <c r="M3" s="2"/>
    </row>
    <row r="4" spans="1:14" s="78" customFormat="1" ht="14.25" customHeight="1">
      <c r="A4" s="1079" t="s">
        <v>511</v>
      </c>
      <c r="B4" s="1079"/>
      <c r="C4" s="1079"/>
      <c r="D4" s="1079"/>
      <c r="E4" s="1079"/>
      <c r="F4" s="1079"/>
      <c r="G4" s="1079"/>
      <c r="H4" s="1079"/>
      <c r="I4" s="1079"/>
      <c r="J4" s="1079"/>
      <c r="K4" s="1079"/>
      <c r="L4" s="1079"/>
      <c r="M4" s="1079"/>
      <c r="N4" s="150"/>
    </row>
    <row r="5" spans="1:14" s="78" customFormat="1" ht="14.25" customHeight="1">
      <c r="A5" s="1079" t="s">
        <v>444</v>
      </c>
      <c r="B5" s="1079"/>
      <c r="C5" s="1079"/>
      <c r="D5" s="1079"/>
      <c r="E5" s="1079"/>
      <c r="F5" s="1079"/>
      <c r="G5" s="1079"/>
      <c r="H5" s="1079"/>
      <c r="I5" s="1079"/>
      <c r="J5" s="1079"/>
      <c r="K5" s="1079"/>
      <c r="L5" s="1079"/>
      <c r="M5" s="1079"/>
      <c r="N5" s="150"/>
    </row>
    <row r="6" spans="1:14" s="78" customFormat="1" ht="18" customHeight="1">
      <c r="A6" s="1079"/>
      <c r="B6" s="1079"/>
      <c r="C6" s="1079"/>
      <c r="D6" s="1079"/>
      <c r="E6" s="1079"/>
      <c r="F6" s="1079"/>
      <c r="G6" s="1079"/>
      <c r="H6" s="1079"/>
      <c r="I6" s="1079"/>
      <c r="J6" s="1079"/>
      <c r="K6" s="1079"/>
      <c r="L6" s="1079"/>
      <c r="M6" s="1079"/>
      <c r="N6" s="150"/>
    </row>
    <row r="7" spans="1:14" s="77" customFormat="1" ht="12.75">
      <c r="A7" s="135" t="s">
        <v>363</v>
      </c>
      <c r="B7" s="107" t="s">
        <v>348</v>
      </c>
      <c r="C7" s="107" t="s">
        <v>349</v>
      </c>
      <c r="D7" s="107" t="s">
        <v>350</v>
      </c>
      <c r="E7" s="107" t="s">
        <v>351</v>
      </c>
      <c r="F7" s="107" t="s">
        <v>352</v>
      </c>
      <c r="G7" s="107" t="s">
        <v>353</v>
      </c>
      <c r="H7" s="107" t="s">
        <v>354</v>
      </c>
      <c r="I7" s="107" t="s">
        <v>355</v>
      </c>
      <c r="J7" s="107" t="s">
        <v>356</v>
      </c>
      <c r="K7" s="107" t="s">
        <v>357</v>
      </c>
      <c r="L7" s="107" t="s">
        <v>358</v>
      </c>
      <c r="M7" s="107" t="s">
        <v>359</v>
      </c>
      <c r="N7" s="151"/>
    </row>
    <row r="8" spans="1:14" s="80" customFormat="1" ht="22.5" customHeight="1">
      <c r="A8" s="152" t="s">
        <v>744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11"/>
    </row>
    <row r="9" spans="1:14" s="594" customFormat="1" ht="20.25" customHeight="1">
      <c r="A9" s="591" t="s">
        <v>806</v>
      </c>
      <c r="B9" s="592"/>
      <c r="C9" s="592"/>
      <c r="D9" s="592"/>
      <c r="E9" s="592"/>
      <c r="F9" s="592"/>
      <c r="G9" s="592"/>
      <c r="H9" s="592"/>
      <c r="I9" s="592"/>
      <c r="J9" s="592"/>
      <c r="K9" s="592"/>
      <c r="L9" s="592"/>
      <c r="M9" s="592"/>
      <c r="N9" s="593"/>
    </row>
    <row r="10" spans="1:14" s="79" customFormat="1" ht="14.25" customHeight="1">
      <c r="A10" s="139" t="s">
        <v>876</v>
      </c>
      <c r="B10" s="109">
        <v>15</v>
      </c>
      <c r="C10" s="109">
        <v>15</v>
      </c>
      <c r="D10" s="109">
        <v>15</v>
      </c>
      <c r="E10" s="109">
        <v>15</v>
      </c>
      <c r="F10" s="109">
        <v>15</v>
      </c>
      <c r="G10" s="109">
        <v>15</v>
      </c>
      <c r="H10" s="109">
        <v>15</v>
      </c>
      <c r="I10" s="109">
        <v>15</v>
      </c>
      <c r="J10" s="109">
        <v>15</v>
      </c>
      <c r="K10" s="109">
        <v>15</v>
      </c>
      <c r="L10" s="109">
        <v>15</v>
      </c>
      <c r="M10" s="109">
        <v>15</v>
      </c>
      <c r="N10" s="157"/>
    </row>
    <row r="11" spans="1:14" s="79" customFormat="1" ht="14.25" customHeight="1">
      <c r="A11" s="139" t="s">
        <v>877</v>
      </c>
      <c r="B11" s="109">
        <v>1</v>
      </c>
      <c r="C11" s="109">
        <v>1</v>
      </c>
      <c r="D11" s="109">
        <v>1</v>
      </c>
      <c r="E11" s="109">
        <v>1</v>
      </c>
      <c r="F11" s="109">
        <v>1</v>
      </c>
      <c r="G11" s="109">
        <v>1</v>
      </c>
      <c r="H11" s="109">
        <v>1</v>
      </c>
      <c r="I11" s="109">
        <v>1</v>
      </c>
      <c r="J11" s="109">
        <v>1</v>
      </c>
      <c r="K11" s="109">
        <v>1</v>
      </c>
      <c r="L11" s="109">
        <v>1</v>
      </c>
      <c r="M11" s="109">
        <v>1</v>
      </c>
      <c r="N11" s="157"/>
    </row>
    <row r="12" spans="1:14" s="79" customFormat="1" ht="12.75">
      <c r="A12" s="139" t="s">
        <v>611</v>
      </c>
      <c r="B12" s="109">
        <v>1</v>
      </c>
      <c r="C12" s="109">
        <v>1</v>
      </c>
      <c r="D12" s="109">
        <v>1</v>
      </c>
      <c r="E12" s="109">
        <v>1</v>
      </c>
      <c r="F12" s="109">
        <v>1</v>
      </c>
      <c r="G12" s="109">
        <v>1</v>
      </c>
      <c r="H12" s="109">
        <v>1</v>
      </c>
      <c r="I12" s="109">
        <v>1</v>
      </c>
      <c r="J12" s="109">
        <v>1</v>
      </c>
      <c r="K12" s="109">
        <v>1</v>
      </c>
      <c r="L12" s="109">
        <v>1</v>
      </c>
      <c r="M12" s="109">
        <v>1</v>
      </c>
      <c r="N12" s="157"/>
    </row>
    <row r="13" spans="1:14" s="79" customFormat="1" ht="12.75" customHeight="1">
      <c r="A13" s="139" t="s">
        <v>609</v>
      </c>
      <c r="B13" s="109">
        <v>2</v>
      </c>
      <c r="C13" s="109">
        <v>2</v>
      </c>
      <c r="D13" s="109">
        <v>2</v>
      </c>
      <c r="E13" s="109">
        <v>2</v>
      </c>
      <c r="F13" s="109">
        <v>2</v>
      </c>
      <c r="G13" s="109">
        <v>2</v>
      </c>
      <c r="H13" s="109">
        <v>2</v>
      </c>
      <c r="I13" s="109">
        <v>2</v>
      </c>
      <c r="J13" s="109">
        <v>2</v>
      </c>
      <c r="K13" s="109">
        <v>2</v>
      </c>
      <c r="L13" s="109">
        <v>2</v>
      </c>
      <c r="M13" s="109">
        <v>2</v>
      </c>
      <c r="N13" s="157"/>
    </row>
    <row r="14" spans="1:14" s="79" customFormat="1" ht="12.75">
      <c r="A14" s="158" t="s">
        <v>610</v>
      </c>
      <c r="B14" s="109">
        <v>8</v>
      </c>
      <c r="C14" s="109">
        <v>8</v>
      </c>
      <c r="D14" s="109">
        <v>8</v>
      </c>
      <c r="E14" s="109">
        <v>8</v>
      </c>
      <c r="F14" s="109">
        <v>8</v>
      </c>
      <c r="G14" s="109">
        <v>8</v>
      </c>
      <c r="H14" s="109">
        <v>8</v>
      </c>
      <c r="I14" s="109">
        <v>8</v>
      </c>
      <c r="J14" s="109">
        <v>8</v>
      </c>
      <c r="K14" s="109">
        <v>8</v>
      </c>
      <c r="L14" s="109">
        <v>8</v>
      </c>
      <c r="M14" s="109">
        <v>8</v>
      </c>
      <c r="N14" s="157"/>
    </row>
    <row r="15" spans="1:14" s="79" customFormat="1" ht="15" customHeight="1">
      <c r="A15" s="139" t="s">
        <v>940</v>
      </c>
      <c r="B15" s="109">
        <v>1</v>
      </c>
      <c r="C15" s="109">
        <v>1</v>
      </c>
      <c r="D15" s="109">
        <v>1</v>
      </c>
      <c r="E15" s="109">
        <v>1</v>
      </c>
      <c r="F15" s="109">
        <v>1</v>
      </c>
      <c r="G15" s="109">
        <v>1</v>
      </c>
      <c r="H15" s="109">
        <v>1</v>
      </c>
      <c r="I15" s="109">
        <v>1</v>
      </c>
      <c r="J15" s="109">
        <v>1</v>
      </c>
      <c r="K15" s="109">
        <v>1</v>
      </c>
      <c r="L15" s="109">
        <v>1</v>
      </c>
      <c r="M15" s="109">
        <v>1</v>
      </c>
      <c r="N15" s="157"/>
    </row>
    <row r="16" spans="1:14" s="594" customFormat="1" ht="20.25" customHeight="1">
      <c r="A16" s="591" t="s">
        <v>745</v>
      </c>
      <c r="B16" s="592"/>
      <c r="C16" s="592"/>
      <c r="D16" s="592"/>
      <c r="E16" s="592"/>
      <c r="F16" s="592"/>
      <c r="G16" s="592"/>
      <c r="H16" s="592"/>
      <c r="I16" s="592"/>
      <c r="J16" s="592"/>
      <c r="K16" s="592"/>
      <c r="L16" s="592"/>
      <c r="M16" s="592"/>
      <c r="N16" s="593"/>
    </row>
    <row r="17" spans="1:14" s="79" customFormat="1" ht="12.75">
      <c r="A17" s="139" t="s">
        <v>746</v>
      </c>
      <c r="B17" s="109">
        <v>1</v>
      </c>
      <c r="C17" s="109">
        <v>1</v>
      </c>
      <c r="D17" s="109">
        <v>1</v>
      </c>
      <c r="E17" s="109">
        <v>1</v>
      </c>
      <c r="F17" s="109">
        <v>1</v>
      </c>
      <c r="G17" s="109">
        <v>1</v>
      </c>
      <c r="H17" s="109">
        <v>1</v>
      </c>
      <c r="I17" s="109">
        <v>1</v>
      </c>
      <c r="J17" s="109">
        <v>1</v>
      </c>
      <c r="K17" s="109">
        <v>1</v>
      </c>
      <c r="L17" s="109">
        <v>1</v>
      </c>
      <c r="M17" s="109">
        <v>1</v>
      </c>
      <c r="N17" s="157"/>
    </row>
    <row r="18" spans="1:14" s="79" customFormat="1" ht="12.75">
      <c r="A18" s="139" t="s">
        <v>747</v>
      </c>
      <c r="B18" s="109">
        <v>1</v>
      </c>
      <c r="C18" s="109">
        <v>1</v>
      </c>
      <c r="D18" s="109">
        <v>1</v>
      </c>
      <c r="E18" s="109">
        <v>1</v>
      </c>
      <c r="F18" s="109">
        <v>1</v>
      </c>
      <c r="G18" s="109">
        <v>1</v>
      </c>
      <c r="H18" s="109">
        <v>1</v>
      </c>
      <c r="I18" s="109">
        <v>1</v>
      </c>
      <c r="J18" s="109">
        <v>1</v>
      </c>
      <c r="K18" s="109">
        <v>1</v>
      </c>
      <c r="L18" s="109">
        <v>1</v>
      </c>
      <c r="M18" s="109">
        <v>1</v>
      </c>
      <c r="N18" s="157"/>
    </row>
    <row r="19" spans="1:14" s="79" customFormat="1" ht="12.75">
      <c r="A19" s="139" t="s">
        <v>748</v>
      </c>
      <c r="B19" s="109">
        <v>1</v>
      </c>
      <c r="C19" s="109">
        <v>1</v>
      </c>
      <c r="D19" s="109">
        <v>1</v>
      </c>
      <c r="E19" s="109">
        <v>1</v>
      </c>
      <c r="F19" s="109">
        <v>1</v>
      </c>
      <c r="G19" s="109">
        <v>1</v>
      </c>
      <c r="H19" s="109">
        <v>1</v>
      </c>
      <c r="I19" s="109">
        <v>1</v>
      </c>
      <c r="J19" s="109">
        <v>1</v>
      </c>
      <c r="K19" s="109">
        <v>1</v>
      </c>
      <c r="L19" s="109">
        <v>1</v>
      </c>
      <c r="M19" s="109">
        <v>1</v>
      </c>
      <c r="N19" s="157"/>
    </row>
    <row r="20" spans="1:14" s="594" customFormat="1" ht="20.25" customHeight="1">
      <c r="A20" s="591" t="s">
        <v>614</v>
      </c>
      <c r="B20" s="592"/>
      <c r="C20" s="592"/>
      <c r="D20" s="592"/>
      <c r="E20" s="592"/>
      <c r="F20" s="592"/>
      <c r="G20" s="592"/>
      <c r="H20" s="592"/>
      <c r="I20" s="592"/>
      <c r="J20" s="592"/>
      <c r="K20" s="592"/>
      <c r="L20" s="592"/>
      <c r="M20" s="592"/>
      <c r="N20" s="593"/>
    </row>
    <row r="21" spans="1:14" s="79" customFormat="1" ht="12.75">
      <c r="A21" s="139" t="s">
        <v>749</v>
      </c>
      <c r="B21" s="109">
        <v>1</v>
      </c>
      <c r="C21" s="109">
        <v>1</v>
      </c>
      <c r="D21" s="109">
        <v>1</v>
      </c>
      <c r="E21" s="109">
        <v>1</v>
      </c>
      <c r="F21" s="109">
        <v>1</v>
      </c>
      <c r="G21" s="109">
        <v>1</v>
      </c>
      <c r="H21" s="109">
        <v>1</v>
      </c>
      <c r="I21" s="109">
        <v>1</v>
      </c>
      <c r="J21" s="109">
        <v>1</v>
      </c>
      <c r="K21" s="109">
        <v>1</v>
      </c>
      <c r="L21" s="109">
        <v>1</v>
      </c>
      <c r="M21" s="109">
        <v>1</v>
      </c>
      <c r="N21" s="157"/>
    </row>
    <row r="22" spans="1:14" s="79" customFormat="1" ht="12.75">
      <c r="A22" s="139" t="s">
        <v>750</v>
      </c>
      <c r="B22" s="109">
        <v>1</v>
      </c>
      <c r="C22" s="109">
        <v>1</v>
      </c>
      <c r="D22" s="109">
        <v>1</v>
      </c>
      <c r="E22" s="109">
        <v>1</v>
      </c>
      <c r="F22" s="109">
        <v>1</v>
      </c>
      <c r="G22" s="109">
        <v>1</v>
      </c>
      <c r="H22" s="109">
        <v>1</v>
      </c>
      <c r="I22" s="109">
        <v>1</v>
      </c>
      <c r="J22" s="109">
        <v>1</v>
      </c>
      <c r="K22" s="109">
        <v>1</v>
      </c>
      <c r="L22" s="109">
        <v>1</v>
      </c>
      <c r="M22" s="109">
        <v>1</v>
      </c>
      <c r="N22" s="157"/>
    </row>
    <row r="23" spans="1:14" s="594" customFormat="1" ht="27" customHeight="1">
      <c r="A23" s="591" t="s">
        <v>575</v>
      </c>
      <c r="B23" s="592"/>
      <c r="C23" s="592"/>
      <c r="D23" s="592"/>
      <c r="E23" s="592"/>
      <c r="F23" s="592"/>
      <c r="G23" s="592"/>
      <c r="H23" s="592"/>
      <c r="I23" s="592"/>
      <c r="J23" s="592"/>
      <c r="K23" s="592"/>
      <c r="L23" s="592"/>
      <c r="M23" s="592"/>
      <c r="N23" s="593"/>
    </row>
    <row r="24" spans="1:14" s="79" customFormat="1" ht="12.75">
      <c r="A24" s="139" t="s">
        <v>612</v>
      </c>
      <c r="B24" s="109">
        <v>1</v>
      </c>
      <c r="C24" s="109">
        <v>1</v>
      </c>
      <c r="D24" s="109">
        <v>1</v>
      </c>
      <c r="E24" s="109">
        <v>1</v>
      </c>
      <c r="F24" s="109">
        <v>1</v>
      </c>
      <c r="G24" s="109">
        <v>1</v>
      </c>
      <c r="H24" s="109">
        <v>1</v>
      </c>
      <c r="I24" s="109">
        <v>1</v>
      </c>
      <c r="J24" s="109">
        <v>1</v>
      </c>
      <c r="K24" s="109">
        <v>1</v>
      </c>
      <c r="L24" s="109">
        <v>1</v>
      </c>
      <c r="M24" s="109">
        <v>1</v>
      </c>
      <c r="N24" s="157"/>
    </row>
    <row r="25" spans="1:14" s="79" customFormat="1" ht="12.75">
      <c r="A25" s="139" t="s">
        <v>941</v>
      </c>
      <c r="B25" s="109">
        <v>3</v>
      </c>
      <c r="C25" s="109">
        <v>3</v>
      </c>
      <c r="D25" s="109">
        <v>3</v>
      </c>
      <c r="E25" s="109">
        <v>3</v>
      </c>
      <c r="F25" s="109">
        <v>3</v>
      </c>
      <c r="G25" s="109">
        <v>3</v>
      </c>
      <c r="H25" s="109">
        <v>3</v>
      </c>
      <c r="I25" s="109">
        <v>4</v>
      </c>
      <c r="J25" s="109">
        <v>4</v>
      </c>
      <c r="K25" s="109">
        <v>4</v>
      </c>
      <c r="L25" s="109">
        <v>4</v>
      </c>
      <c r="M25" s="109">
        <v>4</v>
      </c>
      <c r="N25" s="157"/>
    </row>
    <row r="26" spans="1:14" s="79" customFormat="1" ht="12.75">
      <c r="A26" s="139" t="s">
        <v>942</v>
      </c>
      <c r="B26" s="109">
        <v>2</v>
      </c>
      <c r="C26" s="109">
        <v>2</v>
      </c>
      <c r="D26" s="109">
        <v>2</v>
      </c>
      <c r="E26" s="109">
        <v>2</v>
      </c>
      <c r="F26" s="109">
        <v>2</v>
      </c>
      <c r="G26" s="109">
        <v>2</v>
      </c>
      <c r="H26" s="109">
        <v>2</v>
      </c>
      <c r="I26" s="109">
        <v>2</v>
      </c>
      <c r="J26" s="109">
        <v>2</v>
      </c>
      <c r="K26" s="109">
        <v>2</v>
      </c>
      <c r="L26" s="109">
        <v>2</v>
      </c>
      <c r="M26" s="109">
        <v>2</v>
      </c>
      <c r="N26" s="157"/>
    </row>
    <row r="27" spans="1:14" s="594" customFormat="1" ht="29.25" customHeight="1">
      <c r="A27" s="591" t="s">
        <v>698</v>
      </c>
      <c r="B27" s="592"/>
      <c r="C27" s="592"/>
      <c r="D27" s="592"/>
      <c r="E27" s="592"/>
      <c r="F27" s="592"/>
      <c r="G27" s="592"/>
      <c r="H27" s="592"/>
      <c r="I27" s="592"/>
      <c r="J27" s="592"/>
      <c r="K27" s="592"/>
      <c r="L27" s="592"/>
      <c r="M27" s="592"/>
      <c r="N27" s="593"/>
    </row>
    <row r="28" spans="1:14" s="79" customFormat="1" ht="15" customHeight="1">
      <c r="A28" s="139" t="s">
        <v>612</v>
      </c>
      <c r="B28" s="109">
        <v>1</v>
      </c>
      <c r="C28" s="109">
        <v>1</v>
      </c>
      <c r="D28" s="109">
        <v>1</v>
      </c>
      <c r="E28" s="109">
        <v>1</v>
      </c>
      <c r="F28" s="109">
        <v>1</v>
      </c>
      <c r="G28" s="109">
        <v>1</v>
      </c>
      <c r="H28" s="109">
        <v>1</v>
      </c>
      <c r="I28" s="109">
        <v>1</v>
      </c>
      <c r="J28" s="109">
        <v>1</v>
      </c>
      <c r="K28" s="109">
        <v>1</v>
      </c>
      <c r="L28" s="109">
        <v>1</v>
      </c>
      <c r="M28" s="109">
        <v>1</v>
      </c>
      <c r="N28" s="157"/>
    </row>
    <row r="29" spans="1:14" s="79" customFormat="1" ht="15.75" customHeight="1">
      <c r="A29" s="139" t="s">
        <v>613</v>
      </c>
      <c r="B29" s="109">
        <v>2</v>
      </c>
      <c r="C29" s="109">
        <v>2</v>
      </c>
      <c r="D29" s="109">
        <v>2</v>
      </c>
      <c r="E29" s="109">
        <v>2</v>
      </c>
      <c r="F29" s="109">
        <v>2</v>
      </c>
      <c r="G29" s="109">
        <v>2</v>
      </c>
      <c r="H29" s="109">
        <v>2</v>
      </c>
      <c r="I29" s="109">
        <v>3</v>
      </c>
      <c r="J29" s="109">
        <v>3</v>
      </c>
      <c r="K29" s="109">
        <v>3</v>
      </c>
      <c r="L29" s="109">
        <v>3</v>
      </c>
      <c r="M29" s="109">
        <v>3</v>
      </c>
      <c r="N29" s="157"/>
    </row>
    <row r="30" spans="1:14" s="79" customFormat="1" ht="12.75">
      <c r="A30" s="139" t="s">
        <v>943</v>
      </c>
      <c r="B30" s="109">
        <v>0.5</v>
      </c>
      <c r="C30" s="109">
        <v>0.5</v>
      </c>
      <c r="D30" s="109">
        <v>0.5</v>
      </c>
      <c r="E30" s="109">
        <v>0.5</v>
      </c>
      <c r="F30" s="109">
        <v>0.5</v>
      </c>
      <c r="G30" s="109">
        <v>0.5</v>
      </c>
      <c r="H30" s="109">
        <v>0.5</v>
      </c>
      <c r="I30" s="109">
        <v>0.5</v>
      </c>
      <c r="J30" s="109">
        <v>0.5</v>
      </c>
      <c r="K30" s="109">
        <v>0.5</v>
      </c>
      <c r="L30" s="109">
        <v>0.5</v>
      </c>
      <c r="M30" s="109">
        <v>0.5</v>
      </c>
      <c r="N30" s="157"/>
    </row>
    <row r="31" spans="1:14" s="775" customFormat="1" ht="25.5">
      <c r="A31" s="461" t="s">
        <v>858</v>
      </c>
      <c r="B31" s="462">
        <v>2</v>
      </c>
      <c r="C31" s="462">
        <v>2</v>
      </c>
      <c r="D31" s="462">
        <v>2</v>
      </c>
      <c r="E31" s="462">
        <v>2</v>
      </c>
      <c r="F31" s="462">
        <v>2</v>
      </c>
      <c r="G31" s="462">
        <v>2</v>
      </c>
      <c r="H31" s="462">
        <v>2</v>
      </c>
      <c r="I31" s="462">
        <v>0</v>
      </c>
      <c r="J31" s="462">
        <v>0</v>
      </c>
      <c r="K31" s="462">
        <v>0</v>
      </c>
      <c r="L31" s="462">
        <v>0</v>
      </c>
      <c r="M31" s="462">
        <v>0</v>
      </c>
      <c r="N31" s="774"/>
    </row>
    <row r="32" spans="1:14" ht="25.5">
      <c r="A32" s="153" t="s">
        <v>855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/>
    </row>
    <row r="33" spans="1:14" ht="12.75">
      <c r="A33" s="138" t="s">
        <v>983</v>
      </c>
      <c r="B33" s="147">
        <v>2</v>
      </c>
      <c r="C33" s="147">
        <v>2</v>
      </c>
      <c r="D33" s="147">
        <v>2</v>
      </c>
      <c r="E33" s="147">
        <v>2</v>
      </c>
      <c r="F33" s="147">
        <v>2</v>
      </c>
      <c r="G33" s="147">
        <v>2</v>
      </c>
      <c r="H33" s="147">
        <v>2</v>
      </c>
      <c r="I33" s="147">
        <v>2</v>
      </c>
      <c r="J33" s="147">
        <v>2</v>
      </c>
      <c r="K33" s="147">
        <v>2</v>
      </c>
      <c r="L33" s="147">
        <v>2</v>
      </c>
      <c r="M33" s="147">
        <v>2</v>
      </c>
      <c r="N33"/>
    </row>
    <row r="34" spans="1:14" ht="12.75">
      <c r="A34" s="138" t="s">
        <v>986</v>
      </c>
      <c r="B34" s="147">
        <v>0.2</v>
      </c>
      <c r="C34" s="147">
        <v>0.2</v>
      </c>
      <c r="D34" s="147">
        <v>0.2</v>
      </c>
      <c r="E34" s="147">
        <v>0.2</v>
      </c>
      <c r="F34" s="147">
        <v>0.2</v>
      </c>
      <c r="G34" s="147">
        <v>0.2</v>
      </c>
      <c r="H34" s="147">
        <v>0.2</v>
      </c>
      <c r="I34" s="147">
        <v>0.2</v>
      </c>
      <c r="J34" s="147">
        <v>0.2</v>
      </c>
      <c r="K34" s="147">
        <v>0.2</v>
      </c>
      <c r="L34" s="147">
        <v>0.2</v>
      </c>
      <c r="M34" s="147">
        <v>0.2</v>
      </c>
      <c r="N34"/>
    </row>
    <row r="35" spans="1:17" ht="12.75">
      <c r="A35" s="138" t="s">
        <v>987</v>
      </c>
      <c r="B35" s="147">
        <v>0.05</v>
      </c>
      <c r="C35" s="147">
        <v>0.05</v>
      </c>
      <c r="D35" s="147">
        <v>0.05</v>
      </c>
      <c r="E35" s="147">
        <v>0.05</v>
      </c>
      <c r="F35" s="147">
        <v>0.05</v>
      </c>
      <c r="G35" s="147">
        <v>0.05</v>
      </c>
      <c r="H35" s="147">
        <v>0.05</v>
      </c>
      <c r="I35" s="147">
        <v>0.05</v>
      </c>
      <c r="J35" s="147">
        <v>0.05</v>
      </c>
      <c r="K35" s="147">
        <v>0.05</v>
      </c>
      <c r="L35" s="147">
        <v>0.05</v>
      </c>
      <c r="M35" s="147">
        <v>0.05</v>
      </c>
      <c r="N35"/>
      <c r="Q35">
        <f>SUM(M33:M41)</f>
        <v>3.8249999999999997</v>
      </c>
    </row>
    <row r="36" spans="1:14" ht="12.75">
      <c r="A36" s="138" t="s">
        <v>979</v>
      </c>
      <c r="B36" s="147">
        <v>0.15</v>
      </c>
      <c r="C36" s="147">
        <v>0.15</v>
      </c>
      <c r="D36" s="147">
        <v>0.15</v>
      </c>
      <c r="E36" s="147">
        <v>0.15</v>
      </c>
      <c r="F36" s="147">
        <v>0.15</v>
      </c>
      <c r="G36" s="147">
        <v>0.15</v>
      </c>
      <c r="H36" s="147">
        <v>0.15</v>
      </c>
      <c r="I36" s="147">
        <v>0.15</v>
      </c>
      <c r="J36" s="147">
        <v>0.15</v>
      </c>
      <c r="K36" s="147">
        <v>0.15</v>
      </c>
      <c r="L36" s="147">
        <v>0.15</v>
      </c>
      <c r="M36" s="147">
        <v>0.15</v>
      </c>
      <c r="N36"/>
    </row>
    <row r="37" spans="1:14" ht="12.75">
      <c r="A37" s="138" t="s">
        <v>980</v>
      </c>
      <c r="B37" s="147">
        <v>0.15</v>
      </c>
      <c r="C37" s="147">
        <v>0.15</v>
      </c>
      <c r="D37" s="147">
        <v>0.15</v>
      </c>
      <c r="E37" s="147">
        <v>0.15</v>
      </c>
      <c r="F37" s="147">
        <v>0.15</v>
      </c>
      <c r="G37" s="147">
        <v>0.15</v>
      </c>
      <c r="H37" s="147">
        <v>0.15</v>
      </c>
      <c r="I37" s="147">
        <v>0.15</v>
      </c>
      <c r="J37" s="147">
        <v>0.15</v>
      </c>
      <c r="K37" s="147">
        <v>0.15</v>
      </c>
      <c r="L37" s="147">
        <v>0.15</v>
      </c>
      <c r="M37" s="147">
        <v>0.15</v>
      </c>
      <c r="N37"/>
    </row>
    <row r="38" spans="1:14" ht="12.75">
      <c r="A38" s="138" t="s">
        <v>981</v>
      </c>
      <c r="B38" s="147">
        <v>0.5</v>
      </c>
      <c r="C38" s="147">
        <v>0.5</v>
      </c>
      <c r="D38" s="147">
        <v>0.5</v>
      </c>
      <c r="E38" s="147">
        <v>0.5</v>
      </c>
      <c r="F38" s="147">
        <v>0.5</v>
      </c>
      <c r="G38" s="147">
        <v>0.5</v>
      </c>
      <c r="H38" s="147">
        <v>0.5</v>
      </c>
      <c r="I38" s="147">
        <v>0.5</v>
      </c>
      <c r="J38" s="147">
        <v>0.5</v>
      </c>
      <c r="K38" s="147">
        <v>0.5</v>
      </c>
      <c r="L38" s="147">
        <v>0.5</v>
      </c>
      <c r="M38" s="147">
        <v>0.5</v>
      </c>
      <c r="N38"/>
    </row>
    <row r="39" spans="1:14" ht="12.75">
      <c r="A39" s="138" t="s">
        <v>982</v>
      </c>
      <c r="B39" s="147">
        <v>0.025</v>
      </c>
      <c r="C39" s="147">
        <v>0.025</v>
      </c>
      <c r="D39" s="147">
        <v>0.025</v>
      </c>
      <c r="E39" s="147">
        <v>0.025</v>
      </c>
      <c r="F39" s="147">
        <v>0.025</v>
      </c>
      <c r="G39" s="147">
        <v>0.025</v>
      </c>
      <c r="H39" s="147">
        <v>0.025</v>
      </c>
      <c r="I39" s="147">
        <v>0.025</v>
      </c>
      <c r="J39" s="147">
        <v>0.025</v>
      </c>
      <c r="K39" s="147">
        <v>0.025</v>
      </c>
      <c r="L39" s="147">
        <v>0.025</v>
      </c>
      <c r="M39" s="147">
        <v>0.025</v>
      </c>
      <c r="N39"/>
    </row>
    <row r="40" spans="1:14" ht="12.75">
      <c r="A40" s="138" t="s">
        <v>984</v>
      </c>
      <c r="B40" s="147">
        <v>0.25</v>
      </c>
      <c r="C40" s="147">
        <v>0.25</v>
      </c>
      <c r="D40" s="147">
        <v>0.25</v>
      </c>
      <c r="E40" s="147">
        <v>0.25</v>
      </c>
      <c r="F40" s="147">
        <v>0.25</v>
      </c>
      <c r="G40" s="147">
        <v>0.25</v>
      </c>
      <c r="H40" s="147">
        <v>0.25</v>
      </c>
      <c r="I40" s="147">
        <v>0.25</v>
      </c>
      <c r="J40" s="147">
        <v>0.25</v>
      </c>
      <c r="K40" s="147">
        <v>0.25</v>
      </c>
      <c r="L40" s="147">
        <v>0.25</v>
      </c>
      <c r="M40" s="147">
        <v>0.25</v>
      </c>
      <c r="N40"/>
    </row>
    <row r="41" spans="1:14" ht="12.75">
      <c r="A41" s="138" t="s">
        <v>985</v>
      </c>
      <c r="B41" s="147">
        <v>0.5</v>
      </c>
      <c r="C41" s="147">
        <v>0.5</v>
      </c>
      <c r="D41" s="147">
        <v>0.5</v>
      </c>
      <c r="E41" s="147">
        <v>0.5</v>
      </c>
      <c r="F41" s="147">
        <v>0.5</v>
      </c>
      <c r="G41" s="147">
        <v>0.5</v>
      </c>
      <c r="H41" s="147">
        <v>0.5</v>
      </c>
      <c r="I41" s="147">
        <v>0.5</v>
      </c>
      <c r="J41" s="147">
        <v>0.5</v>
      </c>
      <c r="K41" s="147">
        <v>0.5</v>
      </c>
      <c r="L41" s="147">
        <v>0.5</v>
      </c>
      <c r="M41" s="147">
        <v>0.5</v>
      </c>
      <c r="N41"/>
    </row>
    <row r="42" spans="1:14" s="132" customFormat="1" ht="25.5">
      <c r="A42" s="137" t="s">
        <v>771</v>
      </c>
      <c r="B42" s="131">
        <f aca="true" t="shared" si="0" ref="B42:M42">SUM(B10:B41)</f>
        <v>48.324999999999996</v>
      </c>
      <c r="C42" s="131">
        <f t="shared" si="0"/>
        <v>48.324999999999996</v>
      </c>
      <c r="D42" s="131">
        <f t="shared" si="0"/>
        <v>48.324999999999996</v>
      </c>
      <c r="E42" s="131">
        <f t="shared" si="0"/>
        <v>48.324999999999996</v>
      </c>
      <c r="F42" s="131">
        <f t="shared" si="0"/>
        <v>48.324999999999996</v>
      </c>
      <c r="G42" s="131">
        <f t="shared" si="0"/>
        <v>48.324999999999996</v>
      </c>
      <c r="H42" s="131">
        <f t="shared" si="0"/>
        <v>48.324999999999996</v>
      </c>
      <c r="I42" s="131">
        <f t="shared" si="0"/>
        <v>48.324999999999996</v>
      </c>
      <c r="J42" s="131">
        <f t="shared" si="0"/>
        <v>48.324999999999996</v>
      </c>
      <c r="K42" s="131">
        <f t="shared" si="0"/>
        <v>48.324999999999996</v>
      </c>
      <c r="L42" s="131">
        <f t="shared" si="0"/>
        <v>48.324999999999996</v>
      </c>
      <c r="M42" s="131">
        <f t="shared" si="0"/>
        <v>48.324999999999996</v>
      </c>
      <c r="N42" s="159"/>
    </row>
    <row r="43" spans="1:14" s="79" customFormat="1" ht="14.25" customHeight="1">
      <c r="A43" s="136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57"/>
    </row>
    <row r="44" spans="1:14" s="80" customFormat="1" ht="22.5" customHeight="1">
      <c r="A44" s="152" t="s">
        <v>373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11"/>
    </row>
    <row r="45" spans="1:14" s="79" customFormat="1" ht="12.75">
      <c r="A45" s="139" t="s">
        <v>421</v>
      </c>
      <c r="B45" s="109">
        <v>19</v>
      </c>
      <c r="C45" s="109">
        <v>19</v>
      </c>
      <c r="D45" s="109">
        <v>20</v>
      </c>
      <c r="E45" s="109">
        <v>20</v>
      </c>
      <c r="F45" s="109">
        <v>20</v>
      </c>
      <c r="G45" s="109">
        <v>20</v>
      </c>
      <c r="H45" s="109">
        <v>21</v>
      </c>
      <c r="I45" s="109">
        <v>21</v>
      </c>
      <c r="J45" s="109">
        <v>21</v>
      </c>
      <c r="K45" s="109">
        <v>21</v>
      </c>
      <c r="L45" s="109">
        <v>21</v>
      </c>
      <c r="M45" s="109">
        <v>20</v>
      </c>
      <c r="N45" s="157"/>
    </row>
    <row r="46" spans="1:14" s="79" customFormat="1" ht="12.75">
      <c r="A46" s="139" t="s">
        <v>751</v>
      </c>
      <c r="B46" s="109">
        <v>1</v>
      </c>
      <c r="C46" s="109">
        <v>1</v>
      </c>
      <c r="D46" s="109">
        <v>1</v>
      </c>
      <c r="E46" s="109">
        <v>1</v>
      </c>
      <c r="F46" s="109">
        <v>1</v>
      </c>
      <c r="G46" s="109">
        <v>1</v>
      </c>
      <c r="H46" s="109">
        <v>1</v>
      </c>
      <c r="I46" s="109">
        <v>1</v>
      </c>
      <c r="J46" s="109">
        <v>1</v>
      </c>
      <c r="K46" s="109">
        <v>1</v>
      </c>
      <c r="L46" s="109">
        <v>1</v>
      </c>
      <c r="M46" s="109">
        <v>1</v>
      </c>
      <c r="N46" s="157"/>
    </row>
    <row r="47" spans="1:14" s="80" customFormat="1" ht="21" customHeight="1">
      <c r="A47" s="137" t="s">
        <v>490</v>
      </c>
      <c r="B47" s="131">
        <f>SUM(B45:B46)</f>
        <v>20</v>
      </c>
      <c r="C47" s="131">
        <f aca="true" t="shared" si="1" ref="C47:M47">SUM(C45:C46)</f>
        <v>20</v>
      </c>
      <c r="D47" s="131">
        <f t="shared" si="1"/>
        <v>21</v>
      </c>
      <c r="E47" s="131">
        <f t="shared" si="1"/>
        <v>21</v>
      </c>
      <c r="F47" s="131">
        <f t="shared" si="1"/>
        <v>21</v>
      </c>
      <c r="G47" s="131">
        <f t="shared" si="1"/>
        <v>21</v>
      </c>
      <c r="H47" s="131">
        <f t="shared" si="1"/>
        <v>22</v>
      </c>
      <c r="I47" s="131">
        <f t="shared" si="1"/>
        <v>22</v>
      </c>
      <c r="J47" s="131">
        <f t="shared" si="1"/>
        <v>22</v>
      </c>
      <c r="K47" s="131">
        <f t="shared" si="1"/>
        <v>22</v>
      </c>
      <c r="L47" s="131">
        <f t="shared" si="1"/>
        <v>22</v>
      </c>
      <c r="M47" s="131">
        <f t="shared" si="1"/>
        <v>21</v>
      </c>
      <c r="N47" s="111"/>
    </row>
    <row r="48" spans="1:13" s="111" customFormat="1" ht="14.25" customHeight="1">
      <c r="A48" s="14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</row>
    <row r="49" spans="1:14" s="80" customFormat="1" ht="22.5" customHeight="1">
      <c r="A49" s="152" t="s">
        <v>443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11"/>
    </row>
    <row r="50" spans="1:14" s="156" customFormat="1" ht="22.5" customHeight="1">
      <c r="A50" s="153" t="s">
        <v>752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5"/>
    </row>
    <row r="51" spans="1:14" s="79" customFormat="1" ht="12.75">
      <c r="A51" s="139" t="s">
        <v>615</v>
      </c>
      <c r="B51" s="109">
        <v>1</v>
      </c>
      <c r="C51" s="109">
        <v>1</v>
      </c>
      <c r="D51" s="109">
        <v>1</v>
      </c>
      <c r="E51" s="109">
        <v>1</v>
      </c>
      <c r="F51" s="109">
        <v>1</v>
      </c>
      <c r="G51" s="109">
        <v>1</v>
      </c>
      <c r="H51" s="109">
        <v>1</v>
      </c>
      <c r="I51" s="109">
        <v>1</v>
      </c>
      <c r="J51" s="109">
        <v>1</v>
      </c>
      <c r="K51" s="109">
        <v>1</v>
      </c>
      <c r="L51" s="109">
        <v>1</v>
      </c>
      <c r="M51" s="109">
        <v>1</v>
      </c>
      <c r="N51" s="157"/>
    </row>
    <row r="52" spans="1:14" s="79" customFormat="1" ht="12.75">
      <c r="A52" s="141" t="s">
        <v>616</v>
      </c>
      <c r="B52" s="109">
        <v>1</v>
      </c>
      <c r="C52" s="109">
        <v>1</v>
      </c>
      <c r="D52" s="109">
        <v>1</v>
      </c>
      <c r="E52" s="109">
        <v>1</v>
      </c>
      <c r="F52" s="109">
        <v>1</v>
      </c>
      <c r="G52" s="109">
        <v>1</v>
      </c>
      <c r="H52" s="109">
        <v>1</v>
      </c>
      <c r="I52" s="109">
        <v>1</v>
      </c>
      <c r="J52" s="109">
        <v>1</v>
      </c>
      <c r="K52" s="109">
        <v>1</v>
      </c>
      <c r="L52" s="109">
        <v>1</v>
      </c>
      <c r="M52" s="109">
        <v>1</v>
      </c>
      <c r="N52" s="157"/>
    </row>
    <row r="53" spans="1:14" s="156" customFormat="1" ht="22.5" customHeight="1">
      <c r="A53" s="153" t="s">
        <v>756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5"/>
    </row>
    <row r="54" spans="1:14" s="79" customFormat="1" ht="15" customHeight="1">
      <c r="A54" s="139" t="s">
        <v>791</v>
      </c>
      <c r="B54" s="109">
        <v>1</v>
      </c>
      <c r="C54" s="109">
        <v>1</v>
      </c>
      <c r="D54" s="109">
        <v>1</v>
      </c>
      <c r="E54" s="109">
        <v>1</v>
      </c>
      <c r="F54" s="109">
        <v>1</v>
      </c>
      <c r="G54" s="109">
        <v>1</v>
      </c>
      <c r="H54" s="109">
        <v>1</v>
      </c>
      <c r="I54" s="109">
        <v>1</v>
      </c>
      <c r="J54" s="109">
        <v>1</v>
      </c>
      <c r="K54" s="109">
        <v>1</v>
      </c>
      <c r="L54" s="109">
        <v>1</v>
      </c>
      <c r="M54" s="109">
        <v>1</v>
      </c>
      <c r="N54" s="157"/>
    </row>
    <row r="55" spans="1:14" s="156" customFormat="1" ht="22.5" customHeight="1">
      <c r="A55" s="153" t="s">
        <v>753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5"/>
    </row>
    <row r="56" spans="1:14" s="79" customFormat="1" ht="12.75">
      <c r="A56" s="139" t="s">
        <v>754</v>
      </c>
      <c r="B56" s="109">
        <v>1</v>
      </c>
      <c r="C56" s="109">
        <v>1</v>
      </c>
      <c r="D56" s="109">
        <v>1</v>
      </c>
      <c r="E56" s="109">
        <v>1</v>
      </c>
      <c r="F56" s="109">
        <v>1</v>
      </c>
      <c r="G56" s="109">
        <v>1</v>
      </c>
      <c r="H56" s="109">
        <v>1</v>
      </c>
      <c r="I56" s="109">
        <v>1</v>
      </c>
      <c r="J56" s="109">
        <v>1</v>
      </c>
      <c r="K56" s="109">
        <v>1</v>
      </c>
      <c r="L56" s="109">
        <v>1</v>
      </c>
      <c r="M56" s="109">
        <v>1</v>
      </c>
      <c r="N56" s="157"/>
    </row>
    <row r="57" spans="1:14" s="79" customFormat="1" ht="12.75">
      <c r="A57" s="139" t="s">
        <v>755</v>
      </c>
      <c r="B57" s="109">
        <v>1</v>
      </c>
      <c r="C57" s="109">
        <v>1</v>
      </c>
      <c r="D57" s="109">
        <v>1</v>
      </c>
      <c r="E57" s="109">
        <v>1</v>
      </c>
      <c r="F57" s="109">
        <v>1</v>
      </c>
      <c r="G57" s="109">
        <v>1</v>
      </c>
      <c r="H57" s="109">
        <v>1</v>
      </c>
      <c r="I57" s="109">
        <v>1</v>
      </c>
      <c r="J57" s="109">
        <v>1</v>
      </c>
      <c r="K57" s="109">
        <v>1</v>
      </c>
      <c r="L57" s="109">
        <v>1</v>
      </c>
      <c r="M57" s="109">
        <v>1</v>
      </c>
      <c r="N57" s="157"/>
    </row>
    <row r="58" spans="1:14" s="79" customFormat="1" ht="12.75">
      <c r="A58" s="139" t="s">
        <v>944</v>
      </c>
      <c r="B58" s="109">
        <v>1</v>
      </c>
      <c r="C58" s="109">
        <v>1</v>
      </c>
      <c r="D58" s="109">
        <v>1</v>
      </c>
      <c r="E58" s="109">
        <v>1</v>
      </c>
      <c r="F58" s="109">
        <v>1</v>
      </c>
      <c r="G58" s="109">
        <v>1</v>
      </c>
      <c r="H58" s="109">
        <v>1</v>
      </c>
      <c r="I58" s="109">
        <v>1</v>
      </c>
      <c r="J58" s="109">
        <v>1</v>
      </c>
      <c r="K58" s="109">
        <v>1</v>
      </c>
      <c r="L58" s="109">
        <v>1</v>
      </c>
      <c r="M58" s="109">
        <v>1</v>
      </c>
      <c r="N58" s="157"/>
    </row>
    <row r="59" spans="1:14" s="156" customFormat="1" ht="22.5" customHeight="1">
      <c r="A59" s="153" t="s">
        <v>361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5"/>
    </row>
    <row r="60" spans="1:14" s="79" customFormat="1" ht="12.75">
      <c r="A60" s="138" t="s">
        <v>362</v>
      </c>
      <c r="B60" s="147">
        <v>5</v>
      </c>
      <c r="C60" s="147">
        <v>5</v>
      </c>
      <c r="D60" s="147">
        <v>5</v>
      </c>
      <c r="E60" s="147">
        <v>5</v>
      </c>
      <c r="F60" s="147">
        <v>5</v>
      </c>
      <c r="G60" s="147">
        <v>5</v>
      </c>
      <c r="H60" s="109">
        <v>5</v>
      </c>
      <c r="I60" s="109">
        <v>5</v>
      </c>
      <c r="J60" s="109">
        <v>5</v>
      </c>
      <c r="K60" s="109">
        <v>5</v>
      </c>
      <c r="L60" s="109">
        <v>5</v>
      </c>
      <c r="M60" s="109">
        <v>5</v>
      </c>
      <c r="N60" s="157"/>
    </row>
    <row r="61" spans="1:14" ht="25.5">
      <c r="A61" s="153" t="s">
        <v>851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/>
    </row>
    <row r="62" spans="1:14" ht="12.75">
      <c r="A62" s="139" t="s">
        <v>945</v>
      </c>
      <c r="B62" s="147">
        <v>0.375</v>
      </c>
      <c r="C62" s="147">
        <v>0.375</v>
      </c>
      <c r="D62" s="147">
        <v>0.375</v>
      </c>
      <c r="E62" s="147">
        <v>0.375</v>
      </c>
      <c r="F62" s="147">
        <v>0.375</v>
      </c>
      <c r="G62" s="147">
        <v>0.375</v>
      </c>
      <c r="H62" s="147">
        <v>0.375</v>
      </c>
      <c r="I62" s="147">
        <v>0.375</v>
      </c>
      <c r="J62" s="147">
        <v>0.375</v>
      </c>
      <c r="K62" s="147">
        <v>0.375</v>
      </c>
      <c r="L62" s="147">
        <v>0.375</v>
      </c>
      <c r="M62" s="147">
        <v>0.375</v>
      </c>
      <c r="N62"/>
    </row>
    <row r="63" spans="1:14" ht="12.75">
      <c r="A63" s="139" t="s">
        <v>946</v>
      </c>
      <c r="B63" s="147">
        <v>0.375</v>
      </c>
      <c r="C63" s="147">
        <v>0.375</v>
      </c>
      <c r="D63" s="147">
        <v>0.375</v>
      </c>
      <c r="E63" s="147">
        <v>0.375</v>
      </c>
      <c r="F63" s="147">
        <v>0.375</v>
      </c>
      <c r="G63" s="147">
        <v>0.375</v>
      </c>
      <c r="H63" s="147">
        <v>0.375</v>
      </c>
      <c r="I63" s="147">
        <v>0.375</v>
      </c>
      <c r="J63" s="147">
        <v>0.375</v>
      </c>
      <c r="K63" s="147">
        <v>0.375</v>
      </c>
      <c r="L63" s="147">
        <v>0.375</v>
      </c>
      <c r="M63" s="147">
        <v>0.375</v>
      </c>
      <c r="N63"/>
    </row>
    <row r="64" spans="1:14" ht="12.75">
      <c r="A64" s="139" t="s">
        <v>612</v>
      </c>
      <c r="B64" s="147">
        <v>1</v>
      </c>
      <c r="C64" s="147">
        <v>1</v>
      </c>
      <c r="D64" s="147">
        <v>1</v>
      </c>
      <c r="E64" s="147">
        <v>1</v>
      </c>
      <c r="F64" s="147">
        <v>1</v>
      </c>
      <c r="G64" s="147">
        <v>1</v>
      </c>
      <c r="H64" s="147">
        <v>1</v>
      </c>
      <c r="I64" s="147">
        <v>1</v>
      </c>
      <c r="J64" s="147">
        <v>1</v>
      </c>
      <c r="K64" s="147">
        <v>1</v>
      </c>
      <c r="L64" s="147">
        <v>1</v>
      </c>
      <c r="M64" s="147">
        <v>1</v>
      </c>
      <c r="N64"/>
    </row>
    <row r="65" spans="1:14" ht="12.75">
      <c r="A65" s="139" t="s">
        <v>947</v>
      </c>
      <c r="B65" s="147">
        <v>0.5</v>
      </c>
      <c r="C65" s="147">
        <v>0.5</v>
      </c>
      <c r="D65" s="147">
        <v>0.5</v>
      </c>
      <c r="E65" s="147">
        <v>0.5</v>
      </c>
      <c r="F65" s="147">
        <v>0.5</v>
      </c>
      <c r="G65" s="147">
        <v>0.5</v>
      </c>
      <c r="H65" s="147">
        <v>0.5</v>
      </c>
      <c r="I65" s="147">
        <v>0.5</v>
      </c>
      <c r="J65" s="147">
        <v>0.5</v>
      </c>
      <c r="K65" s="147">
        <v>0.5</v>
      </c>
      <c r="L65" s="147">
        <v>0.5</v>
      </c>
      <c r="M65" s="147">
        <v>0.5</v>
      </c>
      <c r="N65"/>
    </row>
    <row r="66" spans="1:14" ht="12.75">
      <c r="A66" s="139" t="s">
        <v>881</v>
      </c>
      <c r="B66" s="147">
        <v>1</v>
      </c>
      <c r="C66" s="147">
        <v>1</v>
      </c>
      <c r="D66" s="147">
        <v>1</v>
      </c>
      <c r="E66" s="147">
        <v>1</v>
      </c>
      <c r="F66" s="147">
        <v>1</v>
      </c>
      <c r="G66" s="147">
        <v>1</v>
      </c>
      <c r="H66" s="147">
        <v>1</v>
      </c>
      <c r="I66" s="147">
        <v>1</v>
      </c>
      <c r="J66" s="147">
        <v>1</v>
      </c>
      <c r="K66" s="147">
        <v>1</v>
      </c>
      <c r="L66" s="147">
        <v>1</v>
      </c>
      <c r="M66" s="147">
        <v>1</v>
      </c>
      <c r="N66"/>
    </row>
    <row r="67" spans="1:14" ht="12.75">
      <c r="A67" s="139" t="s">
        <v>722</v>
      </c>
      <c r="B67" s="147">
        <v>2</v>
      </c>
      <c r="C67" s="147">
        <v>2</v>
      </c>
      <c r="D67" s="147">
        <v>2</v>
      </c>
      <c r="E67" s="147">
        <v>2</v>
      </c>
      <c r="F67" s="147">
        <v>2</v>
      </c>
      <c r="G67" s="147">
        <v>2</v>
      </c>
      <c r="H67" s="147">
        <v>2</v>
      </c>
      <c r="I67" s="147">
        <v>2</v>
      </c>
      <c r="J67" s="147">
        <v>2</v>
      </c>
      <c r="K67" s="147">
        <v>2</v>
      </c>
      <c r="L67" s="147">
        <v>2</v>
      </c>
      <c r="M67" s="147">
        <v>2</v>
      </c>
      <c r="N67"/>
    </row>
    <row r="68" spans="1:14" ht="12.75">
      <c r="A68" s="139" t="s">
        <v>859</v>
      </c>
      <c r="B68" s="147">
        <v>1</v>
      </c>
      <c r="C68" s="147">
        <v>1</v>
      </c>
      <c r="D68" s="147">
        <v>1</v>
      </c>
      <c r="E68" s="147">
        <v>1</v>
      </c>
      <c r="F68" s="147">
        <v>1</v>
      </c>
      <c r="G68" s="147">
        <v>1</v>
      </c>
      <c r="H68" s="147">
        <v>1</v>
      </c>
      <c r="I68" s="147">
        <v>1</v>
      </c>
      <c r="J68" s="147">
        <v>1</v>
      </c>
      <c r="K68" s="147">
        <v>1</v>
      </c>
      <c r="L68" s="147">
        <v>1</v>
      </c>
      <c r="M68" s="147">
        <v>1</v>
      </c>
      <c r="N68"/>
    </row>
    <row r="69" spans="1:14" ht="15.75" customHeight="1">
      <c r="A69" s="139" t="s">
        <v>852</v>
      </c>
      <c r="B69" s="147">
        <v>0.5</v>
      </c>
      <c r="C69" s="147">
        <v>0.5</v>
      </c>
      <c r="D69" s="147">
        <v>0.5</v>
      </c>
      <c r="E69" s="147">
        <v>0.5</v>
      </c>
      <c r="F69" s="147">
        <v>0.5</v>
      </c>
      <c r="G69" s="147">
        <v>0.5</v>
      </c>
      <c r="H69" s="147">
        <v>0.5</v>
      </c>
      <c r="I69" s="147">
        <v>0.5</v>
      </c>
      <c r="J69" s="147">
        <v>0.5</v>
      </c>
      <c r="K69" s="147">
        <v>0.5</v>
      </c>
      <c r="L69" s="147">
        <v>0.5</v>
      </c>
      <c r="M69" s="147">
        <v>0.5</v>
      </c>
      <c r="N69"/>
    </row>
    <row r="70" spans="1:14" ht="25.5">
      <c r="A70" s="153" t="s">
        <v>853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/>
    </row>
    <row r="71" spans="1:14" ht="12.75">
      <c r="A71" s="138" t="s">
        <v>612</v>
      </c>
      <c r="B71" s="147">
        <v>1</v>
      </c>
      <c r="C71" s="147">
        <v>1</v>
      </c>
      <c r="D71" s="147">
        <v>1</v>
      </c>
      <c r="E71" s="147">
        <v>1</v>
      </c>
      <c r="F71" s="147">
        <v>1</v>
      </c>
      <c r="G71" s="147">
        <v>1</v>
      </c>
      <c r="H71" s="147">
        <v>1</v>
      </c>
      <c r="I71" s="147">
        <v>0</v>
      </c>
      <c r="J71" s="147">
        <v>0</v>
      </c>
      <c r="K71" s="147">
        <v>0</v>
      </c>
      <c r="L71" s="147">
        <v>0</v>
      </c>
      <c r="M71" s="147">
        <v>0</v>
      </c>
      <c r="N71"/>
    </row>
    <row r="72" spans="1:14" ht="12.75">
      <c r="A72" s="138" t="s">
        <v>948</v>
      </c>
      <c r="B72" s="147">
        <v>1</v>
      </c>
      <c r="C72" s="147">
        <v>1</v>
      </c>
      <c r="D72" s="147">
        <v>1</v>
      </c>
      <c r="E72" s="147">
        <v>1</v>
      </c>
      <c r="F72" s="147">
        <v>1</v>
      </c>
      <c r="G72" s="147">
        <v>1</v>
      </c>
      <c r="H72" s="147">
        <v>1</v>
      </c>
      <c r="I72" s="147">
        <v>1</v>
      </c>
      <c r="J72" s="147">
        <v>1</v>
      </c>
      <c r="K72" s="147">
        <v>1</v>
      </c>
      <c r="L72" s="147">
        <v>1</v>
      </c>
      <c r="M72" s="147">
        <v>1</v>
      </c>
      <c r="N72"/>
    </row>
    <row r="73" spans="1:14" ht="12.75">
      <c r="A73" s="138" t="s">
        <v>949</v>
      </c>
      <c r="B73" s="147">
        <v>0.5</v>
      </c>
      <c r="C73" s="147">
        <v>0.5</v>
      </c>
      <c r="D73" s="147">
        <v>0.5</v>
      </c>
      <c r="E73" s="147">
        <v>0.5</v>
      </c>
      <c r="F73" s="147">
        <v>0.5</v>
      </c>
      <c r="G73" s="147">
        <v>0.5</v>
      </c>
      <c r="H73" s="147">
        <v>0.5</v>
      </c>
      <c r="I73" s="147">
        <v>0</v>
      </c>
      <c r="J73" s="147">
        <v>0</v>
      </c>
      <c r="K73" s="147">
        <v>0</v>
      </c>
      <c r="L73" s="147">
        <v>0</v>
      </c>
      <c r="M73" s="147">
        <v>0</v>
      </c>
      <c r="N73"/>
    </row>
    <row r="74" spans="1:14" ht="12.75">
      <c r="A74" s="138" t="s">
        <v>950</v>
      </c>
      <c r="B74" s="147">
        <v>2.25</v>
      </c>
      <c r="C74" s="147">
        <v>2.25</v>
      </c>
      <c r="D74" s="147">
        <v>2.25</v>
      </c>
      <c r="E74" s="147">
        <v>2.25</v>
      </c>
      <c r="F74" s="147">
        <v>2.25</v>
      </c>
      <c r="G74" s="147">
        <v>2.25</v>
      </c>
      <c r="H74" s="147">
        <v>2.25</v>
      </c>
      <c r="I74" s="147">
        <v>0</v>
      </c>
      <c r="J74" s="147">
        <v>0</v>
      </c>
      <c r="K74" s="147">
        <v>0</v>
      </c>
      <c r="L74" s="147">
        <v>0</v>
      </c>
      <c r="M74" s="147">
        <v>0</v>
      </c>
      <c r="N74"/>
    </row>
    <row r="75" spans="1:13" s="730" customFormat="1" ht="12.75">
      <c r="A75" s="728" t="s">
        <v>951</v>
      </c>
      <c r="B75" s="729">
        <v>1</v>
      </c>
      <c r="C75" s="729">
        <v>1</v>
      </c>
      <c r="D75" s="729">
        <v>1</v>
      </c>
      <c r="E75" s="729">
        <v>1</v>
      </c>
      <c r="F75" s="729">
        <v>1</v>
      </c>
      <c r="G75" s="729">
        <v>1</v>
      </c>
      <c r="H75" s="729">
        <v>1</v>
      </c>
      <c r="I75" s="729">
        <v>1</v>
      </c>
      <c r="J75" s="729">
        <v>1</v>
      </c>
      <c r="K75" s="729">
        <v>1</v>
      </c>
      <c r="L75" s="729">
        <v>1</v>
      </c>
      <c r="M75" s="729">
        <v>1</v>
      </c>
    </row>
    <row r="76" spans="1:13" s="730" customFormat="1" ht="12.75">
      <c r="A76" s="728" t="s">
        <v>952</v>
      </c>
      <c r="B76" s="729">
        <v>2</v>
      </c>
      <c r="C76" s="729">
        <v>2</v>
      </c>
      <c r="D76" s="729">
        <v>2</v>
      </c>
      <c r="E76" s="729">
        <v>2</v>
      </c>
      <c r="F76" s="729">
        <v>2</v>
      </c>
      <c r="G76" s="729">
        <v>2</v>
      </c>
      <c r="H76" s="729">
        <v>2</v>
      </c>
      <c r="I76" s="147">
        <v>0</v>
      </c>
      <c r="J76" s="147">
        <v>0</v>
      </c>
      <c r="K76" s="147">
        <v>0</v>
      </c>
      <c r="L76" s="147">
        <v>0</v>
      </c>
      <c r="M76" s="147">
        <v>0</v>
      </c>
    </row>
    <row r="77" spans="1:14" ht="12.75">
      <c r="A77" s="153" t="s">
        <v>854</v>
      </c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/>
    </row>
    <row r="78" spans="1:13" s="719" customFormat="1" ht="12.75">
      <c r="A78" s="138" t="s">
        <v>953</v>
      </c>
      <c r="B78" s="147">
        <v>1</v>
      </c>
      <c r="C78" s="147">
        <v>1</v>
      </c>
      <c r="D78" s="147">
        <v>1</v>
      </c>
      <c r="E78" s="147">
        <v>1</v>
      </c>
      <c r="F78" s="147">
        <v>1</v>
      </c>
      <c r="G78" s="147">
        <v>1</v>
      </c>
      <c r="H78" s="147">
        <v>1</v>
      </c>
      <c r="I78" s="147">
        <v>1</v>
      </c>
      <c r="J78" s="147">
        <v>1</v>
      </c>
      <c r="K78" s="147">
        <v>1</v>
      </c>
      <c r="L78" s="147">
        <v>1</v>
      </c>
      <c r="M78" s="147">
        <v>1</v>
      </c>
    </row>
    <row r="79" spans="1:14" ht="25.5">
      <c r="A79" s="153" t="s">
        <v>855</v>
      </c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/>
    </row>
    <row r="80" spans="1:13" s="719" customFormat="1" ht="12.75">
      <c r="A80" s="138" t="s">
        <v>955</v>
      </c>
      <c r="B80" s="147">
        <v>0.25</v>
      </c>
      <c r="C80" s="147">
        <v>0.25</v>
      </c>
      <c r="D80" s="147">
        <v>0.25</v>
      </c>
      <c r="E80" s="147">
        <v>0.25</v>
      </c>
      <c r="F80" s="147">
        <v>0.25</v>
      </c>
      <c r="G80" s="147">
        <v>0.25</v>
      </c>
      <c r="H80" s="147">
        <v>0.25</v>
      </c>
      <c r="I80" s="147">
        <v>0.25</v>
      </c>
      <c r="J80" s="147">
        <v>0.25</v>
      </c>
      <c r="K80" s="147">
        <v>0.25</v>
      </c>
      <c r="L80" s="147">
        <v>0.25</v>
      </c>
      <c r="M80" s="147">
        <v>0.25</v>
      </c>
    </row>
    <row r="81" spans="1:13" s="719" customFormat="1" ht="12.75">
      <c r="A81" s="138" t="s">
        <v>954</v>
      </c>
      <c r="B81" s="147">
        <v>0.5</v>
      </c>
      <c r="C81" s="147">
        <v>0.5</v>
      </c>
      <c r="D81" s="147">
        <v>0.5</v>
      </c>
      <c r="E81" s="147">
        <v>0.5</v>
      </c>
      <c r="F81" s="147">
        <v>0.5</v>
      </c>
      <c r="G81" s="147">
        <v>0.5</v>
      </c>
      <c r="H81" s="147">
        <v>0.5</v>
      </c>
      <c r="I81" s="147">
        <v>0.5</v>
      </c>
      <c r="J81" s="147">
        <v>0.5</v>
      </c>
      <c r="K81" s="147">
        <v>0.5</v>
      </c>
      <c r="L81" s="147">
        <v>0.5</v>
      </c>
      <c r="M81" s="147">
        <v>0.5</v>
      </c>
    </row>
    <row r="82" spans="1:14" s="80" customFormat="1" ht="21" customHeight="1">
      <c r="A82" s="137" t="s">
        <v>386</v>
      </c>
      <c r="B82" s="131">
        <f aca="true" t="shared" si="2" ref="B82:M82">SUM(B51:B81)</f>
        <v>27.25</v>
      </c>
      <c r="C82" s="131">
        <f t="shared" si="2"/>
        <v>27.25</v>
      </c>
      <c r="D82" s="131">
        <f t="shared" si="2"/>
        <v>27.25</v>
      </c>
      <c r="E82" s="131">
        <f t="shared" si="2"/>
        <v>27.25</v>
      </c>
      <c r="F82" s="131">
        <f t="shared" si="2"/>
        <v>27.25</v>
      </c>
      <c r="G82" s="131">
        <f t="shared" si="2"/>
        <v>27.25</v>
      </c>
      <c r="H82" s="131">
        <f t="shared" si="2"/>
        <v>27.25</v>
      </c>
      <c r="I82" s="131">
        <f t="shared" si="2"/>
        <v>21.5</v>
      </c>
      <c r="J82" s="131">
        <f t="shared" si="2"/>
        <v>21.5</v>
      </c>
      <c r="K82" s="131">
        <f t="shared" si="2"/>
        <v>21.5</v>
      </c>
      <c r="L82" s="131">
        <f t="shared" si="2"/>
        <v>21.5</v>
      </c>
      <c r="M82" s="131">
        <f t="shared" si="2"/>
        <v>21.5</v>
      </c>
      <c r="N82" s="111"/>
    </row>
    <row r="83" spans="1:14" s="79" customFormat="1" ht="14.25" customHeight="1">
      <c r="A83" s="136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57"/>
    </row>
    <row r="84" spans="1:14" s="80" customFormat="1" ht="22.5" customHeight="1">
      <c r="A84" s="152" t="s">
        <v>785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11"/>
    </row>
    <row r="85" spans="1:14" s="79" customFormat="1" ht="12.75">
      <c r="A85" s="139" t="s">
        <v>882</v>
      </c>
      <c r="B85" s="109">
        <v>1</v>
      </c>
      <c r="C85" s="109">
        <v>1</v>
      </c>
      <c r="D85" s="109">
        <v>1</v>
      </c>
      <c r="E85" s="109">
        <v>1</v>
      </c>
      <c r="F85" s="109">
        <v>1</v>
      </c>
      <c r="G85" s="109">
        <v>1</v>
      </c>
      <c r="H85" s="109">
        <v>1</v>
      </c>
      <c r="I85" s="109">
        <v>1</v>
      </c>
      <c r="J85" s="109">
        <v>1</v>
      </c>
      <c r="K85" s="109">
        <v>1</v>
      </c>
      <c r="L85" s="109">
        <v>1</v>
      </c>
      <c r="M85" s="109">
        <v>1</v>
      </c>
      <c r="N85" s="157"/>
    </row>
    <row r="86" spans="1:14" s="79" customFormat="1" ht="12.75">
      <c r="A86" s="139" t="s">
        <v>757</v>
      </c>
      <c r="B86" s="109">
        <v>1</v>
      </c>
      <c r="C86" s="109">
        <v>1</v>
      </c>
      <c r="D86" s="109">
        <v>1</v>
      </c>
      <c r="E86" s="109">
        <v>1</v>
      </c>
      <c r="F86" s="109">
        <v>1</v>
      </c>
      <c r="G86" s="109">
        <v>1</v>
      </c>
      <c r="H86" s="109">
        <v>1</v>
      </c>
      <c r="I86" s="109">
        <v>1</v>
      </c>
      <c r="J86" s="109">
        <v>1</v>
      </c>
      <c r="K86" s="109">
        <v>1</v>
      </c>
      <c r="L86" s="109">
        <v>1</v>
      </c>
      <c r="M86" s="109">
        <v>1</v>
      </c>
      <c r="N86" s="157"/>
    </row>
    <row r="87" spans="1:14" s="79" customFormat="1" ht="12.75">
      <c r="A87" s="139" t="s">
        <v>883</v>
      </c>
      <c r="B87" s="109">
        <v>1</v>
      </c>
      <c r="C87" s="109">
        <v>1</v>
      </c>
      <c r="D87" s="109">
        <v>1</v>
      </c>
      <c r="E87" s="109">
        <v>1</v>
      </c>
      <c r="F87" s="109">
        <v>1</v>
      </c>
      <c r="G87" s="109">
        <v>1</v>
      </c>
      <c r="H87" s="109">
        <v>1</v>
      </c>
      <c r="I87" s="109">
        <v>1</v>
      </c>
      <c r="J87" s="109">
        <v>1</v>
      </c>
      <c r="K87" s="109">
        <v>1</v>
      </c>
      <c r="L87" s="109">
        <v>1</v>
      </c>
      <c r="M87" s="109">
        <v>1</v>
      </c>
      <c r="N87" s="157"/>
    </row>
    <row r="88" spans="1:14" s="79" customFormat="1" ht="12.75">
      <c r="A88" s="139" t="s">
        <v>884</v>
      </c>
      <c r="B88" s="109">
        <v>1</v>
      </c>
      <c r="C88" s="109">
        <v>1</v>
      </c>
      <c r="D88" s="109">
        <v>1</v>
      </c>
      <c r="E88" s="109">
        <v>1</v>
      </c>
      <c r="F88" s="109">
        <v>1</v>
      </c>
      <c r="G88" s="109">
        <v>1</v>
      </c>
      <c r="H88" s="109">
        <v>1</v>
      </c>
      <c r="I88" s="109">
        <v>1</v>
      </c>
      <c r="J88" s="109">
        <v>1</v>
      </c>
      <c r="K88" s="109">
        <v>1</v>
      </c>
      <c r="L88" s="109">
        <v>1</v>
      </c>
      <c r="M88" s="109">
        <v>1</v>
      </c>
      <c r="N88" s="157"/>
    </row>
    <row r="89" spans="1:14" s="79" customFormat="1" ht="12.75">
      <c r="A89" s="139" t="s">
        <v>885</v>
      </c>
      <c r="B89" s="109">
        <v>0</v>
      </c>
      <c r="C89" s="109">
        <v>0</v>
      </c>
      <c r="D89" s="109">
        <v>2</v>
      </c>
      <c r="E89" s="109">
        <v>2</v>
      </c>
      <c r="F89" s="109">
        <v>2</v>
      </c>
      <c r="G89" s="109">
        <v>2</v>
      </c>
      <c r="H89" s="109">
        <v>2</v>
      </c>
      <c r="I89" s="109">
        <v>2</v>
      </c>
      <c r="J89" s="109">
        <v>2</v>
      </c>
      <c r="K89" s="109">
        <v>2</v>
      </c>
      <c r="L89" s="109">
        <v>2</v>
      </c>
      <c r="M89" s="109">
        <v>2</v>
      </c>
      <c r="N89" s="157"/>
    </row>
    <row r="90" spans="1:14" ht="12.75">
      <c r="A90" s="153" t="s">
        <v>856</v>
      </c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/>
    </row>
    <row r="91" spans="1:14" ht="12.75">
      <c r="A91" s="138" t="s">
        <v>956</v>
      </c>
      <c r="B91" s="147">
        <v>0.5</v>
      </c>
      <c r="C91" s="147">
        <v>0.5</v>
      </c>
      <c r="D91" s="147">
        <v>0.5</v>
      </c>
      <c r="E91" s="147">
        <v>0.5</v>
      </c>
      <c r="F91" s="147">
        <v>0.5</v>
      </c>
      <c r="G91" s="147">
        <v>0</v>
      </c>
      <c r="H91" s="147">
        <v>0</v>
      </c>
      <c r="I91" s="147">
        <v>0</v>
      </c>
      <c r="J91" s="147">
        <v>0</v>
      </c>
      <c r="K91" s="147">
        <v>0</v>
      </c>
      <c r="L91" s="147">
        <v>0</v>
      </c>
      <c r="M91" s="147">
        <v>0</v>
      </c>
      <c r="N91"/>
    </row>
    <row r="92" spans="1:14" s="80" customFormat="1" ht="21" customHeight="1">
      <c r="A92" s="137" t="s">
        <v>786</v>
      </c>
      <c r="B92" s="131">
        <f>SUM(B86:B91)</f>
        <v>3.5</v>
      </c>
      <c r="C92" s="131">
        <f aca="true" t="shared" si="3" ref="C92:M92">SUM(C86:C91)</f>
        <v>3.5</v>
      </c>
      <c r="D92" s="131">
        <f t="shared" si="3"/>
        <v>5.5</v>
      </c>
      <c r="E92" s="131">
        <f t="shared" si="3"/>
        <v>5.5</v>
      </c>
      <c r="F92" s="131">
        <f t="shared" si="3"/>
        <v>5.5</v>
      </c>
      <c r="G92" s="131">
        <f t="shared" si="3"/>
        <v>5</v>
      </c>
      <c r="H92" s="131">
        <f t="shared" si="3"/>
        <v>5</v>
      </c>
      <c r="I92" s="131">
        <f t="shared" si="3"/>
        <v>5</v>
      </c>
      <c r="J92" s="131">
        <f t="shared" si="3"/>
        <v>5</v>
      </c>
      <c r="K92" s="131">
        <f t="shared" si="3"/>
        <v>5</v>
      </c>
      <c r="L92" s="131">
        <f t="shared" si="3"/>
        <v>5</v>
      </c>
      <c r="M92" s="131">
        <f t="shared" si="3"/>
        <v>5</v>
      </c>
      <c r="N92" s="111"/>
    </row>
    <row r="93" spans="1:14" s="132" customFormat="1" ht="30.75" customHeight="1">
      <c r="A93" s="773" t="s">
        <v>422</v>
      </c>
      <c r="B93" s="463">
        <f>SUM(B92,B82,B47,B42)</f>
        <v>99.07499999999999</v>
      </c>
      <c r="C93" s="463">
        <f aca="true" t="shared" si="4" ref="C93:M93">SUM(C92,C82,C47,C42)</f>
        <v>99.07499999999999</v>
      </c>
      <c r="D93" s="463">
        <f t="shared" si="4"/>
        <v>102.07499999999999</v>
      </c>
      <c r="E93" s="463">
        <f t="shared" si="4"/>
        <v>102.07499999999999</v>
      </c>
      <c r="F93" s="463">
        <f t="shared" si="4"/>
        <v>102.07499999999999</v>
      </c>
      <c r="G93" s="463">
        <f t="shared" si="4"/>
        <v>101.57499999999999</v>
      </c>
      <c r="H93" s="463">
        <f t="shared" si="4"/>
        <v>102.57499999999999</v>
      </c>
      <c r="I93" s="463">
        <f t="shared" si="4"/>
        <v>96.82499999999999</v>
      </c>
      <c r="J93" s="463">
        <f t="shared" si="4"/>
        <v>96.82499999999999</v>
      </c>
      <c r="K93" s="463">
        <f t="shared" si="4"/>
        <v>96.82499999999999</v>
      </c>
      <c r="L93" s="463">
        <f t="shared" si="4"/>
        <v>96.82499999999999</v>
      </c>
      <c r="M93" s="463">
        <f t="shared" si="4"/>
        <v>95.82499999999999</v>
      </c>
      <c r="N93" s="159"/>
    </row>
    <row r="94" spans="1:14" s="79" customFormat="1" ht="6" customHeight="1">
      <c r="A94" s="136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57"/>
    </row>
    <row r="95" spans="1:14" s="80" customFormat="1" ht="25.5" customHeight="1">
      <c r="A95" s="152" t="s">
        <v>360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11"/>
    </row>
    <row r="96" spans="1:14" s="594" customFormat="1" ht="37.5" customHeight="1">
      <c r="A96" s="591" t="s">
        <v>996</v>
      </c>
      <c r="B96" s="592"/>
      <c r="C96" s="592"/>
      <c r="D96" s="592"/>
      <c r="E96" s="592"/>
      <c r="F96" s="592"/>
      <c r="G96" s="592"/>
      <c r="H96" s="592"/>
      <c r="I96" s="592"/>
      <c r="J96" s="592"/>
      <c r="K96" s="592"/>
      <c r="L96" s="592"/>
      <c r="M96" s="592"/>
      <c r="N96" s="593"/>
    </row>
    <row r="97" spans="1:14" s="79" customFormat="1" ht="20.25" customHeight="1">
      <c r="A97" s="461" t="s">
        <v>878</v>
      </c>
      <c r="B97" s="462">
        <v>15</v>
      </c>
      <c r="C97" s="462">
        <v>15</v>
      </c>
      <c r="D97" s="462">
        <v>0</v>
      </c>
      <c r="E97" s="462">
        <v>0</v>
      </c>
      <c r="F97" s="462">
        <v>0</v>
      </c>
      <c r="G97" s="462">
        <v>0</v>
      </c>
      <c r="H97" s="462">
        <v>0</v>
      </c>
      <c r="I97" s="462">
        <v>0</v>
      </c>
      <c r="J97" s="462">
        <v>0</v>
      </c>
      <c r="K97" s="462">
        <v>0</v>
      </c>
      <c r="L97" s="462">
        <v>0</v>
      </c>
      <c r="M97" s="462">
        <v>0</v>
      </c>
      <c r="N97" s="157"/>
    </row>
    <row r="98" spans="1:14" s="594" customFormat="1" ht="36" customHeight="1">
      <c r="A98" s="591" t="s">
        <v>879</v>
      </c>
      <c r="B98" s="592"/>
      <c r="C98" s="592"/>
      <c r="D98" s="592"/>
      <c r="E98" s="592"/>
      <c r="F98" s="592"/>
      <c r="G98" s="592"/>
      <c r="H98" s="592"/>
      <c r="I98" s="592"/>
      <c r="J98" s="592"/>
      <c r="K98" s="592"/>
      <c r="L98" s="592"/>
      <c r="M98" s="592"/>
      <c r="N98" s="593"/>
    </row>
    <row r="99" spans="1:14" s="79" customFormat="1" ht="20.25" customHeight="1">
      <c r="A99" s="461" t="s">
        <v>880</v>
      </c>
      <c r="B99" s="462">
        <v>48</v>
      </c>
      <c r="C99" s="462">
        <v>48</v>
      </c>
      <c r="D99" s="462">
        <v>0</v>
      </c>
      <c r="E99" s="462">
        <v>0</v>
      </c>
      <c r="F99" s="462">
        <v>0</v>
      </c>
      <c r="G99" s="462">
        <v>0</v>
      </c>
      <c r="H99" s="462">
        <v>0</v>
      </c>
      <c r="I99" s="462">
        <v>0</v>
      </c>
      <c r="J99" s="462">
        <v>0</v>
      </c>
      <c r="K99" s="462">
        <v>0</v>
      </c>
      <c r="L99" s="462">
        <v>0</v>
      </c>
      <c r="M99" s="462">
        <v>0</v>
      </c>
      <c r="N99" s="157"/>
    </row>
    <row r="100" spans="1:14" s="594" customFormat="1" ht="37.5" customHeight="1">
      <c r="A100" s="591" t="s">
        <v>997</v>
      </c>
      <c r="B100" s="592"/>
      <c r="C100" s="592"/>
      <c r="D100" s="592"/>
      <c r="E100" s="592"/>
      <c r="F100" s="592"/>
      <c r="G100" s="592"/>
      <c r="H100" s="592"/>
      <c r="I100" s="592"/>
      <c r="J100" s="592"/>
      <c r="K100" s="592"/>
      <c r="L100" s="592"/>
      <c r="M100" s="592"/>
      <c r="N100" s="593"/>
    </row>
    <row r="101" spans="1:14" s="79" customFormat="1" ht="20.25" customHeight="1">
      <c r="A101" s="461" t="s">
        <v>878</v>
      </c>
      <c r="B101" s="462">
        <v>0</v>
      </c>
      <c r="C101" s="462">
        <v>0</v>
      </c>
      <c r="D101" s="462">
        <v>15</v>
      </c>
      <c r="E101" s="462">
        <v>15</v>
      </c>
      <c r="F101" s="462">
        <v>15</v>
      </c>
      <c r="G101" s="462">
        <v>15</v>
      </c>
      <c r="H101" s="462">
        <v>15</v>
      </c>
      <c r="I101" s="462">
        <v>15</v>
      </c>
      <c r="J101" s="462">
        <v>15</v>
      </c>
      <c r="K101" s="462">
        <v>15</v>
      </c>
      <c r="L101" s="462">
        <v>15</v>
      </c>
      <c r="M101" s="462">
        <v>15</v>
      </c>
      <c r="N101" s="157"/>
    </row>
    <row r="102" spans="1:14" s="594" customFormat="1" ht="36" customHeight="1">
      <c r="A102" s="591" t="s">
        <v>998</v>
      </c>
      <c r="B102" s="592"/>
      <c r="C102" s="592"/>
      <c r="D102" s="592"/>
      <c r="E102" s="592"/>
      <c r="F102" s="592"/>
      <c r="G102" s="592"/>
      <c r="H102" s="592"/>
      <c r="I102" s="592"/>
      <c r="J102" s="592"/>
      <c r="K102" s="592"/>
      <c r="L102" s="592"/>
      <c r="M102" s="592"/>
      <c r="N102" s="593"/>
    </row>
    <row r="103" spans="1:14" s="79" customFormat="1" ht="20.25" customHeight="1">
      <c r="A103" s="461" t="s">
        <v>999</v>
      </c>
      <c r="B103" s="462">
        <v>0</v>
      </c>
      <c r="C103" s="462">
        <v>0</v>
      </c>
      <c r="D103" s="462">
        <v>31</v>
      </c>
      <c r="E103" s="462">
        <v>31</v>
      </c>
      <c r="F103" s="462">
        <v>31</v>
      </c>
      <c r="G103" s="462">
        <v>31</v>
      </c>
      <c r="H103" s="462">
        <v>31</v>
      </c>
      <c r="I103" s="462">
        <v>31</v>
      </c>
      <c r="J103" s="462">
        <v>31</v>
      </c>
      <c r="K103" s="462">
        <v>31</v>
      </c>
      <c r="L103" s="462">
        <v>31</v>
      </c>
      <c r="M103" s="462">
        <v>31</v>
      </c>
      <c r="N103" s="157"/>
    </row>
    <row r="104" spans="1:14" s="132" customFormat="1" ht="32.25" customHeight="1">
      <c r="A104" s="773" t="s">
        <v>510</v>
      </c>
      <c r="B104" s="463">
        <f>SUM(B96:B103)</f>
        <v>63</v>
      </c>
      <c r="C104" s="463">
        <f aca="true" t="shared" si="5" ref="C104:M104">SUM(C96:C103)</f>
        <v>63</v>
      </c>
      <c r="D104" s="463">
        <f t="shared" si="5"/>
        <v>46</v>
      </c>
      <c r="E104" s="463">
        <f t="shared" si="5"/>
        <v>46</v>
      </c>
      <c r="F104" s="463">
        <f t="shared" si="5"/>
        <v>46</v>
      </c>
      <c r="G104" s="463">
        <f t="shared" si="5"/>
        <v>46</v>
      </c>
      <c r="H104" s="463">
        <f t="shared" si="5"/>
        <v>46</v>
      </c>
      <c r="I104" s="463">
        <f t="shared" si="5"/>
        <v>46</v>
      </c>
      <c r="J104" s="463">
        <f t="shared" si="5"/>
        <v>46</v>
      </c>
      <c r="K104" s="463">
        <f t="shared" si="5"/>
        <v>46</v>
      </c>
      <c r="L104" s="463">
        <f t="shared" si="5"/>
        <v>46</v>
      </c>
      <c r="M104" s="463">
        <f t="shared" si="5"/>
        <v>46</v>
      </c>
      <c r="N104" s="159"/>
    </row>
  </sheetData>
  <sheetProtection/>
  <mergeCells count="3">
    <mergeCell ref="A4:M4"/>
    <mergeCell ref="A5:M5"/>
    <mergeCell ref="A6:M6"/>
  </mergeCell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76" r:id="rId1"/>
  <rowBreaks count="2" manualBreakCount="2">
    <brk id="42" max="12" man="1"/>
    <brk id="76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88"/>
  <sheetViews>
    <sheetView zoomScaleSheetLayoutView="100" zoomScalePageLayoutView="0" workbookViewId="0" topLeftCell="A1">
      <selection activeCell="C2" sqref="C2"/>
    </sheetView>
  </sheetViews>
  <sheetFormatPr defaultColWidth="8.875" defaultRowHeight="12.75"/>
  <cols>
    <col min="1" max="1" width="4.125" style="82" bestFit="1" customWidth="1"/>
    <col min="2" max="2" width="2.375" style="3" customWidth="1"/>
    <col min="3" max="3" width="88.625" style="3" customWidth="1"/>
    <col min="4" max="4" width="17.25390625" style="3" bestFit="1" customWidth="1"/>
    <col min="5" max="16384" width="8.875" style="3" customWidth="1"/>
  </cols>
  <sheetData>
    <row r="1" spans="3:5" ht="15">
      <c r="C1" s="852" t="s">
        <v>1019</v>
      </c>
      <c r="D1" s="1086"/>
      <c r="E1" s="81"/>
    </row>
    <row r="2" spans="3:5" ht="15">
      <c r="C2" s="6"/>
      <c r="D2" s="146"/>
      <c r="E2" s="81"/>
    </row>
    <row r="3" spans="2:4" ht="15.75">
      <c r="B3" s="1087" t="s">
        <v>899</v>
      </c>
      <c r="C3" s="1087"/>
      <c r="D3" s="1087"/>
    </row>
    <row r="4" spans="2:4" ht="15">
      <c r="B4" s="162"/>
      <c r="C4" s="162"/>
      <c r="D4" s="162"/>
    </row>
    <row r="5" ht="15.75" thickBot="1">
      <c r="D5" s="6"/>
    </row>
    <row r="6" spans="1:4" s="4" customFormat="1" ht="14.25">
      <c r="A6" s="1091" t="s">
        <v>434</v>
      </c>
      <c r="B6" s="1088" t="s">
        <v>363</v>
      </c>
      <c r="C6" s="1089"/>
      <c r="D6" s="7" t="s">
        <v>375</v>
      </c>
    </row>
    <row r="7" spans="1:4" s="93" customFormat="1" ht="12">
      <c r="A7" s="1092"/>
      <c r="B7" s="1090" t="s">
        <v>428</v>
      </c>
      <c r="C7" s="1090"/>
      <c r="D7" s="92" t="s">
        <v>429</v>
      </c>
    </row>
    <row r="8" spans="1:4" s="4" customFormat="1" ht="14.25">
      <c r="A8" s="99">
        <v>1</v>
      </c>
      <c r="B8" s="94" t="s">
        <v>369</v>
      </c>
      <c r="C8" s="11"/>
      <c r="D8" s="290"/>
    </row>
    <row r="9" spans="1:4" s="13" customFormat="1" ht="15">
      <c r="A9" s="99">
        <v>2</v>
      </c>
      <c r="B9" s="95" t="s">
        <v>443</v>
      </c>
      <c r="C9" s="12"/>
      <c r="D9" s="291"/>
    </row>
    <row r="10" spans="1:6" ht="18.75" customHeight="1">
      <c r="A10" s="99">
        <v>3</v>
      </c>
      <c r="B10" s="84" t="s">
        <v>376</v>
      </c>
      <c r="C10" s="134" t="s">
        <v>837</v>
      </c>
      <c r="D10" s="740">
        <f>42654146+1</f>
        <v>42654147</v>
      </c>
      <c r="F10" s="741"/>
    </row>
    <row r="11" spans="1:4" ht="30">
      <c r="A11" s="99">
        <v>4</v>
      </c>
      <c r="B11" s="84" t="s">
        <v>376</v>
      </c>
      <c r="C11" s="134" t="s">
        <v>838</v>
      </c>
      <c r="D11" s="661">
        <v>187978206</v>
      </c>
    </row>
    <row r="12" spans="1:4" ht="18.75" customHeight="1">
      <c r="A12" s="99">
        <v>5</v>
      </c>
      <c r="B12" s="84" t="s">
        <v>376</v>
      </c>
      <c r="C12" s="134" t="s">
        <v>839</v>
      </c>
      <c r="D12" s="661">
        <v>404687022</v>
      </c>
    </row>
    <row r="13" spans="1:4" ht="18.75" customHeight="1">
      <c r="A13" s="99">
        <v>6</v>
      </c>
      <c r="B13" s="84" t="s">
        <v>376</v>
      </c>
      <c r="C13" s="134" t="s">
        <v>957</v>
      </c>
      <c r="D13" s="661">
        <f>25000000-20000000</f>
        <v>5000000</v>
      </c>
    </row>
    <row r="14" spans="1:4" ht="18.75" customHeight="1">
      <c r="A14" s="99">
        <v>7</v>
      </c>
      <c r="B14" s="84" t="s">
        <v>376</v>
      </c>
      <c r="C14" s="134" t="s">
        <v>958</v>
      </c>
      <c r="D14" s="661">
        <v>363120</v>
      </c>
    </row>
    <row r="15" spans="1:4" ht="18.75" customHeight="1">
      <c r="A15" s="99">
        <v>8</v>
      </c>
      <c r="B15" s="84" t="s">
        <v>376</v>
      </c>
      <c r="C15" s="134" t="s">
        <v>959</v>
      </c>
      <c r="D15" s="661">
        <v>5000000</v>
      </c>
    </row>
    <row r="16" spans="1:4" ht="18.75" customHeight="1">
      <c r="A16" s="99">
        <v>9</v>
      </c>
      <c r="B16" s="84" t="s">
        <v>376</v>
      </c>
      <c r="C16" s="134" t="s">
        <v>840</v>
      </c>
      <c r="D16" s="661">
        <v>100932090</v>
      </c>
    </row>
    <row r="17" spans="1:4" ht="18.75" customHeight="1">
      <c r="A17" s="99">
        <v>10</v>
      </c>
      <c r="B17" s="84" t="s">
        <v>376</v>
      </c>
      <c r="C17" s="134" t="s">
        <v>960</v>
      </c>
      <c r="D17" s="661">
        <v>750000</v>
      </c>
    </row>
    <row r="18" spans="1:4" ht="18.75" customHeight="1">
      <c r="A18" s="99">
        <v>11</v>
      </c>
      <c r="B18" s="84" t="s">
        <v>376</v>
      </c>
      <c r="C18" s="134" t="s">
        <v>900</v>
      </c>
      <c r="D18" s="661">
        <v>1940000</v>
      </c>
    </row>
    <row r="19" spans="1:4" ht="34.5" customHeight="1">
      <c r="A19" s="99">
        <v>12</v>
      </c>
      <c r="B19" s="84" t="s">
        <v>376</v>
      </c>
      <c r="C19" s="134" t="s">
        <v>961</v>
      </c>
      <c r="D19" s="661">
        <f>19510500-1730500</f>
        <v>17780000</v>
      </c>
    </row>
    <row r="20" spans="1:4" ht="18.75" customHeight="1">
      <c r="A20" s="99">
        <v>13</v>
      </c>
      <c r="B20" s="84" t="s">
        <v>376</v>
      </c>
      <c r="C20" s="134" t="s">
        <v>904</v>
      </c>
      <c r="D20" s="661">
        <v>541020</v>
      </c>
    </row>
    <row r="21" spans="1:4" ht="18.75" customHeight="1">
      <c r="A21" s="99">
        <v>14</v>
      </c>
      <c r="B21" s="84" t="s">
        <v>376</v>
      </c>
      <c r="C21" s="134" t="s">
        <v>905</v>
      </c>
      <c r="D21" s="661">
        <v>457200</v>
      </c>
    </row>
    <row r="22" spans="1:4" ht="18.75" customHeight="1">
      <c r="A22" s="99">
        <v>15</v>
      </c>
      <c r="B22" s="84" t="s">
        <v>376</v>
      </c>
      <c r="C22" s="134" t="s">
        <v>962</v>
      </c>
      <c r="D22" s="661">
        <v>600000</v>
      </c>
    </row>
    <row r="23" spans="1:4" ht="18.75" customHeight="1">
      <c r="A23" s="99">
        <v>16</v>
      </c>
      <c r="B23" s="84" t="s">
        <v>376</v>
      </c>
      <c r="C23" s="134" t="s">
        <v>906</v>
      </c>
      <c r="D23" s="661">
        <v>600000</v>
      </c>
    </row>
    <row r="24" spans="1:4" ht="18.75" customHeight="1">
      <c r="A24" s="99">
        <v>17</v>
      </c>
      <c r="B24" s="84" t="s">
        <v>376</v>
      </c>
      <c r="C24" s="134" t="s">
        <v>907</v>
      </c>
      <c r="D24" s="661">
        <v>500000</v>
      </c>
    </row>
    <row r="25" spans="1:4" ht="18.75" customHeight="1">
      <c r="A25" s="99">
        <v>18</v>
      </c>
      <c r="B25" s="84" t="s">
        <v>376</v>
      </c>
      <c r="C25" s="134" t="s">
        <v>908</v>
      </c>
      <c r="D25" s="661">
        <v>650000</v>
      </c>
    </row>
    <row r="26" spans="1:4" ht="18.75" customHeight="1">
      <c r="A26" s="99">
        <v>19</v>
      </c>
      <c r="B26" s="84" t="s">
        <v>376</v>
      </c>
      <c r="C26" s="134" t="s">
        <v>964</v>
      </c>
      <c r="D26" s="661">
        <v>190500</v>
      </c>
    </row>
    <row r="27" spans="1:4" ht="18.75" customHeight="1">
      <c r="A27" s="99">
        <v>20</v>
      </c>
      <c r="B27" s="84" t="s">
        <v>376</v>
      </c>
      <c r="C27" s="134" t="s">
        <v>963</v>
      </c>
      <c r="D27" s="661">
        <v>730250</v>
      </c>
    </row>
    <row r="28" spans="1:4" ht="18.75" customHeight="1">
      <c r="A28" s="99">
        <v>21</v>
      </c>
      <c r="B28" s="84" t="s">
        <v>376</v>
      </c>
      <c r="C28" s="134" t="s">
        <v>965</v>
      </c>
      <c r="D28" s="661">
        <v>74930</v>
      </c>
    </row>
    <row r="29" spans="1:4" ht="18.75" customHeight="1">
      <c r="A29" s="99">
        <v>22</v>
      </c>
      <c r="B29" s="84" t="s">
        <v>376</v>
      </c>
      <c r="C29" s="134" t="s">
        <v>992</v>
      </c>
      <c r="D29" s="661">
        <v>1000000</v>
      </c>
    </row>
    <row r="30" spans="1:4" ht="31.5" customHeight="1">
      <c r="A30" s="99">
        <v>23</v>
      </c>
      <c r="B30" s="84" t="s">
        <v>376</v>
      </c>
      <c r="C30" s="134" t="s">
        <v>966</v>
      </c>
      <c r="D30" s="661">
        <v>2460790</v>
      </c>
    </row>
    <row r="31" spans="1:4" ht="18.75" customHeight="1">
      <c r="A31" s="99">
        <v>24</v>
      </c>
      <c r="B31" s="84" t="s">
        <v>376</v>
      </c>
      <c r="C31" s="134" t="s">
        <v>967</v>
      </c>
      <c r="D31" s="661">
        <v>973100</v>
      </c>
    </row>
    <row r="32" spans="1:4" ht="15">
      <c r="A32" s="99">
        <v>25</v>
      </c>
      <c r="B32" s="84" t="s">
        <v>376</v>
      </c>
      <c r="C32" s="134" t="s">
        <v>1001</v>
      </c>
      <c r="D32" s="661">
        <v>74295</v>
      </c>
    </row>
    <row r="33" spans="1:4" ht="18.75" customHeight="1">
      <c r="A33" s="99">
        <v>26</v>
      </c>
      <c r="B33" s="84" t="s">
        <v>376</v>
      </c>
      <c r="C33" s="134" t="s">
        <v>1000</v>
      </c>
      <c r="D33" s="661">
        <v>190500</v>
      </c>
    </row>
    <row r="34" spans="1:4" s="36" customFormat="1" ht="15">
      <c r="A34" s="99">
        <v>27</v>
      </c>
      <c r="B34" s="84"/>
      <c r="C34" s="15" t="s">
        <v>386</v>
      </c>
      <c r="D34" s="292">
        <f>SUM(D10:D33)</f>
        <v>776127170</v>
      </c>
    </row>
    <row r="35" spans="1:4" s="36" customFormat="1" ht="15">
      <c r="A35" s="99">
        <v>28</v>
      </c>
      <c r="B35" s="1083" t="s">
        <v>373</v>
      </c>
      <c r="C35" s="1084"/>
      <c r="D35" s="1085"/>
    </row>
    <row r="36" spans="1:4" ht="18.75" customHeight="1">
      <c r="A36" s="99">
        <v>29</v>
      </c>
      <c r="B36" s="84" t="s">
        <v>376</v>
      </c>
      <c r="C36" s="134" t="s">
        <v>965</v>
      </c>
      <c r="D36" s="661">
        <v>1101090</v>
      </c>
    </row>
    <row r="37" spans="1:4" ht="18.75" customHeight="1">
      <c r="A37" s="99">
        <v>30</v>
      </c>
      <c r="B37" s="84" t="s">
        <v>376</v>
      </c>
      <c r="C37" s="134" t="s">
        <v>968</v>
      </c>
      <c r="D37" s="661">
        <v>706500</v>
      </c>
    </row>
    <row r="38" spans="1:4" ht="18.75" customHeight="1">
      <c r="A38" s="99">
        <v>31</v>
      </c>
      <c r="B38" s="84" t="s">
        <v>376</v>
      </c>
      <c r="C38" s="134" t="s">
        <v>909</v>
      </c>
      <c r="D38" s="661">
        <v>127000</v>
      </c>
    </row>
    <row r="39" spans="1:4" s="36" customFormat="1" ht="15">
      <c r="A39" s="99">
        <v>32</v>
      </c>
      <c r="B39" s="133"/>
      <c r="C39" s="15" t="s">
        <v>490</v>
      </c>
      <c r="D39" s="292">
        <f>SUM(D36:D38)</f>
        <v>1934590</v>
      </c>
    </row>
    <row r="40" spans="1:4" s="36" customFormat="1" ht="15">
      <c r="A40" s="99">
        <v>33</v>
      </c>
      <c r="B40" s="1083" t="s">
        <v>785</v>
      </c>
      <c r="C40" s="1084"/>
      <c r="D40" s="1085"/>
    </row>
    <row r="41" spans="1:4" ht="15" customHeight="1">
      <c r="A41" s="99">
        <v>34</v>
      </c>
      <c r="B41" s="84" t="s">
        <v>376</v>
      </c>
      <c r="C41" s="134" t="s">
        <v>969</v>
      </c>
      <c r="D41" s="661">
        <v>127000</v>
      </c>
    </row>
    <row r="42" spans="1:4" ht="15" customHeight="1">
      <c r="A42" s="99">
        <v>35</v>
      </c>
      <c r="B42" s="84" t="s">
        <v>376</v>
      </c>
      <c r="C42" s="134" t="s">
        <v>1002</v>
      </c>
      <c r="D42" s="661">
        <v>800000</v>
      </c>
    </row>
    <row r="43" spans="1:4" s="36" customFormat="1" ht="15">
      <c r="A43" s="99">
        <v>36</v>
      </c>
      <c r="B43" s="133"/>
      <c r="C43" s="15" t="s">
        <v>786</v>
      </c>
      <c r="D43" s="292">
        <f>SUM(D41:D42)</f>
        <v>927000</v>
      </c>
    </row>
    <row r="44" spans="1:4" s="36" customFormat="1" ht="15">
      <c r="A44" s="99">
        <v>37</v>
      </c>
      <c r="B44" s="1083" t="s">
        <v>744</v>
      </c>
      <c r="C44" s="1084"/>
      <c r="D44" s="1085"/>
    </row>
    <row r="45" spans="1:4" ht="28.5" customHeight="1">
      <c r="A45" s="99">
        <v>38</v>
      </c>
      <c r="B45" s="84" t="s">
        <v>376</v>
      </c>
      <c r="C45" s="134" t="s">
        <v>972</v>
      </c>
      <c r="D45" s="661">
        <v>309245</v>
      </c>
    </row>
    <row r="46" spans="1:4" ht="15" customHeight="1">
      <c r="A46" s="99">
        <v>39</v>
      </c>
      <c r="B46" s="84" t="s">
        <v>376</v>
      </c>
      <c r="C46" s="134" t="s">
        <v>973</v>
      </c>
      <c r="D46" s="661">
        <v>95250</v>
      </c>
    </row>
    <row r="47" spans="1:4" ht="28.5" customHeight="1">
      <c r="A47" s="99">
        <v>40</v>
      </c>
      <c r="B47" s="84" t="s">
        <v>376</v>
      </c>
      <c r="C47" s="134" t="s">
        <v>974</v>
      </c>
      <c r="D47" s="661">
        <v>304800</v>
      </c>
    </row>
    <row r="48" spans="1:4" ht="27.75" customHeight="1">
      <c r="A48" s="99">
        <v>41</v>
      </c>
      <c r="B48" s="84" t="s">
        <v>376</v>
      </c>
      <c r="C48" s="134" t="s">
        <v>976</v>
      </c>
      <c r="D48" s="661">
        <v>401320</v>
      </c>
    </row>
    <row r="49" spans="1:4" ht="15" customHeight="1">
      <c r="A49" s="99">
        <v>42</v>
      </c>
      <c r="B49" s="84" t="s">
        <v>376</v>
      </c>
      <c r="C49" s="134" t="s">
        <v>975</v>
      </c>
      <c r="D49" s="661">
        <v>63500</v>
      </c>
    </row>
    <row r="50" spans="1:4" s="36" customFormat="1" ht="15">
      <c r="A50" s="99">
        <v>43</v>
      </c>
      <c r="B50" s="133"/>
      <c r="C50" s="15" t="s">
        <v>860</v>
      </c>
      <c r="D50" s="292">
        <f>SUM(D45:D49)</f>
        <v>1174115</v>
      </c>
    </row>
    <row r="51" spans="1:4" s="4" customFormat="1" ht="15" thickBot="1">
      <c r="A51" s="100">
        <v>44</v>
      </c>
      <c r="B51" s="16" t="s">
        <v>366</v>
      </c>
      <c r="C51" s="16"/>
      <c r="D51" s="293">
        <f>SUM(D50+D43+D39+D34)</f>
        <v>780162875</v>
      </c>
    </row>
    <row r="52" spans="1:4" ht="15">
      <c r="A52" s="553">
        <v>45</v>
      </c>
      <c r="B52" s="1080" t="s">
        <v>374</v>
      </c>
      <c r="C52" s="1080"/>
      <c r="D52" s="1081"/>
    </row>
    <row r="53" spans="1:4" s="13" customFormat="1" ht="15">
      <c r="A53" s="99">
        <v>46</v>
      </c>
      <c r="B53" s="112" t="s">
        <v>443</v>
      </c>
      <c r="C53" s="14"/>
      <c r="D53" s="8"/>
    </row>
    <row r="54" spans="1:4" ht="18.75" customHeight="1">
      <c r="A54" s="99">
        <v>47</v>
      </c>
      <c r="B54" s="84" t="s">
        <v>376</v>
      </c>
      <c r="C54" s="134" t="s">
        <v>598</v>
      </c>
      <c r="D54" s="661">
        <v>500000</v>
      </c>
    </row>
    <row r="55" spans="1:4" ht="18.75" customHeight="1">
      <c r="A55" s="99">
        <v>48</v>
      </c>
      <c r="B55" s="84" t="s">
        <v>376</v>
      </c>
      <c r="C55" s="134" t="s">
        <v>977</v>
      </c>
      <c r="D55" s="661">
        <v>8294813</v>
      </c>
    </row>
    <row r="56" spans="1:4" ht="30">
      <c r="A56" s="99">
        <v>49</v>
      </c>
      <c r="B56" s="84" t="s">
        <v>376</v>
      </c>
      <c r="C56" s="134" t="s">
        <v>836</v>
      </c>
      <c r="D56" s="661">
        <v>21830061</v>
      </c>
    </row>
    <row r="57" spans="1:4" ht="18.75" customHeight="1">
      <c r="A57" s="99">
        <v>50</v>
      </c>
      <c r="B57" s="84" t="s">
        <v>376</v>
      </c>
      <c r="C57" s="134" t="s">
        <v>902</v>
      </c>
      <c r="D57" s="661">
        <v>2794000</v>
      </c>
    </row>
    <row r="58" spans="1:4" ht="18.75" customHeight="1">
      <c r="A58" s="99">
        <v>51</v>
      </c>
      <c r="B58" s="84" t="s">
        <v>376</v>
      </c>
      <c r="C58" s="134" t="s">
        <v>903</v>
      </c>
      <c r="D58" s="661">
        <v>2000000</v>
      </c>
    </row>
    <row r="59" spans="1:4" ht="18.75" customHeight="1">
      <c r="A59" s="99">
        <v>52</v>
      </c>
      <c r="B59" s="84" t="s">
        <v>376</v>
      </c>
      <c r="C59" s="134" t="s">
        <v>978</v>
      </c>
      <c r="D59" s="661">
        <f>91442680+863600</f>
        <v>92306280</v>
      </c>
    </row>
    <row r="60" spans="1:4" ht="25.5" customHeight="1">
      <c r="A60" s="99">
        <v>53</v>
      </c>
      <c r="B60" s="84" t="s">
        <v>376</v>
      </c>
      <c r="C60" s="134" t="s">
        <v>841</v>
      </c>
      <c r="D60" s="661">
        <v>523290</v>
      </c>
    </row>
    <row r="61" spans="1:4" ht="30">
      <c r="A61" s="99">
        <v>54</v>
      </c>
      <c r="B61" s="84" t="s">
        <v>376</v>
      </c>
      <c r="C61" s="134" t="s">
        <v>901</v>
      </c>
      <c r="D61" s="661">
        <v>6759599</v>
      </c>
    </row>
    <row r="62" spans="1:4" ht="18.75" customHeight="1">
      <c r="A62" s="99">
        <v>55</v>
      </c>
      <c r="B62" s="84" t="s">
        <v>376</v>
      </c>
      <c r="C62" s="134" t="s">
        <v>971</v>
      </c>
      <c r="D62" s="661">
        <v>31599998</v>
      </c>
    </row>
    <row r="63" spans="1:4" s="13" customFormat="1" ht="15">
      <c r="A63" s="99">
        <v>56</v>
      </c>
      <c r="B63" s="97"/>
      <c r="C63" s="5" t="s">
        <v>386</v>
      </c>
      <c r="D63" s="294">
        <f>SUM(D52:D62)</f>
        <v>166608041</v>
      </c>
    </row>
    <row r="64" spans="1:4" s="36" customFormat="1" ht="15">
      <c r="A64" s="99">
        <v>57</v>
      </c>
      <c r="B64" s="1083" t="s">
        <v>744</v>
      </c>
      <c r="C64" s="1084"/>
      <c r="D64" s="1085"/>
    </row>
    <row r="65" spans="1:4" ht="18.75" customHeight="1">
      <c r="A65" s="99">
        <v>58</v>
      </c>
      <c r="B65" s="84" t="s">
        <v>376</v>
      </c>
      <c r="C65" s="134" t="s">
        <v>970</v>
      </c>
      <c r="D65" s="661">
        <v>508000</v>
      </c>
    </row>
    <row r="66" spans="1:4" s="36" customFormat="1" ht="15">
      <c r="A66" s="99">
        <v>59</v>
      </c>
      <c r="B66" s="133"/>
      <c r="C66" s="15" t="s">
        <v>860</v>
      </c>
      <c r="D66" s="292">
        <f>SUM(D65)</f>
        <v>508000</v>
      </c>
    </row>
    <row r="67" spans="1:4" s="36" customFormat="1" ht="15">
      <c r="A67" s="99">
        <v>60</v>
      </c>
      <c r="B67" s="1083" t="s">
        <v>785</v>
      </c>
      <c r="C67" s="1084"/>
      <c r="D67" s="1085"/>
    </row>
    <row r="68" spans="1:4" ht="18.75" customHeight="1">
      <c r="A68" s="99">
        <v>61</v>
      </c>
      <c r="B68" s="84" t="s">
        <v>376</v>
      </c>
      <c r="C68" s="134" t="s">
        <v>990</v>
      </c>
      <c r="D68" s="661">
        <v>578000</v>
      </c>
    </row>
    <row r="69" spans="1:4" s="36" customFormat="1" ht="15">
      <c r="A69" s="99">
        <v>62</v>
      </c>
      <c r="B69" s="133"/>
      <c r="C69" s="15" t="s">
        <v>989</v>
      </c>
      <c r="D69" s="292">
        <f>SUM(D68)</f>
        <v>578000</v>
      </c>
    </row>
    <row r="70" spans="1:4" ht="15.75" thickBot="1">
      <c r="A70" s="100">
        <v>63</v>
      </c>
      <c r="B70" s="96" t="s">
        <v>366</v>
      </c>
      <c r="C70" s="16"/>
      <c r="D70" s="295">
        <f>SUM(D63+D69+D66)</f>
        <v>167694041</v>
      </c>
    </row>
    <row r="71" spans="1:4" ht="15">
      <c r="A71" s="99">
        <v>64</v>
      </c>
      <c r="B71" s="1080" t="s">
        <v>109</v>
      </c>
      <c r="C71" s="1080"/>
      <c r="D71" s="1081"/>
    </row>
    <row r="72" spans="1:4" s="13" customFormat="1" ht="15">
      <c r="A72" s="99">
        <v>65</v>
      </c>
      <c r="B72" s="17" t="s">
        <v>443</v>
      </c>
      <c r="C72" s="14"/>
      <c r="D72" s="9"/>
    </row>
    <row r="73" spans="1:4" s="36" customFormat="1" ht="20.25" customHeight="1">
      <c r="A73" s="99">
        <v>66</v>
      </c>
      <c r="B73" s="84" t="s">
        <v>376</v>
      </c>
      <c r="C73" s="134" t="s">
        <v>424</v>
      </c>
      <c r="D73" s="662">
        <v>449520</v>
      </c>
    </row>
    <row r="74" spans="1:4" ht="18.75" customHeight="1">
      <c r="A74" s="99">
        <v>67</v>
      </c>
      <c r="B74" s="84" t="s">
        <v>376</v>
      </c>
      <c r="C74" s="134" t="s">
        <v>835</v>
      </c>
      <c r="D74" s="661">
        <v>5000000</v>
      </c>
    </row>
    <row r="75" spans="1:4" s="4" customFormat="1" ht="15" thickBot="1">
      <c r="A75" s="100">
        <v>68</v>
      </c>
      <c r="B75" s="18" t="s">
        <v>366</v>
      </c>
      <c r="C75" s="16"/>
      <c r="D75" s="296">
        <f>SUM(D73:D74)</f>
        <v>5449520</v>
      </c>
    </row>
    <row r="76" spans="1:4" ht="15" hidden="1">
      <c r="A76" s="553">
        <v>45</v>
      </c>
      <c r="B76" s="1080" t="s">
        <v>425</v>
      </c>
      <c r="C76" s="1080"/>
      <c r="D76" s="1081"/>
    </row>
    <row r="77" spans="1:4" s="13" customFormat="1" ht="15" hidden="1">
      <c r="A77" s="99">
        <v>46</v>
      </c>
      <c r="B77" s="84"/>
      <c r="C77" s="20"/>
      <c r="D77" s="19"/>
    </row>
    <row r="78" spans="1:4" s="4" customFormat="1" ht="15" hidden="1" thickBot="1">
      <c r="A78" s="99">
        <v>47</v>
      </c>
      <c r="B78" s="18" t="s">
        <v>366</v>
      </c>
      <c r="C78" s="16"/>
      <c r="D78" s="10">
        <f>SUM(D77:D77)</f>
        <v>0</v>
      </c>
    </row>
    <row r="79" spans="1:4" ht="15" hidden="1">
      <c r="A79" s="99">
        <v>64</v>
      </c>
      <c r="B79" s="1080" t="s">
        <v>426</v>
      </c>
      <c r="C79" s="1080"/>
      <c r="D79" s="1081"/>
    </row>
    <row r="80" spans="1:4" ht="15" hidden="1">
      <c r="A80" s="99">
        <v>65</v>
      </c>
      <c r="B80" s="17"/>
      <c r="C80" s="91"/>
      <c r="D80" s="90"/>
    </row>
    <row r="81" spans="1:4" s="4" customFormat="1" ht="15" hidden="1" thickBot="1">
      <c r="A81" s="100">
        <v>66</v>
      </c>
      <c r="B81" s="18" t="s">
        <v>366</v>
      </c>
      <c r="C81" s="16"/>
      <c r="D81" s="296">
        <v>0</v>
      </c>
    </row>
    <row r="82" spans="1:4" ht="21" customHeight="1" thickBot="1">
      <c r="A82" s="100">
        <v>69</v>
      </c>
      <c r="B82" s="98" t="s">
        <v>367</v>
      </c>
      <c r="C82" s="18"/>
      <c r="D82" s="296">
        <f>SUM(D81+D75+D70+D51)</f>
        <v>953306436</v>
      </c>
    </row>
    <row r="84" ht="21" customHeight="1"/>
    <row r="86" spans="2:4" ht="15">
      <c r="B86" s="1082"/>
      <c r="C86" s="1082"/>
      <c r="D86" s="1082"/>
    </row>
    <row r="88" ht="15">
      <c r="H88" s="83"/>
    </row>
  </sheetData>
  <sheetProtection/>
  <mergeCells count="15">
    <mergeCell ref="B35:D35"/>
    <mergeCell ref="B40:D40"/>
    <mergeCell ref="B64:D64"/>
    <mergeCell ref="A6:A7"/>
    <mergeCell ref="B76:D76"/>
    <mergeCell ref="B79:D79"/>
    <mergeCell ref="B86:D86"/>
    <mergeCell ref="B44:D44"/>
    <mergeCell ref="C1:D1"/>
    <mergeCell ref="B71:D71"/>
    <mergeCell ref="B3:D3"/>
    <mergeCell ref="B6:C6"/>
    <mergeCell ref="B52:D52"/>
    <mergeCell ref="B67:D67"/>
    <mergeCell ref="B7:C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74" r:id="rId1"/>
  <rowBreaks count="1" manualBreakCount="1">
    <brk id="5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Tóth Erika</cp:lastModifiedBy>
  <cp:lastPrinted>2020-03-05T09:05:49Z</cp:lastPrinted>
  <dcterms:created xsi:type="dcterms:W3CDTF">2001-11-30T10:27:10Z</dcterms:created>
  <dcterms:modified xsi:type="dcterms:W3CDTF">2020-03-27T15:08:44Z</dcterms:modified>
  <cp:category/>
  <cp:version/>
  <cp:contentType/>
  <cp:contentStatus/>
</cp:coreProperties>
</file>