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RIKA\RENDMÓD\MÓD2015\1. módosítás\Elfogadott I rend mód\"/>
    </mc:Choice>
  </mc:AlternateContent>
  <bookViews>
    <workbookView xWindow="0" yWindow="0" windowWidth="15480" windowHeight="10995" tabRatio="895" activeTab="10"/>
  </bookViews>
  <sheets>
    <sheet name="1. bevételek" sheetId="82" r:id="rId1"/>
    <sheet name="2. kiadások" sheetId="80" r:id="rId2"/>
    <sheet name="3.műk.-felh." sheetId="70" r:id="rId3"/>
    <sheet name="4.önkorm.szakf. " sheetId="54" r:id="rId4"/>
    <sheet name="5. kiadások megbontása" sheetId="77" r:id="rId5"/>
    <sheet name="6. források sz. bontás" sheetId="78" r:id="rId6"/>
    <sheet name="7.létszám" sheetId="76" r:id="rId7"/>
    <sheet name="8.felhki" sheetId="57" r:id="rId8"/>
    <sheet name="9.tart" sheetId="59" r:id="rId9"/>
    <sheet name="10.Stab.tv.saját bev." sheetId="75" r:id="rId10"/>
    <sheet name="11.normatívák" sheetId="69" r:id="rId11"/>
  </sheets>
  <definedNames>
    <definedName name="_xlnm.Print_Titles" localSheetId="0">'1. bevételek'!$5:$6</definedName>
    <definedName name="_xlnm.Print_Titles" localSheetId="10">'11.normatívák'!$5:$6</definedName>
    <definedName name="_xlnm.Print_Titles" localSheetId="1">'2. kiadások'!$5:$6</definedName>
    <definedName name="_xlnm.Print_Titles" localSheetId="2">'3.műk.-felh.'!$4:$5</definedName>
    <definedName name="_xlnm.Print_Titles" localSheetId="3">'4.önkorm.szakf. '!$4:$7</definedName>
    <definedName name="_xlnm.Print_Titles" localSheetId="4">'5. kiadások megbontása'!$5:$8</definedName>
    <definedName name="_xlnm.Print_Titles" localSheetId="6">'7.létszám'!$6:$6</definedName>
    <definedName name="_xlnm.Print_Titles" localSheetId="8">'9.tart'!$7:$7</definedName>
    <definedName name="_xlnm.Print_Area" localSheetId="0">'1. bevételek'!$A$1:$I$186</definedName>
    <definedName name="_xlnm.Print_Area" localSheetId="10">'11.normatívák'!$A$1:$L$42</definedName>
    <definedName name="_xlnm.Print_Area" localSheetId="1">'2. kiadások'!$A$1:$I$157</definedName>
    <definedName name="_xlnm.Print_Area" localSheetId="3">'4.önkorm.szakf. '!$D$1:$X$52</definedName>
    <definedName name="_xlnm.Print_Area" localSheetId="4">'5. kiadások megbontása'!$A$1:$M$75</definedName>
    <definedName name="_xlnm.Print_Area" localSheetId="5">'6. források sz. bontás'!$A$1:$AC$64</definedName>
    <definedName name="_xlnm.Print_Area" localSheetId="6">'7.létszám'!$A$1:$M$69</definedName>
    <definedName name="_xlnm.Print_Area" localSheetId="7">'8.felhki'!$A$1:$D$51</definedName>
  </definedNames>
  <calcPr calcId="152511"/>
</workbook>
</file>

<file path=xl/calcChain.xml><?xml version="1.0" encoding="utf-8"?>
<calcChain xmlns="http://schemas.openxmlformats.org/spreadsheetml/2006/main">
  <c r="D55" i="77" l="1"/>
  <c r="D45" i="77"/>
  <c r="L43" i="54"/>
  <c r="G16" i="70"/>
  <c r="G10" i="70"/>
  <c r="G9" i="70"/>
  <c r="F102" i="80"/>
  <c r="G23" i="80"/>
  <c r="G9" i="80"/>
  <c r="F29" i="69" l="1"/>
  <c r="D27" i="59"/>
  <c r="D34" i="57"/>
  <c r="D18" i="57"/>
  <c r="C53" i="76"/>
  <c r="D53" i="76"/>
  <c r="E53" i="76"/>
  <c r="F53" i="76"/>
  <c r="G53" i="76"/>
  <c r="H53" i="76"/>
  <c r="I53" i="76"/>
  <c r="J53" i="76"/>
  <c r="K53" i="76"/>
  <c r="L53" i="76"/>
  <c r="M53" i="76"/>
  <c r="B53" i="76"/>
  <c r="P17" i="78"/>
  <c r="P24" i="78"/>
  <c r="P19" i="78"/>
  <c r="J38" i="78"/>
  <c r="V11" i="78"/>
  <c r="D56" i="77"/>
  <c r="D10" i="77"/>
  <c r="D52" i="77"/>
  <c r="G15" i="77"/>
  <c r="D13" i="77"/>
  <c r="D30" i="77"/>
  <c r="D29" i="77"/>
  <c r="D31" i="77"/>
  <c r="E19" i="77"/>
  <c r="D19" i="77"/>
  <c r="D20" i="77"/>
  <c r="H8" i="54"/>
  <c r="G8" i="54"/>
  <c r="P50" i="54"/>
  <c r="I13" i="54"/>
  <c r="L28" i="54"/>
  <c r="L27" i="54"/>
  <c r="L11" i="54"/>
  <c r="L29" i="54"/>
  <c r="V17" i="54"/>
  <c r="U17" i="54"/>
  <c r="I17" i="54"/>
  <c r="H17" i="54"/>
  <c r="G17" i="54"/>
  <c r="L8" i="54"/>
  <c r="I9" i="70" l="1"/>
  <c r="G12" i="70"/>
  <c r="I10" i="70"/>
  <c r="I16" i="70"/>
  <c r="G17" i="70"/>
  <c r="G11" i="70"/>
  <c r="H33" i="70"/>
  <c r="H32" i="70"/>
  <c r="C12" i="70"/>
  <c r="D42" i="70"/>
  <c r="D34" i="70"/>
  <c r="E12" i="70"/>
  <c r="C10" i="70"/>
  <c r="C14" i="70"/>
  <c r="G19" i="80"/>
  <c r="G72" i="80"/>
  <c r="G67" i="80"/>
  <c r="F23" i="80"/>
  <c r="F115" i="80"/>
  <c r="I115" i="80" s="1"/>
  <c r="F50" i="80"/>
  <c r="F108" i="80"/>
  <c r="I108" i="80" s="1"/>
  <c r="H119" i="80"/>
  <c r="F9" i="80"/>
  <c r="F8" i="80" s="1"/>
  <c r="F131" i="80"/>
  <c r="F128" i="80"/>
  <c r="G127" i="80"/>
  <c r="F126" i="80"/>
  <c r="I126" i="80"/>
  <c r="F123" i="80"/>
  <c r="F121" i="80"/>
  <c r="I121" i="80" s="1"/>
  <c r="G94" i="80"/>
  <c r="I94" i="80" s="1"/>
  <c r="H94" i="80"/>
  <c r="F94" i="80"/>
  <c r="F53" i="80"/>
  <c r="F46" i="80"/>
  <c r="I46" i="80" s="1"/>
  <c r="F41" i="80"/>
  <c r="F31" i="80"/>
  <c r="F30" i="80"/>
  <c r="F29" i="80"/>
  <c r="F34" i="82"/>
  <c r="F51" i="82"/>
  <c r="F35" i="82"/>
  <c r="F11" i="82"/>
  <c r="F8" i="82" s="1"/>
  <c r="F65" i="82"/>
  <c r="D35" i="57"/>
  <c r="D19" i="57"/>
  <c r="D22" i="57" s="1"/>
  <c r="D27" i="57"/>
  <c r="D28" i="57" s="1"/>
  <c r="D8" i="75"/>
  <c r="I8" i="75"/>
  <c r="D14" i="59"/>
  <c r="V55" i="78"/>
  <c r="W55" i="78"/>
  <c r="V21" i="78"/>
  <c r="I11" i="70"/>
  <c r="H17" i="70"/>
  <c r="G15" i="70"/>
  <c r="I15" i="70" s="1"/>
  <c r="G14" i="70"/>
  <c r="I14" i="70" s="1"/>
  <c r="I12" i="70"/>
  <c r="C47" i="70"/>
  <c r="C28" i="70"/>
  <c r="E28" i="70" s="1"/>
  <c r="D37" i="70"/>
  <c r="E37" i="70" s="1"/>
  <c r="E62" i="77"/>
  <c r="D62" i="77"/>
  <c r="D61" i="77"/>
  <c r="H22" i="80"/>
  <c r="H99" i="82"/>
  <c r="H84" i="82" s="1"/>
  <c r="H98" i="82"/>
  <c r="F112" i="82"/>
  <c r="L19" i="77"/>
  <c r="I19" i="77"/>
  <c r="F19" i="77"/>
  <c r="M19" i="77" s="1"/>
  <c r="D35" i="77"/>
  <c r="F35" i="77"/>
  <c r="D41" i="77"/>
  <c r="D39" i="77"/>
  <c r="F39" i="77" s="1"/>
  <c r="D48" i="77"/>
  <c r="G43" i="77"/>
  <c r="D34" i="77"/>
  <c r="D32" i="77"/>
  <c r="J16" i="77"/>
  <c r="J54" i="77" s="1"/>
  <c r="E30" i="77"/>
  <c r="E54" i="77" s="1"/>
  <c r="F30" i="77"/>
  <c r="D28" i="77"/>
  <c r="F10" i="77"/>
  <c r="E13" i="77"/>
  <c r="F13" i="77"/>
  <c r="D14" i="77"/>
  <c r="D53" i="77"/>
  <c r="E53" i="77"/>
  <c r="D22" i="77"/>
  <c r="F22" i="77" s="1"/>
  <c r="D26" i="77"/>
  <c r="I8" i="54"/>
  <c r="L33" i="54"/>
  <c r="X33" i="54" s="1"/>
  <c r="L39" i="54"/>
  <c r="L37" i="54"/>
  <c r="X37" i="54" s="1"/>
  <c r="X17" i="54"/>
  <c r="I46" i="54"/>
  <c r="L41" i="54"/>
  <c r="H32" i="54"/>
  <c r="G32" i="54"/>
  <c r="X32" i="54"/>
  <c r="H30" i="54"/>
  <c r="G30" i="54"/>
  <c r="X30" i="54" s="1"/>
  <c r="G14" i="54"/>
  <c r="H14" i="54"/>
  <c r="I14" i="54"/>
  <c r="Q50" i="54"/>
  <c r="U28" i="54"/>
  <c r="X28" i="54"/>
  <c r="I26" i="54"/>
  <c r="M8" i="54"/>
  <c r="M52" i="54" s="1"/>
  <c r="I12" i="54"/>
  <c r="H12" i="54"/>
  <c r="G12" i="54"/>
  <c r="G52" i="54"/>
  <c r="I51" i="54"/>
  <c r="H51" i="54"/>
  <c r="G51" i="54"/>
  <c r="U51" i="54"/>
  <c r="L20" i="54"/>
  <c r="I24" i="54"/>
  <c r="X24" i="54" s="1"/>
  <c r="F114" i="80"/>
  <c r="I114" i="80" s="1"/>
  <c r="I143" i="80"/>
  <c r="I140" i="80"/>
  <c r="I99" i="80"/>
  <c r="I102" i="80"/>
  <c r="G170" i="82"/>
  <c r="G169" i="82" s="1"/>
  <c r="H170" i="82"/>
  <c r="H169" i="82"/>
  <c r="G164" i="82"/>
  <c r="G159" i="82" s="1"/>
  <c r="G158" i="82" s="1"/>
  <c r="H164" i="82"/>
  <c r="F164" i="82"/>
  <c r="G160" i="82"/>
  <c r="H160" i="82"/>
  <c r="H159" i="82" s="1"/>
  <c r="G146" i="82"/>
  <c r="H146" i="82"/>
  <c r="G136" i="82"/>
  <c r="G132" i="82" s="1"/>
  <c r="H136" i="82"/>
  <c r="H132" i="82" s="1"/>
  <c r="F136" i="82"/>
  <c r="G117" i="82"/>
  <c r="H117" i="82"/>
  <c r="G84" i="82"/>
  <c r="F84" i="82"/>
  <c r="I88" i="82"/>
  <c r="I96" i="82"/>
  <c r="I95" i="82"/>
  <c r="I94" i="82"/>
  <c r="I93" i="82"/>
  <c r="I104" i="82"/>
  <c r="I103" i="82"/>
  <c r="I102" i="82"/>
  <c r="I106" i="82"/>
  <c r="I119" i="82"/>
  <c r="I120" i="82"/>
  <c r="I179" i="82"/>
  <c r="I180" i="82"/>
  <c r="I181" i="82"/>
  <c r="I165" i="82"/>
  <c r="I166" i="82"/>
  <c r="I167" i="82"/>
  <c r="I168" i="82"/>
  <c r="I156" i="82"/>
  <c r="I157" i="82"/>
  <c r="F146" i="82"/>
  <c r="I155" i="82"/>
  <c r="I154" i="82"/>
  <c r="I153" i="82"/>
  <c r="I152" i="82"/>
  <c r="I151" i="82"/>
  <c r="I150" i="82"/>
  <c r="I149" i="82"/>
  <c r="I148" i="82"/>
  <c r="I147" i="82"/>
  <c r="I134" i="82"/>
  <c r="I135" i="82"/>
  <c r="I145" i="82"/>
  <c r="I144" i="82"/>
  <c r="I143" i="82"/>
  <c r="I142" i="82"/>
  <c r="I141" i="82"/>
  <c r="I140" i="82"/>
  <c r="I139" i="82"/>
  <c r="I138" i="82"/>
  <c r="I137" i="82"/>
  <c r="I183" i="82"/>
  <c r="I57" i="80"/>
  <c r="C13" i="70"/>
  <c r="E13" i="70" s="1"/>
  <c r="C29" i="76"/>
  <c r="D29" i="76"/>
  <c r="D54" i="76" s="1"/>
  <c r="E29" i="76"/>
  <c r="F29" i="76"/>
  <c r="F54" i="76" s="1"/>
  <c r="G29" i="76"/>
  <c r="H29" i="76"/>
  <c r="H54" i="76" s="1"/>
  <c r="I29" i="76"/>
  <c r="J29" i="76"/>
  <c r="K29" i="76"/>
  <c r="L29" i="76"/>
  <c r="M29" i="76"/>
  <c r="C24" i="76"/>
  <c r="D24" i="76"/>
  <c r="E24" i="76"/>
  <c r="F24" i="76"/>
  <c r="G24" i="76"/>
  <c r="H24" i="76"/>
  <c r="I24" i="76"/>
  <c r="J24" i="76"/>
  <c r="K24" i="76"/>
  <c r="L24" i="76"/>
  <c r="M24" i="76"/>
  <c r="M54" i="76" s="1"/>
  <c r="B24" i="76"/>
  <c r="D50" i="57"/>
  <c r="D42" i="57"/>
  <c r="V12" i="78"/>
  <c r="Q27" i="78"/>
  <c r="K59" i="78"/>
  <c r="Q21" i="78"/>
  <c r="K54" i="78"/>
  <c r="L10" i="77"/>
  <c r="L11" i="77"/>
  <c r="L12" i="77"/>
  <c r="L13" i="77"/>
  <c r="L14" i="77"/>
  <c r="L15" i="77"/>
  <c r="L16" i="77"/>
  <c r="L17" i="77"/>
  <c r="L18" i="77"/>
  <c r="L20" i="77"/>
  <c r="L21" i="77"/>
  <c r="L22" i="77"/>
  <c r="L23" i="77"/>
  <c r="L24" i="77"/>
  <c r="L25" i="77"/>
  <c r="L26" i="77"/>
  <c r="L27" i="77"/>
  <c r="L28" i="77"/>
  <c r="L29" i="77"/>
  <c r="L30" i="77"/>
  <c r="L31" i="77"/>
  <c r="L32" i="77"/>
  <c r="L33" i="77"/>
  <c r="L34" i="77"/>
  <c r="L35" i="77"/>
  <c r="L36" i="77"/>
  <c r="L37" i="77"/>
  <c r="L38" i="77"/>
  <c r="L39" i="77"/>
  <c r="L40" i="77"/>
  <c r="L41" i="77"/>
  <c r="L42" i="77"/>
  <c r="L43" i="77"/>
  <c r="I10" i="77"/>
  <c r="I11" i="77"/>
  <c r="I12" i="77"/>
  <c r="I13" i="77"/>
  <c r="M13" i="77" s="1"/>
  <c r="I14" i="77"/>
  <c r="I15" i="77"/>
  <c r="I16" i="77"/>
  <c r="I17" i="77"/>
  <c r="I18" i="77"/>
  <c r="I20" i="77"/>
  <c r="I21" i="77"/>
  <c r="I22" i="77"/>
  <c r="I23" i="77"/>
  <c r="I24" i="77"/>
  <c r="I25" i="77"/>
  <c r="I26" i="77"/>
  <c r="I27" i="77"/>
  <c r="I28" i="77"/>
  <c r="I29" i="77"/>
  <c r="I30" i="77"/>
  <c r="I31" i="77"/>
  <c r="I32" i="77"/>
  <c r="I33" i="77"/>
  <c r="I34" i="77"/>
  <c r="I35" i="77"/>
  <c r="I36" i="77"/>
  <c r="I37" i="77"/>
  <c r="M37" i="77" s="1"/>
  <c r="I38" i="77"/>
  <c r="M38" i="77"/>
  <c r="I39" i="77"/>
  <c r="I40" i="77"/>
  <c r="I41" i="77"/>
  <c r="I42" i="77"/>
  <c r="F11" i="77"/>
  <c r="F12" i="77"/>
  <c r="F14" i="77"/>
  <c r="F15" i="77"/>
  <c r="F16" i="77"/>
  <c r="F17" i="77"/>
  <c r="F18" i="77"/>
  <c r="M18" i="77" s="1"/>
  <c r="F20" i="77"/>
  <c r="M20" i="77" s="1"/>
  <c r="F21" i="77"/>
  <c r="M21" i="77" s="1"/>
  <c r="F23" i="77"/>
  <c r="M23" i="77" s="1"/>
  <c r="F24" i="77"/>
  <c r="M24" i="77" s="1"/>
  <c r="F25" i="77"/>
  <c r="M25" i="77" s="1"/>
  <c r="F26" i="77"/>
  <c r="F27" i="77"/>
  <c r="F28" i="77"/>
  <c r="M28" i="77" s="1"/>
  <c r="F29" i="77"/>
  <c r="M29" i="77" s="1"/>
  <c r="F31" i="77"/>
  <c r="M31" i="77" s="1"/>
  <c r="F32" i="77"/>
  <c r="M32" i="77"/>
  <c r="F33" i="77"/>
  <c r="F34" i="77"/>
  <c r="M34" i="77" s="1"/>
  <c r="F36" i="77"/>
  <c r="F37" i="77"/>
  <c r="F38" i="77"/>
  <c r="F40" i="77"/>
  <c r="M40" i="77" s="1"/>
  <c r="F41" i="77"/>
  <c r="F42" i="77"/>
  <c r="M42" i="77" s="1"/>
  <c r="F43" i="77"/>
  <c r="R52" i="54"/>
  <c r="S52" i="54"/>
  <c r="T52" i="54"/>
  <c r="X9" i="54"/>
  <c r="X10" i="54"/>
  <c r="X11" i="54"/>
  <c r="X13" i="54"/>
  <c r="X15" i="54"/>
  <c r="X16" i="54"/>
  <c r="X18" i="54"/>
  <c r="X19" i="54"/>
  <c r="X20" i="54"/>
  <c r="X21" i="54"/>
  <c r="X22" i="54"/>
  <c r="X23" i="54"/>
  <c r="X25" i="54"/>
  <c r="X26" i="54"/>
  <c r="X27" i="54"/>
  <c r="X29" i="54"/>
  <c r="X31" i="54"/>
  <c r="X34" i="54"/>
  <c r="X35" i="54"/>
  <c r="X36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1" i="54"/>
  <c r="J52" i="54"/>
  <c r="K52" i="54"/>
  <c r="L52" i="54"/>
  <c r="N52" i="54"/>
  <c r="O52" i="54"/>
  <c r="P52" i="54"/>
  <c r="U52" i="54"/>
  <c r="V52" i="54"/>
  <c r="W52" i="54"/>
  <c r="D35" i="59"/>
  <c r="I155" i="80"/>
  <c r="I154" i="80"/>
  <c r="I153" i="80"/>
  <c r="H152" i="80"/>
  <c r="G152" i="80"/>
  <c r="F152" i="80"/>
  <c r="I152" i="80"/>
  <c r="I151" i="80"/>
  <c r="I150" i="80"/>
  <c r="I149" i="80"/>
  <c r="I148" i="80"/>
  <c r="I147" i="80"/>
  <c r="I146" i="80"/>
  <c r="I145" i="80"/>
  <c r="I144" i="80"/>
  <c r="I142" i="80"/>
  <c r="H141" i="80"/>
  <c r="H132" i="80" s="1"/>
  <c r="G141" i="80"/>
  <c r="G132" i="80" s="1"/>
  <c r="F141" i="80"/>
  <c r="I139" i="80"/>
  <c r="I138" i="80"/>
  <c r="I137" i="80"/>
  <c r="I136" i="80"/>
  <c r="I135" i="80"/>
  <c r="I134" i="80"/>
  <c r="I133" i="80"/>
  <c r="I131" i="80"/>
  <c r="I130" i="80"/>
  <c r="I129" i="80"/>
  <c r="H127" i="80"/>
  <c r="I125" i="80"/>
  <c r="I124" i="80"/>
  <c r="I123" i="80"/>
  <c r="I122" i="80"/>
  <c r="I120" i="80"/>
  <c r="G119" i="80"/>
  <c r="I118" i="80"/>
  <c r="I117" i="80"/>
  <c r="I116" i="80"/>
  <c r="I113" i="80"/>
  <c r="I112" i="80"/>
  <c r="H111" i="80"/>
  <c r="G111" i="80"/>
  <c r="F111" i="80"/>
  <c r="I110" i="80"/>
  <c r="I109" i="80"/>
  <c r="I107" i="80"/>
  <c r="I106" i="80"/>
  <c r="I105" i="80"/>
  <c r="I104" i="80"/>
  <c r="I103" i="80"/>
  <c r="I101" i="80"/>
  <c r="H100" i="80"/>
  <c r="G100" i="80"/>
  <c r="G76" i="80" s="1"/>
  <c r="I98" i="80"/>
  <c r="I97" i="80"/>
  <c r="I93" i="80"/>
  <c r="I92" i="80"/>
  <c r="I91" i="80"/>
  <c r="I90" i="80"/>
  <c r="I89" i="80"/>
  <c r="I88" i="80"/>
  <c r="I87" i="80"/>
  <c r="I86" i="80"/>
  <c r="I85" i="80"/>
  <c r="I84" i="80"/>
  <c r="I83" i="80"/>
  <c r="H82" i="80"/>
  <c r="G82" i="80"/>
  <c r="F82" i="80"/>
  <c r="I81" i="80"/>
  <c r="I80" i="80"/>
  <c r="I79" i="80"/>
  <c r="I78" i="80"/>
  <c r="I77" i="80"/>
  <c r="I75" i="80"/>
  <c r="I74" i="80"/>
  <c r="I73" i="80"/>
  <c r="H71" i="80"/>
  <c r="F71" i="80"/>
  <c r="I70" i="80"/>
  <c r="I69" i="80"/>
  <c r="H68" i="80"/>
  <c r="G68" i="80"/>
  <c r="F68" i="80"/>
  <c r="I68" i="80"/>
  <c r="I67" i="80"/>
  <c r="H66" i="80"/>
  <c r="G66" i="80"/>
  <c r="F66" i="80"/>
  <c r="I66" i="80" s="1"/>
  <c r="I65" i="80"/>
  <c r="I64" i="80"/>
  <c r="H63" i="80"/>
  <c r="G63" i="80"/>
  <c r="F63" i="80"/>
  <c r="I63" i="80" s="1"/>
  <c r="I62" i="80"/>
  <c r="I61" i="80"/>
  <c r="I60" i="80"/>
  <c r="I59" i="80"/>
  <c r="H58" i="80"/>
  <c r="G58" i="80"/>
  <c r="F58" i="80"/>
  <c r="I58" i="80" s="1"/>
  <c r="I55" i="80"/>
  <c r="I54" i="80"/>
  <c r="I53" i="80"/>
  <c r="I52" i="80" s="1"/>
  <c r="H52" i="80"/>
  <c r="G52" i="80"/>
  <c r="F52" i="80"/>
  <c r="I51" i="80"/>
  <c r="I50" i="80"/>
  <c r="I49" i="80" s="1"/>
  <c r="H49" i="80"/>
  <c r="G49" i="80"/>
  <c r="F49" i="80"/>
  <c r="I48" i="80"/>
  <c r="I47" i="80"/>
  <c r="I45" i="80"/>
  <c r="I44" i="80"/>
  <c r="I43" i="80"/>
  <c r="I42" i="80"/>
  <c r="I41" i="80"/>
  <c r="I40" i="80"/>
  <c r="I39" i="80"/>
  <c r="I38" i="80"/>
  <c r="I37" i="80"/>
  <c r="H35" i="80"/>
  <c r="G36" i="80"/>
  <c r="F36" i="80"/>
  <c r="I34" i="80"/>
  <c r="I33" i="80"/>
  <c r="I32" i="80"/>
  <c r="H32" i="80"/>
  <c r="G32" i="80"/>
  <c r="F32" i="80"/>
  <c r="I31" i="80"/>
  <c r="I30" i="80"/>
  <c r="H29" i="80"/>
  <c r="G29" i="80"/>
  <c r="I27" i="80"/>
  <c r="I26" i="80"/>
  <c r="I25" i="80"/>
  <c r="I24" i="80"/>
  <c r="G22" i="80"/>
  <c r="I21" i="80"/>
  <c r="I20" i="80"/>
  <c r="I19" i="80"/>
  <c r="H18" i="80"/>
  <c r="G18" i="80"/>
  <c r="F18" i="80"/>
  <c r="I18" i="80" s="1"/>
  <c r="I17" i="80"/>
  <c r="I16" i="80"/>
  <c r="I15" i="80"/>
  <c r="I14" i="80"/>
  <c r="I13" i="80"/>
  <c r="I12" i="80"/>
  <c r="I11" i="80"/>
  <c r="I10" i="80"/>
  <c r="I9" i="80"/>
  <c r="H8" i="80"/>
  <c r="H7" i="80" s="1"/>
  <c r="G8" i="80"/>
  <c r="G7" i="80" s="1"/>
  <c r="F39" i="69"/>
  <c r="L39" i="69" s="1"/>
  <c r="N37" i="69" s="1"/>
  <c r="F16" i="69"/>
  <c r="W27" i="78"/>
  <c r="K48" i="78"/>
  <c r="X48" i="78"/>
  <c r="W82" i="78" s="1"/>
  <c r="L36" i="69"/>
  <c r="K26" i="69"/>
  <c r="L26" i="69"/>
  <c r="N25" i="69" s="1"/>
  <c r="K27" i="69"/>
  <c r="L27" i="69" s="1"/>
  <c r="L24" i="69"/>
  <c r="N24" i="69" s="1"/>
  <c r="K22" i="69"/>
  <c r="L22" i="69" s="1"/>
  <c r="L17" i="69"/>
  <c r="N17" i="69" s="1"/>
  <c r="W7" i="78"/>
  <c r="I171" i="82"/>
  <c r="D36" i="57"/>
  <c r="H54" i="77"/>
  <c r="K54" i="77"/>
  <c r="D13" i="70"/>
  <c r="D17" i="70"/>
  <c r="E24" i="70"/>
  <c r="F45" i="82"/>
  <c r="F40" i="82" s="1"/>
  <c r="Q59" i="78"/>
  <c r="X60" i="78"/>
  <c r="W77" i="78" s="1"/>
  <c r="W78" i="78" s="1"/>
  <c r="W28" i="78"/>
  <c r="Q28" i="78"/>
  <c r="K28" i="78"/>
  <c r="Q30" i="78"/>
  <c r="W30" i="78"/>
  <c r="K30" i="78"/>
  <c r="Y76" i="78"/>
  <c r="D77" i="78"/>
  <c r="F77" i="78" s="1"/>
  <c r="AB60" i="78"/>
  <c r="Q55" i="78"/>
  <c r="Q63" i="78" s="1"/>
  <c r="K63" i="78"/>
  <c r="F60" i="78"/>
  <c r="G65" i="77"/>
  <c r="H65" i="77"/>
  <c r="J65" i="77"/>
  <c r="K65" i="77"/>
  <c r="L63" i="77"/>
  <c r="I63" i="77"/>
  <c r="F63" i="77"/>
  <c r="F9" i="69"/>
  <c r="L9" i="69" s="1"/>
  <c r="N9" i="69" s="1"/>
  <c r="F10" i="69"/>
  <c r="L11" i="69"/>
  <c r="L12" i="69"/>
  <c r="L13" i="69"/>
  <c r="L14" i="69"/>
  <c r="L15" i="69"/>
  <c r="N15" i="69" s="1"/>
  <c r="K20" i="69"/>
  <c r="K21" i="69"/>
  <c r="L21" i="69"/>
  <c r="K23" i="69"/>
  <c r="L29" i="69"/>
  <c r="N29" i="69" s="1"/>
  <c r="L30" i="69"/>
  <c r="N30" i="69" s="1"/>
  <c r="F31" i="69"/>
  <c r="L32" i="69"/>
  <c r="L33" i="69"/>
  <c r="N31" i="69" s="1"/>
  <c r="K34" i="69"/>
  <c r="K28" i="69" s="1"/>
  <c r="F35" i="69"/>
  <c r="L35" i="69" s="1"/>
  <c r="N34" i="69" s="1"/>
  <c r="N28" i="69" s="1"/>
  <c r="I9" i="75"/>
  <c r="I10" i="75"/>
  <c r="I11" i="75"/>
  <c r="I12" i="75"/>
  <c r="I13" i="75"/>
  <c r="I14" i="75"/>
  <c r="I15" i="75"/>
  <c r="D11" i="59"/>
  <c r="D17" i="59"/>
  <c r="D25" i="57"/>
  <c r="D45" i="57"/>
  <c r="B29" i="76"/>
  <c r="B68" i="76"/>
  <c r="B69" i="76" s="1"/>
  <c r="C68" i="76"/>
  <c r="C69" i="76" s="1"/>
  <c r="D68" i="76"/>
  <c r="D69" i="76" s="1"/>
  <c r="E68" i="76"/>
  <c r="E69" i="76" s="1"/>
  <c r="F68" i="76"/>
  <c r="F69" i="76" s="1"/>
  <c r="G68" i="76"/>
  <c r="G69" i="76" s="1"/>
  <c r="H68" i="76"/>
  <c r="H69" i="76" s="1"/>
  <c r="I68" i="76"/>
  <c r="I69" i="76" s="1"/>
  <c r="J68" i="76"/>
  <c r="J69" i="76" s="1"/>
  <c r="K68" i="76"/>
  <c r="K69" i="76" s="1"/>
  <c r="L68" i="76"/>
  <c r="L69" i="76" s="1"/>
  <c r="M68" i="76"/>
  <c r="M69" i="76" s="1"/>
  <c r="K7" i="78"/>
  <c r="Q7" i="78"/>
  <c r="F9" i="78"/>
  <c r="W21" i="78"/>
  <c r="Y12" i="78" s="1"/>
  <c r="K21" i="78"/>
  <c r="K34" i="78" s="1"/>
  <c r="F27" i="78"/>
  <c r="K27" i="78"/>
  <c r="AB27" i="78"/>
  <c r="F30" i="78"/>
  <c r="D34" i="78"/>
  <c r="E34" i="78"/>
  <c r="W60" i="78"/>
  <c r="W63" i="78" s="1"/>
  <c r="W37" i="78"/>
  <c r="K37" i="78"/>
  <c r="K50" i="78" s="1"/>
  <c r="K64" i="78" s="1"/>
  <c r="Q37" i="78"/>
  <c r="F39" i="78"/>
  <c r="F50" i="78" s="1"/>
  <c r="AB39" i="78"/>
  <c r="F48" i="78"/>
  <c r="D50" i="78"/>
  <c r="E50" i="78"/>
  <c r="AB50" i="78" s="1"/>
  <c r="F56" i="78"/>
  <c r="D63" i="78"/>
  <c r="E63" i="78"/>
  <c r="D69" i="78"/>
  <c r="E69" i="78"/>
  <c r="F69" i="78" s="1"/>
  <c r="D70" i="78"/>
  <c r="D72" i="78" s="1"/>
  <c r="E70" i="78"/>
  <c r="X70" i="78"/>
  <c r="AB70" i="78"/>
  <c r="D71" i="78"/>
  <c r="E71" i="78"/>
  <c r="E72" i="78" s="1"/>
  <c r="E86" i="78" s="1"/>
  <c r="X71" i="78"/>
  <c r="D75" i="78"/>
  <c r="E75" i="78"/>
  <c r="E78" i="78"/>
  <c r="F76" i="78"/>
  <c r="AA76" i="78"/>
  <c r="AB76" i="78"/>
  <c r="AC76" i="78"/>
  <c r="D81" i="78"/>
  <c r="F81" i="78"/>
  <c r="E81" i="78"/>
  <c r="D82" i="78"/>
  <c r="F82" i="78" s="1"/>
  <c r="F84" i="78" s="1"/>
  <c r="E82" i="78"/>
  <c r="AB82" i="78"/>
  <c r="F83" i="78"/>
  <c r="AB77" i="78"/>
  <c r="Y83" i="78"/>
  <c r="AA83" i="78"/>
  <c r="AB83" i="78"/>
  <c r="AC83" i="78" s="1"/>
  <c r="X84" i="78"/>
  <c r="F44" i="77"/>
  <c r="I44" i="77"/>
  <c r="L44" i="77"/>
  <c r="M44" i="77" s="1"/>
  <c r="F45" i="77"/>
  <c r="I45" i="77"/>
  <c r="L45" i="77"/>
  <c r="F46" i="77"/>
  <c r="I46" i="77"/>
  <c r="M46" i="77" s="1"/>
  <c r="L46" i="77"/>
  <c r="F47" i="77"/>
  <c r="I47" i="77"/>
  <c r="L47" i="77"/>
  <c r="F48" i="77"/>
  <c r="M48" i="77" s="1"/>
  <c r="I48" i="77"/>
  <c r="L48" i="77"/>
  <c r="F49" i="77"/>
  <c r="I49" i="77"/>
  <c r="M49" i="77"/>
  <c r="L49" i="77"/>
  <c r="F50" i="77"/>
  <c r="I50" i="77"/>
  <c r="L50" i="77"/>
  <c r="F51" i="77"/>
  <c r="I51" i="77"/>
  <c r="L51" i="77"/>
  <c r="M51" i="77" s="1"/>
  <c r="F52" i="77"/>
  <c r="M52" i="77" s="1"/>
  <c r="I52" i="77"/>
  <c r="L52" i="77"/>
  <c r="F53" i="77"/>
  <c r="I53" i="77"/>
  <c r="L53" i="77"/>
  <c r="D54" i="77"/>
  <c r="F55" i="77"/>
  <c r="I55" i="77"/>
  <c r="L55" i="77"/>
  <c r="F56" i="77"/>
  <c r="I56" i="77"/>
  <c r="L56" i="77"/>
  <c r="F57" i="77"/>
  <c r="I57" i="77"/>
  <c r="L57" i="77"/>
  <c r="L60" i="77" s="1"/>
  <c r="F58" i="77"/>
  <c r="I58" i="77"/>
  <c r="M58" i="77"/>
  <c r="L58" i="77"/>
  <c r="F59" i="77"/>
  <c r="I59" i="77"/>
  <c r="L59" i="77"/>
  <c r="M59" i="77" s="1"/>
  <c r="D60" i="77"/>
  <c r="E60" i="77"/>
  <c r="G60" i="77"/>
  <c r="H60" i="77"/>
  <c r="J60" i="77"/>
  <c r="K60" i="77"/>
  <c r="K66" i="77" s="1"/>
  <c r="I61" i="77"/>
  <c r="L61" i="77"/>
  <c r="I62" i="77"/>
  <c r="L62" i="77"/>
  <c r="F64" i="77"/>
  <c r="I64" i="77"/>
  <c r="L64" i="77"/>
  <c r="L65" i="77" s="1"/>
  <c r="F52" i="54"/>
  <c r="D32" i="70"/>
  <c r="E32" i="70"/>
  <c r="D40" i="70"/>
  <c r="E40" i="70"/>
  <c r="D8" i="70"/>
  <c r="C9" i="70"/>
  <c r="E10" i="70"/>
  <c r="E11" i="70"/>
  <c r="E15" i="70"/>
  <c r="E16" i="70"/>
  <c r="C17" i="70"/>
  <c r="E17" i="70" s="1"/>
  <c r="E18" i="70"/>
  <c r="E19" i="70"/>
  <c r="E20" i="70"/>
  <c r="E21" i="70"/>
  <c r="E22" i="70"/>
  <c r="E23" i="70"/>
  <c r="E25" i="70"/>
  <c r="E26" i="70"/>
  <c r="E29" i="70"/>
  <c r="C32" i="70"/>
  <c r="E33" i="70"/>
  <c r="I33" i="70"/>
  <c r="E34" i="70"/>
  <c r="G34" i="70"/>
  <c r="I34" i="70"/>
  <c r="H34" i="70"/>
  <c r="D35" i="70"/>
  <c r="E35" i="70" s="1"/>
  <c r="I35" i="70"/>
  <c r="E36" i="70"/>
  <c r="I36" i="70"/>
  <c r="C37" i="70"/>
  <c r="C35" i="70"/>
  <c r="I37" i="70"/>
  <c r="E38" i="70"/>
  <c r="I38" i="70"/>
  <c r="E39" i="70"/>
  <c r="I39" i="70"/>
  <c r="C40" i="70"/>
  <c r="E41" i="70"/>
  <c r="E42" i="70"/>
  <c r="D46" i="70"/>
  <c r="C48" i="70"/>
  <c r="D48" i="70"/>
  <c r="E48" i="70"/>
  <c r="G48" i="70"/>
  <c r="I48" i="70"/>
  <c r="H48" i="70"/>
  <c r="E49" i="70"/>
  <c r="I49" i="70"/>
  <c r="E50" i="70"/>
  <c r="I50" i="70"/>
  <c r="G8" i="82"/>
  <c r="G7" i="82" s="1"/>
  <c r="I7" i="82" s="1"/>
  <c r="H8" i="82"/>
  <c r="I9" i="82"/>
  <c r="I10" i="82"/>
  <c r="I11" i="82"/>
  <c r="I12" i="82"/>
  <c r="I13" i="82"/>
  <c r="I15" i="82"/>
  <c r="I16" i="82"/>
  <c r="F17" i="82"/>
  <c r="G17" i="82"/>
  <c r="H17" i="82"/>
  <c r="I18" i="82"/>
  <c r="I19" i="82"/>
  <c r="I20" i="82"/>
  <c r="I21" i="82"/>
  <c r="I22" i="82"/>
  <c r="I23" i="82"/>
  <c r="I24" i="82"/>
  <c r="I25" i="82"/>
  <c r="I26" i="82"/>
  <c r="I27" i="82"/>
  <c r="I28" i="82"/>
  <c r="F29" i="82"/>
  <c r="I29" i="82" s="1"/>
  <c r="G29" i="82"/>
  <c r="H29" i="82"/>
  <c r="I30" i="82"/>
  <c r="I31" i="82"/>
  <c r="I32" i="82"/>
  <c r="I33" i="82"/>
  <c r="I34" i="82"/>
  <c r="I35" i="82"/>
  <c r="I36" i="82"/>
  <c r="I37" i="82"/>
  <c r="I38" i="82"/>
  <c r="I39" i="82"/>
  <c r="I41" i="82"/>
  <c r="I42" i="82"/>
  <c r="I43" i="82"/>
  <c r="I44" i="82"/>
  <c r="G45" i="82"/>
  <c r="G40" i="82" s="1"/>
  <c r="I40" i="82" s="1"/>
  <c r="H45" i="82"/>
  <c r="I46" i="82"/>
  <c r="I47" i="82"/>
  <c r="I49" i="82"/>
  <c r="I50" i="82"/>
  <c r="I51" i="82"/>
  <c r="I52" i="82"/>
  <c r="I53" i="82"/>
  <c r="I54" i="82"/>
  <c r="I55" i="82"/>
  <c r="I57" i="82"/>
  <c r="I58" i="82"/>
  <c r="I59" i="82"/>
  <c r="F60" i="82"/>
  <c r="I60" i="82"/>
  <c r="G60" i="82"/>
  <c r="I61" i="82"/>
  <c r="I62" i="82"/>
  <c r="G64" i="82"/>
  <c r="I66" i="82"/>
  <c r="I67" i="82"/>
  <c r="I68" i="82"/>
  <c r="F69" i="82"/>
  <c r="G69" i="82"/>
  <c r="G63" i="82"/>
  <c r="G56" i="82" s="1"/>
  <c r="I70" i="82"/>
  <c r="F71" i="82"/>
  <c r="I71" i="82"/>
  <c r="I72" i="82"/>
  <c r="I73" i="82"/>
  <c r="F74" i="82"/>
  <c r="G74" i="82"/>
  <c r="I74" i="82" s="1"/>
  <c r="H74" i="82"/>
  <c r="H56" i="82" s="1"/>
  <c r="H186" i="82" s="1"/>
  <c r="I75" i="82"/>
  <c r="I76" i="82"/>
  <c r="I77" i="82"/>
  <c r="I78" i="82"/>
  <c r="I79" i="82"/>
  <c r="I80" i="82"/>
  <c r="I81" i="82"/>
  <c r="I82" i="82"/>
  <c r="I83" i="82"/>
  <c r="I85" i="82"/>
  <c r="I86" i="82"/>
  <c r="I87" i="82"/>
  <c r="I89" i="82"/>
  <c r="I90" i="82"/>
  <c r="I91" i="82"/>
  <c r="I92" i="82"/>
  <c r="I97" i="82"/>
  <c r="I98" i="82"/>
  <c r="I99" i="82"/>
  <c r="I100" i="82"/>
  <c r="I101" i="82"/>
  <c r="I105" i="82"/>
  <c r="I107" i="82"/>
  <c r="I108" i="82"/>
  <c r="I109" i="82"/>
  <c r="F110" i="82"/>
  <c r="G110" i="82"/>
  <c r="I110" i="82" s="1"/>
  <c r="H110" i="82"/>
  <c r="I111" i="82"/>
  <c r="I112" i="82"/>
  <c r="I113" i="82"/>
  <c r="I114" i="82"/>
  <c r="I115" i="82"/>
  <c r="I116" i="82"/>
  <c r="I118" i="82"/>
  <c r="F121" i="82"/>
  <c r="F117" i="82" s="1"/>
  <c r="I122" i="82"/>
  <c r="I123" i="82"/>
  <c r="I124" i="82"/>
  <c r="I125" i="82"/>
  <c r="I126" i="82"/>
  <c r="I127" i="82"/>
  <c r="I128" i="82"/>
  <c r="I129" i="82"/>
  <c r="I130" i="82"/>
  <c r="I131" i="82"/>
  <c r="I133" i="82"/>
  <c r="F160" i="82"/>
  <c r="I161" i="82"/>
  <c r="I162" i="82"/>
  <c r="I163" i="82"/>
  <c r="I164" i="82"/>
  <c r="I172" i="82"/>
  <c r="I173" i="82"/>
  <c r="I174" i="82"/>
  <c r="I175" i="82"/>
  <c r="I176" i="82"/>
  <c r="I177" i="82"/>
  <c r="I178" i="82"/>
  <c r="I182" i="82"/>
  <c r="I184" i="82"/>
  <c r="Y63" i="78"/>
  <c r="AB63" i="78"/>
  <c r="AB56" i="78"/>
  <c r="I48" i="82"/>
  <c r="I14" i="82"/>
  <c r="F37" i="69"/>
  <c r="L37" i="69" s="1"/>
  <c r="F34" i="69"/>
  <c r="L34" i="69" s="1"/>
  <c r="C46" i="70"/>
  <c r="E46" i="70" s="1"/>
  <c r="E47" i="70"/>
  <c r="F170" i="82"/>
  <c r="L10" i="69"/>
  <c r="E84" i="78"/>
  <c r="Q50" i="78"/>
  <c r="AB81" i="78"/>
  <c r="AB84" i="78" s="1"/>
  <c r="H40" i="82"/>
  <c r="K19" i="69"/>
  <c r="L20" i="69"/>
  <c r="G31" i="70"/>
  <c r="L19" i="69"/>
  <c r="D29" i="59"/>
  <c r="D37" i="59" s="1"/>
  <c r="D31" i="70"/>
  <c r="E31" i="70" s="1"/>
  <c r="E9" i="70"/>
  <c r="N10" i="69"/>
  <c r="K25" i="69"/>
  <c r="L25" i="69"/>
  <c r="AA48" i="78"/>
  <c r="L16" i="69"/>
  <c r="N16" i="69" s="1"/>
  <c r="F8" i="69"/>
  <c r="L8" i="69" s="1"/>
  <c r="C31" i="70"/>
  <c r="H66" i="77"/>
  <c r="M27" i="77"/>
  <c r="M55" i="77"/>
  <c r="M63" i="77"/>
  <c r="M64" i="77"/>
  <c r="M56" i="77"/>
  <c r="M26" i="77"/>
  <c r="J66" i="77"/>
  <c r="Z48" i="78"/>
  <c r="X29" i="78"/>
  <c r="Z60" i="78"/>
  <c r="C54" i="76"/>
  <c r="B54" i="76"/>
  <c r="E14" i="70"/>
  <c r="H56" i="80"/>
  <c r="I117" i="82"/>
  <c r="I136" i="82"/>
  <c r="H7" i="82"/>
  <c r="I17" i="82"/>
  <c r="I45" i="82"/>
  <c r="H158" i="82"/>
  <c r="M30" i="77"/>
  <c r="M16" i="77"/>
  <c r="X12" i="78"/>
  <c r="AA12" i="78" s="1"/>
  <c r="AA34" i="78" s="1"/>
  <c r="X56" i="78"/>
  <c r="F63" i="78"/>
  <c r="D84" i="78"/>
  <c r="G13" i="70"/>
  <c r="G8" i="70" s="1"/>
  <c r="G7" i="70" s="1"/>
  <c r="G51" i="70" s="1"/>
  <c r="C27" i="70"/>
  <c r="C8" i="70" s="1"/>
  <c r="C7" i="70" s="1"/>
  <c r="Z56" i="78"/>
  <c r="W71" i="78"/>
  <c r="AA56" i="78"/>
  <c r="AC56" i="78"/>
  <c r="E27" i="70"/>
  <c r="W75" i="78"/>
  <c r="AA29" i="78"/>
  <c r="I65" i="77"/>
  <c r="I60" i="77"/>
  <c r="F60" i="77"/>
  <c r="M53" i="77"/>
  <c r="D78" i="78"/>
  <c r="F75" i="78"/>
  <c r="AB71" i="78"/>
  <c r="F71" i="78"/>
  <c r="W50" i="78"/>
  <c r="X39" i="78"/>
  <c r="AA39" i="78" s="1"/>
  <c r="AC39" i="78" s="1"/>
  <c r="E64" i="78"/>
  <c r="L23" i="69"/>
  <c r="N23" i="69" s="1"/>
  <c r="K18" i="69"/>
  <c r="Y29" i="78"/>
  <c r="I8" i="82"/>
  <c r="AA82" i="78"/>
  <c r="AC82" i="78"/>
  <c r="Y82" i="78"/>
  <c r="AA71" i="78"/>
  <c r="AC71" i="78"/>
  <c r="Y71" i="78"/>
  <c r="X63" i="78"/>
  <c r="W69" i="78"/>
  <c r="AA69" i="78" s="1"/>
  <c r="AA60" i="78"/>
  <c r="AC60" i="78"/>
  <c r="F7" i="82"/>
  <c r="D7" i="70"/>
  <c r="D51" i="70"/>
  <c r="N19" i="69"/>
  <c r="I170" i="82"/>
  <c r="F169" i="82"/>
  <c r="I169" i="82" s="1"/>
  <c r="I160" i="82"/>
  <c r="I69" i="82"/>
  <c r="M50" i="77"/>
  <c r="M47" i="77"/>
  <c r="F34" i="78"/>
  <c r="L31" i="69"/>
  <c r="F28" i="69"/>
  <c r="G35" i="80"/>
  <c r="F132" i="80"/>
  <c r="I141" i="80"/>
  <c r="Q34" i="78"/>
  <c r="X27" i="78"/>
  <c r="I146" i="82"/>
  <c r="F132" i="82"/>
  <c r="I132" i="82" s="1"/>
  <c r="F61" i="77"/>
  <c r="F65" i="77" s="1"/>
  <c r="D65" i="77"/>
  <c r="E65" i="77"/>
  <c r="E66" i="77" s="1"/>
  <c r="F62" i="77"/>
  <c r="M62" i="77" s="1"/>
  <c r="M65" i="77" s="1"/>
  <c r="H31" i="70"/>
  <c r="I32" i="70"/>
  <c r="M33" i="77"/>
  <c r="M14" i="77"/>
  <c r="M12" i="77"/>
  <c r="M10" i="77"/>
  <c r="E54" i="76"/>
  <c r="I84" i="82"/>
  <c r="I65" i="82"/>
  <c r="F64" i="82"/>
  <c r="X50" i="54"/>
  <c r="Q52" i="54"/>
  <c r="X8" i="54"/>
  <c r="I52" i="54"/>
  <c r="I43" i="77"/>
  <c r="G54" i="77"/>
  <c r="G66" i="77" s="1"/>
  <c r="M43" i="77"/>
  <c r="I54" i="77"/>
  <c r="I66" i="77" s="1"/>
  <c r="AA27" i="78"/>
  <c r="AC27" i="78" s="1"/>
  <c r="Z27" i="78"/>
  <c r="W81" i="78"/>
  <c r="F40" i="69"/>
  <c r="F42" i="69" s="1"/>
  <c r="M61" i="77"/>
  <c r="Z63" i="78"/>
  <c r="AA63" i="78"/>
  <c r="L18" i="69"/>
  <c r="I64" i="82"/>
  <c r="F63" i="82"/>
  <c r="F56" i="82" s="1"/>
  <c r="I31" i="70"/>
  <c r="I132" i="80"/>
  <c r="F159" i="82"/>
  <c r="X75" i="78"/>
  <c r="X78" i="78" s="1"/>
  <c r="AB29" i="78"/>
  <c r="AC29" i="78" s="1"/>
  <c r="Z29" i="78"/>
  <c r="N18" i="69"/>
  <c r="Z39" i="78"/>
  <c r="W70" i="78"/>
  <c r="AA75" i="78"/>
  <c r="Y75" i="78"/>
  <c r="I63" i="82"/>
  <c r="F158" i="82"/>
  <c r="I159" i="82"/>
  <c r="I158" i="82"/>
  <c r="AC63" i="78"/>
  <c r="W84" i="78"/>
  <c r="AA81" i="78"/>
  <c r="Y81" i="78"/>
  <c r="Y84" i="78" s="1"/>
  <c r="AC81" i="78"/>
  <c r="AC84" i="78" s="1"/>
  <c r="AA84" i="78"/>
  <c r="E8" i="70"/>
  <c r="F119" i="80"/>
  <c r="F35" i="80"/>
  <c r="F28" i="80" s="1"/>
  <c r="F56" i="80"/>
  <c r="H76" i="80"/>
  <c r="I119" i="80"/>
  <c r="I29" i="80"/>
  <c r="I36" i="80"/>
  <c r="I35" i="80" s="1"/>
  <c r="G28" i="80"/>
  <c r="I111" i="80"/>
  <c r="L54" i="76" l="1"/>
  <c r="F70" i="78"/>
  <c r="I8" i="80"/>
  <c r="I82" i="80"/>
  <c r="F7" i="80"/>
  <c r="I7" i="80" s="1"/>
  <c r="D29" i="57"/>
  <c r="D51" i="57" s="1"/>
  <c r="I54" i="76"/>
  <c r="J54" i="76"/>
  <c r="Q64" i="78"/>
  <c r="W72" i="78"/>
  <c r="X50" i="78"/>
  <c r="X34" i="78"/>
  <c r="X64" i="78" s="1"/>
  <c r="F72" i="78"/>
  <c r="F86" i="78" s="1"/>
  <c r="D64" i="78"/>
  <c r="F64" i="78" s="1"/>
  <c r="D86" i="78"/>
  <c r="F78" i="78"/>
  <c r="M45" i="77"/>
  <c r="D66" i="77"/>
  <c r="F54" i="77"/>
  <c r="F66" i="77" s="1"/>
  <c r="I28" i="80"/>
  <c r="Y78" i="78"/>
  <c r="F186" i="82"/>
  <c r="I186" i="82" s="1"/>
  <c r="I56" i="82"/>
  <c r="C51" i="70"/>
  <c r="E51" i="70" s="1"/>
  <c r="G44" i="70"/>
  <c r="E7" i="70"/>
  <c r="W86" i="78"/>
  <c r="Y70" i="78"/>
  <c r="AA70" i="78"/>
  <c r="AB75" i="78"/>
  <c r="AB12" i="78"/>
  <c r="Y34" i="78"/>
  <c r="Y64" i="78" s="1"/>
  <c r="X69" i="78"/>
  <c r="Z12" i="78"/>
  <c r="L28" i="69"/>
  <c r="L40" i="69" s="1"/>
  <c r="K40" i="69"/>
  <c r="K42" i="69" s="1"/>
  <c r="L42" i="69" s="1"/>
  <c r="N8" i="69"/>
  <c r="N40" i="69" s="1"/>
  <c r="N42" i="69" s="1"/>
  <c r="G186" i="82"/>
  <c r="Y77" i="78"/>
  <c r="AA77" i="78"/>
  <c r="I121" i="82"/>
  <c r="M57" i="77"/>
  <c r="M60" i="77" s="1"/>
  <c r="L54" i="77"/>
  <c r="L66" i="77" s="1"/>
  <c r="W34" i="78"/>
  <c r="W64" i="78" s="1"/>
  <c r="Z64" i="78" s="1"/>
  <c r="M41" i="77"/>
  <c r="M36" i="77"/>
  <c r="M17" i="77"/>
  <c r="M15" i="77"/>
  <c r="M11" i="77"/>
  <c r="X14" i="54"/>
  <c r="M22" i="77"/>
  <c r="H13" i="70"/>
  <c r="H8" i="70" s="1"/>
  <c r="I17" i="70"/>
  <c r="G54" i="76"/>
  <c r="K54" i="76"/>
  <c r="F100" i="80"/>
  <c r="H28" i="80"/>
  <c r="H157" i="80" s="1"/>
  <c r="X12" i="54"/>
  <c r="H52" i="54"/>
  <c r="Y52" i="54" s="1"/>
  <c r="M39" i="77"/>
  <c r="M35" i="77"/>
  <c r="F127" i="80"/>
  <c r="I127" i="80" s="1"/>
  <c r="I128" i="80"/>
  <c r="F22" i="80"/>
  <c r="I23" i="80"/>
  <c r="I72" i="80"/>
  <c r="G71" i="80"/>
  <c r="AA50" i="78" l="1"/>
  <c r="Z50" i="78"/>
  <c r="I71" i="80"/>
  <c r="G56" i="80"/>
  <c r="F76" i="80"/>
  <c r="I76" i="80" s="1"/>
  <c r="I100" i="80"/>
  <c r="H7" i="70"/>
  <c r="I8" i="70"/>
  <c r="AC77" i="78"/>
  <c r="AA78" i="78"/>
  <c r="Y69" i="78"/>
  <c r="Y72" i="78" s="1"/>
  <c r="Y86" i="78" s="1"/>
  <c r="X72" i="78"/>
  <c r="X86" i="78" s="1"/>
  <c r="AB69" i="78"/>
  <c r="AB34" i="78"/>
  <c r="AC12" i="78"/>
  <c r="I13" i="70"/>
  <c r="AC75" i="78"/>
  <c r="AC78" i="78" s="1"/>
  <c r="AB78" i="78"/>
  <c r="I22" i="80"/>
  <c r="X52" i="54"/>
  <c r="M54" i="77"/>
  <c r="M66" i="77" s="1"/>
  <c r="Z34" i="78"/>
  <c r="AC70" i="78"/>
  <c r="AA72" i="78"/>
  <c r="F157" i="80" l="1"/>
  <c r="AC50" i="78"/>
  <c r="AA64" i="78"/>
  <c r="AA86" i="78"/>
  <c r="I157" i="80"/>
  <c r="AB72" i="78"/>
  <c r="AB86" i="78" s="1"/>
  <c r="AC69" i="78"/>
  <c r="AC72" i="78" s="1"/>
  <c r="AC86" i="78" s="1"/>
  <c r="H51" i="70"/>
  <c r="I51" i="70" s="1"/>
  <c r="H44" i="70"/>
  <c r="I44" i="70" s="1"/>
  <c r="I7" i="70"/>
  <c r="AB64" i="78"/>
  <c r="AC34" i="78"/>
  <c r="AC64" i="78" s="1"/>
  <c r="G157" i="80"/>
  <c r="I56" i="80"/>
</calcChain>
</file>

<file path=xl/sharedStrings.xml><?xml version="1.0" encoding="utf-8"?>
<sst xmlns="http://schemas.openxmlformats.org/spreadsheetml/2006/main" count="1639" uniqueCount="1095">
  <si>
    <t>Pedagógiai asszisztens</t>
  </si>
  <si>
    <t>Rovatok megnevezése</t>
  </si>
  <si>
    <t>Helyi Önk.</t>
  </si>
  <si>
    <t>Polg. Hiv.</t>
  </si>
  <si>
    <t>K1</t>
  </si>
  <si>
    <t>K11</t>
  </si>
  <si>
    <t>Foglalkoztatottak személyi juttatásai</t>
  </si>
  <si>
    <t>K1101</t>
  </si>
  <si>
    <t>Törvény szerinti illetmények, munkabérek</t>
  </si>
  <si>
    <t>K1104</t>
  </si>
  <si>
    <t>Készenléti, ügyeleti, helyettesítési díj, túlóra, túlszolgálat</t>
  </si>
  <si>
    <t>K1106</t>
  </si>
  <si>
    <t>Jubileumi jutalom</t>
  </si>
  <si>
    <t>K1107</t>
  </si>
  <si>
    <t>Béren kívüli juttatások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</si>
  <si>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</si>
  <si>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</si>
  <si>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</si>
  <si>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</si>
  <si>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</si>
  <si>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</si>
  <si>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ebből:</t>
  </si>
  <si>
    <t>biztosítási díjak</t>
  </si>
  <si>
    <t>K12</t>
  </si>
  <si>
    <t>Külső személyi juttatások</t>
  </si>
  <si>
    <t>K121</t>
  </si>
  <si>
    <t>Választott tisztségviselők juttatásai</t>
  </si>
  <si>
    <t>K122</t>
  </si>
  <si>
    <t>Munkavégzésre irányuló egyéb jogvisz-ban nem saját foglalkoztatottnak fizetett juttatások</t>
  </si>
  <si>
    <t>K123</t>
  </si>
  <si>
    <t>Egyéb külső személyi juttatások</t>
  </si>
  <si>
    <t>K2</t>
  </si>
  <si>
    <t>Munkaadókat terhelő járulékok és szoc.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</si>
  <si>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</si>
  <si>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</si>
  <si>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</si>
  <si>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</si>
  <si>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munkáltatót terhelő SZJA</t>
  </si>
  <si>
    <t>K3</t>
  </si>
  <si>
    <t>Dologi kiadások</t>
  </si>
  <si>
    <t>K31</t>
  </si>
  <si>
    <t>Készletbeszerzés</t>
  </si>
  <si>
    <t>K311</t>
  </si>
  <si>
    <t>Szakmai anyagok beszerzése</t>
  </si>
  <si>
    <t>K312</t>
  </si>
  <si>
    <t>Üzemeltetési anyagok beszerzése</t>
  </si>
  <si>
    <t>K32</t>
  </si>
  <si>
    <t>Kommunikációs szolgáltatások</t>
  </si>
  <si>
    <t>K321</t>
  </si>
  <si>
    <t>Informatikai szolgáltatások igénybevétele</t>
  </si>
  <si>
    <t>K322</t>
  </si>
  <si>
    <t>Egyéb kommunikációs szolgáltatások</t>
  </si>
  <si>
    <t>K33</t>
  </si>
  <si>
    <t>Szolgáltatási kiadások</t>
  </si>
  <si>
    <t>K331</t>
  </si>
  <si>
    <t>Közüzemi díjak</t>
  </si>
  <si>
    <t>villamosenergia</t>
  </si>
  <si>
    <t>gázenergia</t>
  </si>
  <si>
    <t>távhő- és melegvíz</t>
  </si>
  <si>
    <t>víz- és csatornadíjak</t>
  </si>
  <si>
    <t>K332</t>
  </si>
  <si>
    <t>Vásárolt élelmezés</t>
  </si>
  <si>
    <t>K333</t>
  </si>
  <si>
    <t>Bérleti és lízingdíjak</t>
  </si>
  <si>
    <t>K334</t>
  </si>
  <si>
    <t>Karbantartási, kisjavítási szolgáltatások</t>
  </si>
  <si>
    <t>K335</t>
  </si>
  <si>
    <t>Közvetített szolgáltatások</t>
  </si>
  <si>
    <t>államháztartáson belül</t>
  </si>
  <si>
    <t>K336</t>
  </si>
  <si>
    <t>Szakmai tevékenységet segítő szolgáltatások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</si>
  <si>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</si>
  <si>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</si>
  <si>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</si>
  <si>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</si>
  <si>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</si>
  <si>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</si>
  <si>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K342</t>
  </si>
  <si>
    <t>Reklám- és propagandakiadások</t>
  </si>
  <si>
    <t>K35</t>
  </si>
  <si>
    <t>Különféle befizetések és egyéb dologi 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</si>
  <si>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</si>
  <si>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</si>
  <si>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</si>
  <si>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</si>
  <si>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</si>
  <si>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</si>
  <si>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K4</t>
  </si>
  <si>
    <t>Ellátottak pénzbeli juttatásai</t>
  </si>
  <si>
    <t>K41</t>
  </si>
  <si>
    <t>Társadalombiztosítási ellátások</t>
  </si>
  <si>
    <t>K42</t>
  </si>
  <si>
    <t>Családi támogatások</t>
  </si>
  <si>
    <t>Pénzbeli és természetbeni gyermekvédelmi támogatások</t>
  </si>
  <si>
    <t>kiegészítő gyermekvédelmi támogatás és a kieg. gyermekvédelmi tám. pótléka Gyvt. 20/B. §</t>
  </si>
  <si>
    <t>Intézményi ellátottak pénzbeli juttatásai</t>
  </si>
  <si>
    <t>1. Működési célú támogatások államháztartáson belülről</t>
  </si>
  <si>
    <t>1.1. Önkormányzatok működési támogatásai</t>
  </si>
  <si>
    <t>1.2. Műk. c. visszatérítendő tám., kölcsönök v.térülése állh-on bel.</t>
  </si>
  <si>
    <t>1.3. Egyéb műk. c. támogatások bevételei állh.-on belülről</t>
  </si>
  <si>
    <t>1.Felhalm. célú támogatások államháztartáson belülről</t>
  </si>
  <si>
    <t>1.1. Felhalmozási célú önkormányzati támogatások</t>
  </si>
  <si>
    <t>1.2. Egyéb felh. c. támogatások bevételei államházt.-on belülről</t>
  </si>
  <si>
    <t>2. Közhatalmi bevételek</t>
  </si>
  <si>
    <t>2.3. Egyéb közhatalmi bevételek</t>
  </si>
  <si>
    <t>3. Működési bevételek</t>
  </si>
  <si>
    <t>3.2. Szolgáltatások ellenértéke</t>
  </si>
  <si>
    <t>3.3. Közvetített szolgáltatások ellenértéke</t>
  </si>
  <si>
    <t>3.5. Ellátási díjak</t>
  </si>
  <si>
    <t>3.6. Kiszámlázott általános forgalmi adó</t>
  </si>
  <si>
    <t>3.7. Kamatbevételek</t>
  </si>
  <si>
    <t>3.8. Egyéb működési bevételek</t>
  </si>
  <si>
    <t>2. Felhalmozási bevételek</t>
  </si>
  <si>
    <t>2.1. Immateriális javak értékesítése</t>
  </si>
  <si>
    <t>2.2. Ingatlanok értékesítése</t>
  </si>
  <si>
    <t>2.3. Egyéb tárgyi eszközök értékesítése</t>
  </si>
  <si>
    <t>2.4. Részesedések értékesítése</t>
  </si>
  <si>
    <t>4. Működési célú átvett pénzeszközök</t>
  </si>
  <si>
    <t>4.1. Műk. c. vtérítendő támog., kölcsönök vtérülése állh.-on kív.</t>
  </si>
  <si>
    <t>4.2. Egyéb műk. c. átvett pénzeszközök</t>
  </si>
  <si>
    <t>3.  Felhalmozási célú átvett pénzeszközök</t>
  </si>
  <si>
    <t>ebből működési</t>
  </si>
  <si>
    <t>ebből felhalmozási</t>
  </si>
  <si>
    <t>3.1. Felh. c. vtérítendő támog., kölcsönök vtérülése állh.-on kív.</t>
  </si>
  <si>
    <t>3.2. Egyéb felh. c. átvett pénzeszközök</t>
  </si>
  <si>
    <t>VI. Hitel-, kölcsönfelvétel államháztartáson kívülről</t>
  </si>
  <si>
    <t>V.Belföldi értékpapírok bevételei</t>
  </si>
  <si>
    <t>2. Munkaadót terhelő járulékok és szoc. hozzájárulási adó</t>
  </si>
  <si>
    <t xml:space="preserve">3. Dologi kiadások </t>
  </si>
  <si>
    <t>4. Ellátottak pénzbeli juttatásai</t>
  </si>
  <si>
    <t>5.1. Egyéb műk. célú támogatások államh.-on belülre</t>
  </si>
  <si>
    <t>5.3. Egyéb műk. célú támogatások államh.-on kívülre</t>
  </si>
  <si>
    <t>5. Egyéb működési célú kiadások</t>
  </si>
  <si>
    <t>5.4. Tartalékok</t>
  </si>
  <si>
    <t>1. Beruházások</t>
  </si>
  <si>
    <t>2. Felújítások</t>
  </si>
  <si>
    <t>3. Egyéb felhalmozási célú kiadások</t>
  </si>
  <si>
    <t>3.1. Felh. c. v.tér. tám. kölcs. nyújt. állh.-on belülre</t>
  </si>
  <si>
    <t>3.2. Felh. c. v.tér. tám. kölcs. törl. állh.-on belülre</t>
  </si>
  <si>
    <t>3.3. Egyéb felh. c. támogatások állh-on belülre</t>
  </si>
  <si>
    <t>2.2. Belföldi gépjárművek adójának helyi önk-t megillető része</t>
  </si>
  <si>
    <t>3.4. Felh. c. v.tér. tám. kölcs. nyújt. állh.-on kívülre</t>
  </si>
  <si>
    <t>3.5. Egyéb felh. c. támogatások állh-on kívülre</t>
  </si>
  <si>
    <t>Viziközmű fejl. tartalék</t>
  </si>
  <si>
    <t>051030</t>
  </si>
  <si>
    <t>Nem veszélyes (települési) hulladék vegyes begyűjtése, szállítása, átrakása</t>
  </si>
  <si>
    <t>051060</t>
  </si>
  <si>
    <t>052080</t>
  </si>
  <si>
    <t>Szennyvízcsatorna építése, fenntartása, üzemeltetése</t>
  </si>
  <si>
    <t>045160</t>
  </si>
  <si>
    <t>081071</t>
  </si>
  <si>
    <t>013350</t>
  </si>
  <si>
    <t>Önk-i vagyonnal való gazdálkodással kapcs. feladatok</t>
  </si>
  <si>
    <t>013360</t>
  </si>
  <si>
    <t>Más szerv részére végzett pü-i gazd-i, üzemeltetési, egyéb szolg.</t>
  </si>
  <si>
    <t>066010</t>
  </si>
  <si>
    <t>011130</t>
  </si>
  <si>
    <t>Önk-ok és önk-i hivatalok jogalkotói és ált. igazgatási tevékenysége</t>
  </si>
  <si>
    <t>ÁROP projekt</t>
  </si>
  <si>
    <t>016080</t>
  </si>
  <si>
    <t>064010</t>
  </si>
  <si>
    <t>066020</t>
  </si>
  <si>
    <t>900070</t>
  </si>
  <si>
    <t>032020</t>
  </si>
  <si>
    <t>Tűz- és katasztrófavédelmi tevékenységek</t>
  </si>
  <si>
    <t>047410</t>
  </si>
  <si>
    <t>Ár- és belvízvédelemmel összefüggő tevékenységek</t>
  </si>
  <si>
    <t>091140</t>
  </si>
  <si>
    <t>072111</t>
  </si>
  <si>
    <t>072112</t>
  </si>
  <si>
    <t>072311</t>
  </si>
  <si>
    <t>074031</t>
  </si>
  <si>
    <t>102021</t>
  </si>
  <si>
    <t>107013</t>
  </si>
  <si>
    <t>Hajléktalanok átmeneti ellátása</t>
  </si>
  <si>
    <t>102030</t>
  </si>
  <si>
    <t>Idősek, demens betegek nappali ellátása</t>
  </si>
  <si>
    <t>104042</t>
  </si>
  <si>
    <t>Gyermekjóléti szolgáltatások</t>
  </si>
  <si>
    <t>107015</t>
  </si>
  <si>
    <t>Hajléktalanok nappali ellátása</t>
  </si>
  <si>
    <t>107051</t>
  </si>
  <si>
    <t>107052</t>
  </si>
  <si>
    <t>107054</t>
  </si>
  <si>
    <t>104060</t>
  </si>
  <si>
    <t>107060</t>
  </si>
  <si>
    <t>082044</t>
  </si>
  <si>
    <t>082061</t>
  </si>
  <si>
    <t>082092</t>
  </si>
  <si>
    <t>Hagyományos közösségi kult. értékek gondozása - Közművelődés</t>
  </si>
  <si>
    <t>081030</t>
  </si>
  <si>
    <t>Sportlétesítmények, edzőtáborok működtetése és fejlesztése</t>
  </si>
  <si>
    <t>Város-,  községgazdálkodási egyéb szolg.</t>
  </si>
  <si>
    <t>Időskorúak, demens betegek  tartós bentlakásos ellátása</t>
  </si>
  <si>
    <t xml:space="preserve">Hajléktalanok átmeneti ellátása </t>
  </si>
  <si>
    <t>Szoc. tv. 25.§bb, 45.§(1), 47.§(1), Szoc. tv. 48.§ (1)</t>
  </si>
  <si>
    <t>Múzeumi, gyűjteményi tevékenység</t>
  </si>
  <si>
    <t xml:space="preserve">működési </t>
  </si>
  <si>
    <t>felhalmozási</t>
  </si>
  <si>
    <t>össz.</t>
  </si>
  <si>
    <t>Mötv. 13.§(1)2.11. 9.12.5</t>
  </si>
  <si>
    <t>Mötv. 13.§(1)13</t>
  </si>
  <si>
    <t>Ttv. 2.§(2) Mötv. 13.§(1)12</t>
  </si>
  <si>
    <t>Mötv. 13.§(1) 10</t>
  </si>
  <si>
    <t>Mötv. 13.§(1) 7</t>
  </si>
  <si>
    <t>Egyéb szoc. pénzbeli ellátások, támogatások (önkormányzati segély)</t>
  </si>
  <si>
    <t>Lakásfenntartással, lakhatással összefüggő ellátások</t>
  </si>
  <si>
    <t>Gyermekvédelmi pénzbeli és természetbeni ell. -(Erzsébet ut., kieg. gyerm.véd. tám. és pótléka, óvodáztatási tám.)</t>
  </si>
  <si>
    <t>Gyvt. tv. 14.§ (3), 18.§ b, 20/A.§,20/B.§, 20/C.§</t>
  </si>
  <si>
    <t>Munkanélküli aktív korúak ellátásai</t>
  </si>
  <si>
    <t>Jánoshalma Városi Önkormányzat</t>
  </si>
  <si>
    <t>Költségvetési egyenleg</t>
  </si>
  <si>
    <t>működési</t>
  </si>
  <si>
    <t>összesen</t>
  </si>
  <si>
    <t>Lakott külterülettel kapcsolatos feladatok támogatása</t>
  </si>
  <si>
    <t>Homokértékesítés bevétele</t>
  </si>
  <si>
    <t xml:space="preserve"> </t>
  </si>
  <si>
    <t>Ingatlan, termőföld értékesítés</t>
  </si>
  <si>
    <t>Állami feladat kiadása</t>
  </si>
  <si>
    <t>Önkormányzat kiadásai összesen:</t>
  </si>
  <si>
    <t>Központi ktgv.-i támogatás össz.:</t>
  </si>
  <si>
    <t>Átvett pénzeszköz összesen:</t>
  </si>
  <si>
    <t>Saját bevétel összesen:</t>
  </si>
  <si>
    <t>Jh.-i Polgármesteri Hivatal</t>
  </si>
  <si>
    <t>Jh.-i Polgárm. Hiv. kiadásai össz.:</t>
  </si>
  <si>
    <t>Gyermeklánc Óvoda és Egységes Óvoda-Bölcsőde kiadásai összesen:</t>
  </si>
  <si>
    <t>Központi ktgv.-i támog. mindössz.:</t>
  </si>
  <si>
    <t>Átvett pénzeszköz mindösszesen:</t>
  </si>
  <si>
    <t>Saját bevétel mindösszesen:</t>
  </si>
  <si>
    <t>BEVÉTELEK</t>
  </si>
  <si>
    <t>felhalm.</t>
  </si>
  <si>
    <t>Kötelező feladatok</t>
  </si>
  <si>
    <t>Önkormányzat</t>
  </si>
  <si>
    <t>Gyermeklánc Óvoda és Bölcsőde</t>
  </si>
  <si>
    <t>Önként vállalt feladatok</t>
  </si>
  <si>
    <t>Állami feladatok</t>
  </si>
  <si>
    <t>MINDÖSSZESEN:</t>
  </si>
  <si>
    <t>Földalapú támogatás</t>
  </si>
  <si>
    <t>Bérleti díj bevételek</t>
  </si>
  <si>
    <t>Továbbszámlázott közüzemi díjak és vagyonbizt. díjak bevételei</t>
  </si>
  <si>
    <t>Iparterület "Napenergia hasznosítása.." projekt EU támogatása</t>
  </si>
  <si>
    <t>Gyermekétkeztetés tám. - fin. szempontjából elismert dolgozók bértámogatása (óvoda)</t>
  </si>
  <si>
    <t>ÁROP szervezetfejl. projekt EU tám. műk.</t>
  </si>
  <si>
    <t>Kieg. RGYVK címén kifizetett összeg és kapcsolódó pótlék megtérítése</t>
  </si>
  <si>
    <t>Munkaügyi Kp. tám. -Egyéb közfoglalk.</t>
  </si>
  <si>
    <t>RGYVK-hoz kapcs. természetb. j. (Erzsébet utalvány) megtérítése</t>
  </si>
  <si>
    <t>Imre Zoltán Műv. Kp. Napelemes fejlesztés projekt EU támogatása</t>
  </si>
  <si>
    <t>Takarítási szolgáltatás díjbevétele</t>
  </si>
  <si>
    <t>Felhalmozás célú támogatás államháztartáson kívülre</t>
  </si>
  <si>
    <t>2.1. Helyi adók és adójellegű bevételek</t>
  </si>
  <si>
    <t>Település-üzemeltetéshez kapcsolódó feladatellátás támogatása</t>
  </si>
  <si>
    <t>Egyéb önkormányzati feladatok támogatása</t>
  </si>
  <si>
    <t>A települési önkormányzatok egyes köznevelési feladatainak támogatása</t>
  </si>
  <si>
    <t>Óvodapedagógusok, és az óvodapedagógusok nevelő munkáját közvetlenül segítők bértámogatása</t>
  </si>
  <si>
    <t>Óvodapedagógusok nevelő munkáját közvetlenül segítők bértámogatása</t>
  </si>
  <si>
    <t>II.1 (3)</t>
  </si>
  <si>
    <t>A települési önkormányzatok szociális, gyermekjóléti és gyermekétkeztetési feladatainak támogatása</t>
  </si>
  <si>
    <t>III.3.a (1)</t>
  </si>
  <si>
    <t>III.3.a (2)</t>
  </si>
  <si>
    <t>III.5</t>
  </si>
  <si>
    <t>Gyermekétkeztetés támogatása</t>
  </si>
  <si>
    <t>III.5.b</t>
  </si>
  <si>
    <t>Gyermekétkeztetés üzemeltetési támogatása</t>
  </si>
  <si>
    <t>Települési önkormányzatok nyilvános könyvtári és közművelődési feladatainak támogatása</t>
  </si>
  <si>
    <t>Központi költségvetési támogatások mindösszesen:</t>
  </si>
  <si>
    <t>Helyi Önkorm. összesen</t>
  </si>
  <si>
    <t>Műk. célú tám. ÁH-on belülre</t>
  </si>
  <si>
    <t>Műk. célú kölcsön nyújtás</t>
  </si>
  <si>
    <t>Műk. célú tám. ÁH-on kívülre</t>
  </si>
  <si>
    <t>Felh. célú tám. ÁH-on kívülre</t>
  </si>
  <si>
    <t>K6</t>
  </si>
  <si>
    <t>Felújítások</t>
  </si>
  <si>
    <t>K7</t>
  </si>
  <si>
    <t>Egyéb felhalmozási célú kiadások</t>
  </si>
  <si>
    <t>K8</t>
  </si>
  <si>
    <t>Finanszírozási kiadások</t>
  </si>
  <si>
    <t>K9</t>
  </si>
  <si>
    <t>Tárgyi eszköz beszerzések (telefonkészülék, porszívó, számológép )</t>
  </si>
  <si>
    <t>Tárgyi eszköz beszerzések (szerelő kulcskészlet, híradó-akku, tömlők) - Tűzoltóság</t>
  </si>
  <si>
    <t>"Napenergia hasznosítása villamos energia előállítására a Jh.-i Iparterületen" c. projekt kiadásai</t>
  </si>
  <si>
    <t>353/2011. (XII. 30.) Korm. rendelet 2.§ (1) bek. szerinti saját bevétel összege az adósságot keletkeztető ügyletek (viziközmű-társulati hitel kapcsán vállalt készfizető kezesség)  futamidejének végéig</t>
  </si>
  <si>
    <t>K43</t>
  </si>
  <si>
    <t>Pénzbeli kárpótlások, kártérítések</t>
  </si>
  <si>
    <t>K44</t>
  </si>
  <si>
    <t>Betegséggel kapcsolatos (nem TB) ellátások</t>
  </si>
  <si>
    <t>megváltozott munkaképességűek, ill. egészségkárosodottak kereset-kiegészítése</t>
  </si>
  <si>
    <t>helyi megállapítású közgyógyellátás (Szoctv. 50.§ (3) bek.)</t>
  </si>
  <si>
    <t>K45</t>
  </si>
  <si>
    <t>Foglalkoztatással, munkanélküliséggel kapcs. ellátások</t>
  </si>
  <si>
    <t>foglalkoztatást helyettesítő támogatás (Szoctv. 35.§ (1) bek.)</t>
  </si>
  <si>
    <t>K46</t>
  </si>
  <si>
    <t>Lakhatással kapcsolatos ellátások</t>
  </si>
  <si>
    <t>lakásfenntartási támogatás (Szoctv. 38.§(1) a, b, pontok)</t>
  </si>
  <si>
    <t>K47</t>
  </si>
  <si>
    <t>K48</t>
  </si>
  <si>
    <t>Egyéb nem intézményi ellátások</t>
  </si>
  <si>
    <t>átmeneti segély (Szoctv. 45.§ 47.§ (1) C,)</t>
  </si>
  <si>
    <t>temetési segély (Szoctv. 46.§ 47.§ (1) d,)</t>
  </si>
  <si>
    <t>K5</t>
  </si>
  <si>
    <t>Egyéb működési célú kiadások</t>
  </si>
  <si>
    <t>K501</t>
  </si>
  <si>
    <t>Nemzetközi kötelezettségek</t>
  </si>
  <si>
    <t>K502</t>
  </si>
  <si>
    <t>Elvonások és befizetések</t>
  </si>
  <si>
    <t>K503</t>
  </si>
  <si>
    <t>Műk. célú garancia- és kezességvállalásból szárm. Kif. Államháztartáson belülre</t>
  </si>
  <si>
    <t>K504</t>
  </si>
  <si>
    <t>Műk. c. visszatérítendő támogatások, kölcsönök nyújtása államháztartáson belülre</t>
  </si>
  <si>
    <t>a,</t>
  </si>
  <si>
    <t>központi költségvetési szervek</t>
  </si>
  <si>
    <t>b,</t>
  </si>
  <si>
    <t>központi kezelésű előirányzatok</t>
  </si>
  <si>
    <t>c,</t>
  </si>
  <si>
    <t>fejezeti kezelésű ei EU-s pr. és azok hazai társfin.</t>
  </si>
  <si>
    <t>d,</t>
  </si>
  <si>
    <t>egyéb fejezeti kezelésű előirányzatok</t>
  </si>
  <si>
    <t>e,</t>
  </si>
  <si>
    <t>TB pénzügyi alapjai</t>
  </si>
  <si>
    <t xml:space="preserve">f, </t>
  </si>
  <si>
    <t>elkülönített állami pénzalapok</t>
  </si>
  <si>
    <t>g,</t>
  </si>
  <si>
    <t>helyi önkormányzatok és költségvetési szerveik</t>
  </si>
  <si>
    <t xml:space="preserve">h, </t>
  </si>
  <si>
    <t>társulások és költségvetési szerveik</t>
  </si>
  <si>
    <t xml:space="preserve">i, </t>
  </si>
  <si>
    <t>nemzetiségi önk-ok és költségvetési szerveik</t>
  </si>
  <si>
    <t>j,</t>
  </si>
  <si>
    <t>térségi fejleszt. tanácsok és költségvetési szerveik</t>
  </si>
  <si>
    <t>K505</t>
  </si>
  <si>
    <t>Műk. c. visszatérítendő támogatások, kölcsönök törtlesztése államháztartáson belülre</t>
  </si>
  <si>
    <t>K506</t>
  </si>
  <si>
    <t>Egyéb működési célú támogatások államháztartáson belülre</t>
  </si>
  <si>
    <t>K507</t>
  </si>
  <si>
    <t>Műk. c. garancia- és kezességv-ból származó kifizetés államháztartáson kívülre</t>
  </si>
  <si>
    <t>K508</t>
  </si>
  <si>
    <t>egyházi jogi személyek</t>
  </si>
  <si>
    <t>egyéb civil szervezetek</t>
  </si>
  <si>
    <t>háztartások</t>
  </si>
  <si>
    <t>pénzügyi vállalkozások</t>
  </si>
  <si>
    <t>állami többségi tul. -ú nem pénzügyi vállalkozások</t>
  </si>
  <si>
    <t>önk-i többségi tul.-ú nem pénzügyi vállalkozások</t>
  </si>
  <si>
    <t>egyéb vállalkozások</t>
  </si>
  <si>
    <t>Európai Unió</t>
  </si>
  <si>
    <t>kormányok és nemzetközi szervezetek</t>
  </si>
  <si>
    <t>egyéb külföldiek</t>
  </si>
  <si>
    <t>K509</t>
  </si>
  <si>
    <t>Árkiegészítések, átrtámogatások</t>
  </si>
  <si>
    <t>K510</t>
  </si>
  <si>
    <t>Kamattámogatások</t>
  </si>
  <si>
    <t>K511</t>
  </si>
  <si>
    <t>Egyéb műk. c. támogatások államháztartáson kívülre</t>
  </si>
  <si>
    <t>K512</t>
  </si>
  <si>
    <t>Tartalékok</t>
  </si>
  <si>
    <t>Céltartalék - Környezetvédelmi alap</t>
  </si>
  <si>
    <t>Fejlesztési c. tartalék- viziközművek fejlesztésére</t>
  </si>
  <si>
    <t>K61</t>
  </si>
  <si>
    <t>Immateriális javak beszerzése, létesítése</t>
  </si>
  <si>
    <t>K62</t>
  </si>
  <si>
    <t>Ingatlanok beszerzése, létesítése</t>
  </si>
  <si>
    <t xml:space="preserve">    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</si>
  <si>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</si>
  <si>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</si>
  <si>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</si>
  <si>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</si>
  <si>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</si>
  <si>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</si>
  <si>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</si>
  <si>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</si>
  <si>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</si>
  <si>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áfa</t>
  </si>
  <si>
    <t>K71</t>
  </si>
  <si>
    <t>Ingatlanok felújítása</t>
  </si>
  <si>
    <t>K72</t>
  </si>
  <si>
    <t>Infrormatikai eszközök felújítása</t>
  </si>
  <si>
    <t xml:space="preserve">K73 </t>
  </si>
  <si>
    <t>Egyéb tárgyi eszközök felújítása</t>
  </si>
  <si>
    <t>K74</t>
  </si>
  <si>
    <t>Felújítási célú előzetesen felszámított áfa</t>
  </si>
  <si>
    <t>K81</t>
  </si>
  <si>
    <t>Felhalm. c. garancia- és kez.váll-ból szárm. kif. állh-on belülre</t>
  </si>
  <si>
    <t>K82</t>
  </si>
  <si>
    <t>Felh. c. visszatér. tám, kölcsönök nyújt. állh-on belülre</t>
  </si>
  <si>
    <t>K83</t>
  </si>
  <si>
    <t>Felh. c. visszatér. tám, kölcsönök törl. állh-on belülre</t>
  </si>
  <si>
    <t>K84</t>
  </si>
  <si>
    <t>Egyéb felhalmozási c. támogatások állh-on belülre</t>
  </si>
  <si>
    <t>K85</t>
  </si>
  <si>
    <t>Felhalm. c. garancia- és kez.váll-ból szárm. kif. állh-on kívülre</t>
  </si>
  <si>
    <t>K86</t>
  </si>
  <si>
    <t>Felh. c. visszatér. tám, kölcsönök nyújt. állh-on kívülre</t>
  </si>
  <si>
    <t>K87</t>
  </si>
  <si>
    <t>Lakástámogatás</t>
  </si>
  <si>
    <t>K88</t>
  </si>
  <si>
    <t>Egyéb felhalmozási c. támogatások állh-on kívülre</t>
  </si>
  <si>
    <t>K91</t>
  </si>
  <si>
    <t>Belföldi finanszírozás kiadásai</t>
  </si>
  <si>
    <t>K92</t>
  </si>
  <si>
    <t>Külföldi finanszírozás kiadásai</t>
  </si>
  <si>
    <t>K93</t>
  </si>
  <si>
    <t>Adóssághoz nem kapcsolódó származékos ügyletek kiadásai</t>
  </si>
  <si>
    <t>Kiadások mindösszesen</t>
  </si>
  <si>
    <t>B1</t>
  </si>
  <si>
    <t>Működési célú támogatások államháztartáson belülről</t>
  </si>
  <si>
    <t>B11</t>
  </si>
  <si>
    <t>Önkormányzatok működési támogatásai</t>
  </si>
  <si>
    <t>B111</t>
  </si>
  <si>
    <t>B112</t>
  </si>
  <si>
    <t>Telep. önk-ok egyes köznevelési feladatainak támogatása</t>
  </si>
  <si>
    <t>B113</t>
  </si>
  <si>
    <t>B114</t>
  </si>
  <si>
    <t>Telep. önk-ok kulturális feladatainak támogatása</t>
  </si>
  <si>
    <t>B115</t>
  </si>
  <si>
    <t>B116</t>
  </si>
  <si>
    <t>B12</t>
  </si>
  <si>
    <t>Elvonások és befizetések bevételei</t>
  </si>
  <si>
    <t>B13</t>
  </si>
  <si>
    <t>Működési c. garancia- és kez.váll-ból szárm. megt. állh-on belülről</t>
  </si>
  <si>
    <t>B14</t>
  </si>
  <si>
    <t>Műk. c. visszatérítendő támogatások, kölcsönök vtérülése állh. bel.</t>
  </si>
  <si>
    <t>fejezeti kezelésű ei EU-s pr. és azok hazai társfinanszírozása</t>
  </si>
  <si>
    <t>B15</t>
  </si>
  <si>
    <t>Műk. c. visszatérítendő támogatások, kölcsönök igénybev. állh. bel.</t>
  </si>
  <si>
    <t>B16</t>
  </si>
  <si>
    <t>Egyéb műk. c. támogatások bevételei államházt.-on belülről</t>
  </si>
  <si>
    <t>B2</t>
  </si>
  <si>
    <t>Felhalm. célú támogatások államháztartáson belülről</t>
  </si>
  <si>
    <t>B21</t>
  </si>
  <si>
    <t>Felhalmozási c. önkormányzati támogatások</t>
  </si>
  <si>
    <t>B22</t>
  </si>
  <si>
    <t>Felhalm. c. garancia- és kez.váll-ból szárm. megt. állh-on belülről</t>
  </si>
  <si>
    <t>B23</t>
  </si>
  <si>
    <t>Felh. c. visszatérítendő támogatások, kölcsönök vtérülése állh. bel.</t>
  </si>
  <si>
    <t>B24</t>
  </si>
  <si>
    <t>Felh. c. visszatérítendő támogatások, kölcsönök igénybev. állh. bel.</t>
  </si>
  <si>
    <t>B25</t>
  </si>
  <si>
    <t>Egyéb felh. c. támogatások bevételei államházt.-on belülről</t>
  </si>
  <si>
    <t>B3</t>
  </si>
  <si>
    <t>Közhatalmi bevételek</t>
  </si>
  <si>
    <t>B31</t>
  </si>
  <si>
    <t>Jövedelemadók</t>
  </si>
  <si>
    <t>B32</t>
  </si>
  <si>
    <t>Szociális hozzájárulási adó és járulékok</t>
  </si>
  <si>
    <t>B33</t>
  </si>
  <si>
    <t>Bérhez és foglalkoztatáshoz kapcsolódó adók</t>
  </si>
  <si>
    <t>B34</t>
  </si>
  <si>
    <t xml:space="preserve">Vagyoni típusú adók </t>
  </si>
  <si>
    <t>magánszemélyek kommunális adója</t>
  </si>
  <si>
    <t>telekadó</t>
  </si>
  <si>
    <t>B35</t>
  </si>
  <si>
    <t>Termékek és szolgáltatások adói</t>
  </si>
  <si>
    <t>B351</t>
  </si>
  <si>
    <t>Értékesítési és forgalmi adók</t>
  </si>
  <si>
    <t>állandó jelleggel végz. iparűz. tev. utáni helyi iparűzési adó</t>
  </si>
  <si>
    <t>ideigl. jell. végz. tev. utáni helyi iparűzési adó</t>
  </si>
  <si>
    <t>B352</t>
  </si>
  <si>
    <t>Fogyasztási adók</t>
  </si>
  <si>
    <t>B353</t>
  </si>
  <si>
    <t>Pü-i monopóliumok nyereségét terhelő adók</t>
  </si>
  <si>
    <t>B354</t>
  </si>
  <si>
    <t>Gépjárműadók</t>
  </si>
  <si>
    <t>belföldi gépjárművek adójának helyi önk-t megillető része</t>
  </si>
  <si>
    <t>B355</t>
  </si>
  <si>
    <t>Egyéb áruhasználati és szolgáltatási adók</t>
  </si>
  <si>
    <t>talajterhelési díj</t>
  </si>
  <si>
    <t>korábbi évek megszűnt adónemei áthúzódó bevételei</t>
  </si>
  <si>
    <t>B36</t>
  </si>
  <si>
    <t>Egyéb közhatalmi bevételek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</si>
  <si>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</si>
  <si>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</si>
  <si>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</si>
  <si>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</si>
  <si>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</si>
  <si>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építésügyi bírság</t>
  </si>
  <si>
    <t>szabálysértési pénz- és helyszíni bírság és a közlekedési szabályszegések után kiszabott közig. bírság önkormányzatot megillető része</t>
  </si>
  <si>
    <t>egyéb bírságok</t>
  </si>
  <si>
    <t>késedelmi és önellenőrzési pótlék</t>
  </si>
  <si>
    <t>B4</t>
  </si>
  <si>
    <t>Működési bevételek</t>
  </si>
  <si>
    <t>B401</t>
  </si>
  <si>
    <t>B402</t>
  </si>
  <si>
    <t>tárgyi eszközök bérbe adásából származó bevétel</t>
  </si>
  <si>
    <t>B403</t>
  </si>
  <si>
    <t>Közvetített szolgáltatások ellenértéke</t>
  </si>
  <si>
    <t>B404</t>
  </si>
  <si>
    <t>Tulajdonosi bevételek</t>
  </si>
  <si>
    <t>vadászati jog bérbeadásából származó bevétel</t>
  </si>
  <si>
    <t>önk-i vagyon vagyonkezelésbe adásából szárm. bevétel</t>
  </si>
  <si>
    <t>B405</t>
  </si>
  <si>
    <t>Ellátási díjak (pl. szociális és ellátotti étkeztetés díja)</t>
  </si>
  <si>
    <t>B406</t>
  </si>
  <si>
    <t>Kiszámlázott általános forgalmi adó</t>
  </si>
  <si>
    <t>B407</t>
  </si>
  <si>
    <t>Általános forgalmi adó visszatérítése</t>
  </si>
  <si>
    <t>B408</t>
  </si>
  <si>
    <t>B409</t>
  </si>
  <si>
    <t>Egyéb pénzügyi műveletek bevételei (pl. árfolyamnyereség)</t>
  </si>
  <si>
    <t>B410</t>
  </si>
  <si>
    <t>költségek visszatérítései</t>
  </si>
  <si>
    <t>B5</t>
  </si>
  <si>
    <t>Felhalmozási bevételek</t>
  </si>
  <si>
    <t>B51</t>
  </si>
  <si>
    <t>B52</t>
  </si>
  <si>
    <t>Ingatlanok értékesítése</t>
  </si>
  <si>
    <t>termőföld-eladás bevételei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</si>
  <si>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</si>
  <si>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</si>
  <si>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</si>
  <si>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</si>
  <si>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</si>
  <si>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</si>
  <si>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</t>
  </si>
  <si>
    <t>Működési célú átvett pénzeszközök</t>
  </si>
  <si>
    <t>B61</t>
  </si>
  <si>
    <t>Működési c. garancia- és kez.váll-ból szárm. megt. állh-on kívülről</t>
  </si>
  <si>
    <t>B62</t>
  </si>
  <si>
    <t>Gyermekétkeztetés üzemeltetési támogatása (ált. isk. gimn.)</t>
  </si>
  <si>
    <t>Gyermekétkeztetés üzemeltetési tám.  (óvoda)</t>
  </si>
  <si>
    <t>3.7. Általános forgalmi adó visszatérítése</t>
  </si>
  <si>
    <t>43</t>
  </si>
  <si>
    <t>Szennyvíz beruh. saját erő (Viziközmű társ. h.)</t>
  </si>
  <si>
    <t>Szennyvíz beruházás EU-s és hazai támogatás</t>
  </si>
  <si>
    <t>Szennyvíz beruh. ÁFA visszatérülés</t>
  </si>
  <si>
    <t>IPA Határon Átnyúló Projekt EU tám. műk.</t>
  </si>
  <si>
    <t>Műk. c. visszatérítendő támogatások, kölcsönök vtérülése állh. kív.</t>
  </si>
  <si>
    <t>B63</t>
  </si>
  <si>
    <t>Egyéb műk. c. átvett pénzeszközök</t>
  </si>
  <si>
    <t>B7</t>
  </si>
  <si>
    <t>Felhalmozási célú átvett pénzeszközök</t>
  </si>
  <si>
    <t>B71</t>
  </si>
  <si>
    <t>Felhalm. c. garancia- és kez.váll-ból szárm. megt. állh-on kívülről</t>
  </si>
  <si>
    <t>B72</t>
  </si>
  <si>
    <t>Felhalm. c. v.térítendő támogatások, kölcsönök vtérülése állh. kív.</t>
  </si>
  <si>
    <t>B73</t>
  </si>
  <si>
    <t>Egyéb felhalm. c. átvett pénzeszközök</t>
  </si>
  <si>
    <t>B8</t>
  </si>
  <si>
    <t>Finanszírozási bevételek</t>
  </si>
  <si>
    <t>B81</t>
  </si>
  <si>
    <t>Belföldi finanszírozás bevételei</t>
  </si>
  <si>
    <t>B811</t>
  </si>
  <si>
    <t>Hitel-, kölcsönfelvétel államháztartáson kívülről</t>
  </si>
  <si>
    <t>B8111</t>
  </si>
  <si>
    <t>B8112</t>
  </si>
  <si>
    <t>Likviditási célú hitelek, kölcsönök felvétele pü-i vállalkozástól</t>
  </si>
  <si>
    <t>B8113</t>
  </si>
  <si>
    <t>B812</t>
  </si>
  <si>
    <t>Belföldi értékpapírok bevételei</t>
  </si>
  <si>
    <t>B813</t>
  </si>
  <si>
    <t>Maradvány igénybevétele</t>
  </si>
  <si>
    <t>B8131</t>
  </si>
  <si>
    <t>Előző év költségvetési maradványának igénybevétele</t>
  </si>
  <si>
    <t>B8132</t>
  </si>
  <si>
    <t>Előző év vállalkozási maradványának igénybevétele</t>
  </si>
  <si>
    <t>B814</t>
  </si>
  <si>
    <t>Államháztartáson belüli megelőlegezések (Áht. 78.§ (4) és (5) bek.)</t>
  </si>
  <si>
    <t>B815</t>
  </si>
  <si>
    <t>Államháztartáson belüli megelől. törleszt. (Áht. 78.§ (4) és (5) bek.)</t>
  </si>
  <si>
    <t>B816</t>
  </si>
  <si>
    <t>Központi, irányító szervi támogatás</t>
  </si>
  <si>
    <t>B817</t>
  </si>
  <si>
    <t>B818</t>
  </si>
  <si>
    <t>Központi költségvetés sajátos finanszírozási bevételei</t>
  </si>
  <si>
    <t>B82</t>
  </si>
  <si>
    <t>Külföldi finanszírozás bevételei</t>
  </si>
  <si>
    <t>B83</t>
  </si>
  <si>
    <t>Adóssághoz nem kapcsolódó származékos ügyletek bevételei</t>
  </si>
  <si>
    <t>Szennyvíz-csatornázási és szennyvíztisztítási beruházás (KEOP-1.2.0/2F/09-2010-0029)</t>
  </si>
  <si>
    <t>V. Értékpapírok vásárlásának kiadása</t>
  </si>
  <si>
    <t>VI. Hitelek törlesztése és kötvénykibocsátás kiadásai</t>
  </si>
  <si>
    <t>II. Felhalmozási kiadások</t>
  </si>
  <si>
    <t>C. Költségvetési hiány belső finanszírozására szolgáló pénzforgalom nélküli bevételek</t>
  </si>
  <si>
    <t>D. Költségvetési hiány belső finanszírozását meghaladó összegének külső finanszírozására szolgáló bevételek</t>
  </si>
  <si>
    <t>E. Finanszírozási kiadások</t>
  </si>
  <si>
    <t>Össz.</t>
  </si>
  <si>
    <t>Felh. célú</t>
  </si>
  <si>
    <t>Műk. célú</t>
  </si>
  <si>
    <t>Szolgáltatások ellenértéke</t>
  </si>
  <si>
    <t>Immateriális javak értékesítése</t>
  </si>
  <si>
    <t>Beruházás</t>
  </si>
  <si>
    <t>Építményüzemeltetés</t>
  </si>
  <si>
    <t>- Gazdasági ügyintéző</t>
  </si>
  <si>
    <t>Közutak, alagutak üzemeltetése, fenntartása</t>
  </si>
  <si>
    <t>Munka-adót terh. jár.</t>
  </si>
  <si>
    <t>Személyi juttatások</t>
  </si>
  <si>
    <t>Kiadások mindösszesen: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</si>
  <si>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</si>
  <si>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</si>
  <si>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</si>
  <si>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</si>
  <si>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</si>
  <si>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</si>
  <si>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</si>
  <si>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</si>
  <si>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</si>
  <si>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</si>
  <si>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</si>
  <si>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</si>
  <si>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Jánoshalmi tagóvodák</t>
  </si>
  <si>
    <t>Óvodatitkár</t>
  </si>
  <si>
    <t>Bölcsődei gondozónő</t>
  </si>
  <si>
    <t>Kéleshalmi tagintézmény</t>
  </si>
  <si>
    <t>Óvónő</t>
  </si>
  <si>
    <t>Óvodai dajka</t>
  </si>
  <si>
    <t>Diákélelmezési Konyha</t>
  </si>
  <si>
    <t>- Konyhavezető</t>
  </si>
  <si>
    <t>- Szakács</t>
  </si>
  <si>
    <t>- Konyhai kisegítő</t>
  </si>
  <si>
    <t>- Gépkocsi vezető</t>
  </si>
  <si>
    <t>- Takarítónő</t>
  </si>
  <si>
    <t>- Fűtő, karbantartó</t>
  </si>
  <si>
    <t>- Technikus</t>
  </si>
  <si>
    <t>- Tűzoltók (közalkalmazottak)</t>
  </si>
  <si>
    <t xml:space="preserve">Közfoglalkoztatás </t>
  </si>
  <si>
    <t>- Polgármester</t>
  </si>
  <si>
    <t>- Főállású alpolgármester</t>
  </si>
  <si>
    <t>Ügyeleti Szolgálat</t>
  </si>
  <si>
    <t>- Ápolók</t>
  </si>
  <si>
    <t>- Gépkocsivezető</t>
  </si>
  <si>
    <t>Védőnői Szolgálat</t>
  </si>
  <si>
    <t>- Védőnők</t>
  </si>
  <si>
    <t>Megnevezés</t>
  </si>
  <si>
    <t>Kiadások</t>
  </si>
  <si>
    <t>Dologi kiadás</t>
  </si>
  <si>
    <t>Összesen:</t>
  </si>
  <si>
    <t>Mindösszesen:</t>
  </si>
  <si>
    <t>Mindösszesen</t>
  </si>
  <si>
    <t>E Ft-ban</t>
  </si>
  <si>
    <t>Beruházások</t>
  </si>
  <si>
    <t>Bevé-        telek</t>
  </si>
  <si>
    <t>K i a d á s b ó l</t>
  </si>
  <si>
    <t>Kiadások összesen</t>
  </si>
  <si>
    <t>Felú-  jítás</t>
  </si>
  <si>
    <t>Céltartalék (felhalmozási)</t>
  </si>
  <si>
    <t>adatok E Ft-ban</t>
  </si>
  <si>
    <t>Polgármesteri Hivatal</t>
  </si>
  <si>
    <t>Felújítás</t>
  </si>
  <si>
    <t>Összeg</t>
  </si>
  <si>
    <t>–</t>
  </si>
  <si>
    <t>Tervezett tartalékok</t>
  </si>
  <si>
    <t>Veszélyes hulladék kezelése, ártalmatlanítása</t>
  </si>
  <si>
    <t>Üdülői szálláshely-szolgáltatás</t>
  </si>
  <si>
    <t>Zöldterület kezelés</t>
  </si>
  <si>
    <t>Kiemelt állami és önkormányzati rendezvények</t>
  </si>
  <si>
    <t>Közvilágítás</t>
  </si>
  <si>
    <t>Fejezeti és általános tartalékok elszámolása</t>
  </si>
  <si>
    <t>Háziorvosi alapellátás</t>
  </si>
  <si>
    <t>Háziorvosi ügyeleti ellátás</t>
  </si>
  <si>
    <t>Fogorvosi alapellátás</t>
  </si>
  <si>
    <t>Könyvtári szolgáltatások</t>
  </si>
  <si>
    <t>Céltartalék (működési)</t>
  </si>
  <si>
    <t>Vis maior tartalék (működési)</t>
  </si>
  <si>
    <t>Tartalékok mindösszesen (I.+II.)</t>
  </si>
  <si>
    <t>Működési tartalékok összesen (I.):</t>
  </si>
  <si>
    <t>Felhalmozási tartalékok összesen (II.):</t>
  </si>
  <si>
    <t>Helyi önkormányzat összesen:</t>
  </si>
  <si>
    <t>I</t>
  </si>
  <si>
    <t>J</t>
  </si>
  <si>
    <t>K</t>
  </si>
  <si>
    <t>L</t>
  </si>
  <si>
    <t>M</t>
  </si>
  <si>
    <t>N</t>
  </si>
  <si>
    <t>O</t>
  </si>
  <si>
    <t>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</si>
  <si>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</si>
  <si>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</si>
  <si>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</si>
  <si>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</si>
  <si>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</si>
  <si>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</si>
  <si>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</si>
  <si>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</si>
  <si>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</si>
  <si>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</si>
  <si>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</si>
  <si>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</si>
  <si>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</si>
  <si>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</si>
  <si>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</si>
  <si>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</si>
  <si>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</si>
  <si>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</si>
  <si>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</si>
  <si>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</si>
  <si>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</si>
  <si>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</si>
  <si>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28</t>
  </si>
  <si>
    <t>29</t>
  </si>
  <si>
    <t>30</t>
  </si>
  <si>
    <t>32</t>
  </si>
  <si>
    <t>Időszak</t>
  </si>
  <si>
    <t>5. bírság-, pótlék- és díjbevétel</t>
  </si>
  <si>
    <t>1. helyi adóból származó bevétel</t>
  </si>
  <si>
    <t>R</t>
  </si>
  <si>
    <t>2. önkormányzati  vagyon és az önkormányzatot megillető vagyoni értékű jog értékesítéséből és hasznosításából származó bevétel</t>
  </si>
  <si>
    <t>4. tárgyi eszköz és az immateriális jószág, részvény, részesedés, vállalat értékesítéséből vagy privatizációból származó bevétel</t>
  </si>
  <si>
    <t>6. kezességvállalással kapcsolatos megtérülés</t>
  </si>
  <si>
    <t>Az önkormányzat saját bevételének típusa</t>
  </si>
  <si>
    <t>Helyi önkorm. összesen:</t>
  </si>
  <si>
    <t xml:space="preserve">Óvónő </t>
  </si>
  <si>
    <t xml:space="preserve">Óvodai dajka </t>
  </si>
  <si>
    <t xml:space="preserve">Technikai dolgozó </t>
  </si>
  <si>
    <t xml:space="preserve">- Köztisztviselők                      </t>
  </si>
  <si>
    <t>Polgárm. Hiv. összesen:</t>
  </si>
  <si>
    <t>Önk. Tűzoltóság</t>
  </si>
  <si>
    <t>HELYI ÖNKORMÁNYZAT ÉS INTÉZMÉNYEI ÖSSZESEN:</t>
  </si>
  <si>
    <t>Összesen</t>
  </si>
  <si>
    <t>3. osztalék, koncessziós díj és hozambevétel</t>
  </si>
  <si>
    <t>Felújítási alap befizetési kötelezettség (vegyes tulajdonú társasházak)</t>
  </si>
  <si>
    <t>Fejlesztési célú támogatásértékű kiadások</t>
  </si>
  <si>
    <t>Fejlesztési célú tartalék</t>
  </si>
  <si>
    <t>Vis maior tartalék</t>
  </si>
  <si>
    <t>A</t>
  </si>
  <si>
    <t>B</t>
  </si>
  <si>
    <t>C</t>
  </si>
  <si>
    <t>D</t>
  </si>
  <si>
    <t>E</t>
  </si>
  <si>
    <t>F</t>
  </si>
  <si>
    <t>Ssz.</t>
  </si>
  <si>
    <t>Vis maior tartalék képzése</t>
  </si>
  <si>
    <t>G</t>
  </si>
  <si>
    <t>H</t>
  </si>
  <si>
    <t>33</t>
  </si>
  <si>
    <t>Család- és nővédelmi egészségügyi gondozás</t>
  </si>
  <si>
    <t>Körny. véd. alap</t>
  </si>
  <si>
    <t>Bevételek</t>
  </si>
  <si>
    <t>Bevételek mindösszesen:</t>
  </si>
  <si>
    <t>-</t>
  </si>
  <si>
    <t>Helyi önkormányzat</t>
  </si>
  <si>
    <t>2015. év</t>
  </si>
  <si>
    <t>2016. év</t>
  </si>
  <si>
    <t>2017. év</t>
  </si>
  <si>
    <t>2018. év</t>
  </si>
  <si>
    <t>2019. év</t>
  </si>
  <si>
    <t>2020. év</t>
  </si>
  <si>
    <t>2021. év</t>
  </si>
  <si>
    <t>2022. év</t>
  </si>
  <si>
    <t>Jogcím</t>
  </si>
  <si>
    <t>száma</t>
  </si>
  <si>
    <t>megnevezése</t>
  </si>
  <si>
    <t>mutató</t>
  </si>
  <si>
    <t>fajlagos Ft</t>
  </si>
  <si>
    <t>összeg         Ft</t>
  </si>
  <si>
    <t>mutató    (8 hó)</t>
  </si>
  <si>
    <t>mutató   (4 hó)</t>
  </si>
  <si>
    <t>xxx</t>
  </si>
  <si>
    <t>I. Működési bevételek</t>
  </si>
  <si>
    <t>Gyermekjóléti szolgáltatás</t>
  </si>
  <si>
    <t>Családsegítés</t>
  </si>
  <si>
    <t>Szociális étkeztetés</t>
  </si>
  <si>
    <t>Házi segítségnyújtás</t>
  </si>
  <si>
    <t>II. Felhalmozási bevételek</t>
  </si>
  <si>
    <t>I. Működési kiadások</t>
  </si>
  <si>
    <t>1. Személyi juttatások</t>
  </si>
  <si>
    <t>26</t>
  </si>
  <si>
    <t>Általános tartalék</t>
  </si>
  <si>
    <t>Általános tartalék képzése</t>
  </si>
  <si>
    <t>A települési önkormányzatok kulturális feladatainak támogatása</t>
  </si>
  <si>
    <t>Helyi Önkormányzat</t>
  </si>
  <si>
    <t xml:space="preserve">fajlagos Ft 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</si>
  <si>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</si>
  <si>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</si>
  <si>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</si>
  <si>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</si>
  <si>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</si>
  <si>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II.</t>
  </si>
  <si>
    <t>I.</t>
  </si>
  <si>
    <t>II.1</t>
  </si>
  <si>
    <t>Óvodapedagógusok és az óvodapedagógusok munkáját közvetlenül segítők bértámogatása</t>
  </si>
  <si>
    <t>Óvodapedagógusok bértámogatása</t>
  </si>
  <si>
    <t>II.1 (1)</t>
  </si>
  <si>
    <t>II.1 (2)</t>
  </si>
  <si>
    <t>II.2</t>
  </si>
  <si>
    <t>Óvodaműködtetési támogatás</t>
  </si>
  <si>
    <t>III.</t>
  </si>
  <si>
    <t>III.1</t>
  </si>
  <si>
    <t>III.2</t>
  </si>
  <si>
    <t>III.3</t>
  </si>
  <si>
    <t>Egyes szociális és gyermekjóléti feladatok támogatása</t>
  </si>
  <si>
    <t>Gyermekjóléti szolgálat</t>
  </si>
  <si>
    <t xml:space="preserve">Helyi önkormányzatok működésének általános támogatása </t>
  </si>
  <si>
    <t>IV.</t>
  </si>
  <si>
    <t>összeg Ft</t>
  </si>
  <si>
    <t>Ell.szám</t>
  </si>
  <si>
    <t>2. melléklet jogcímei mindösszesen:</t>
  </si>
  <si>
    <t>- Fizikai alkalmazottak                              (1 gk. vezető, 1 takarítónő)</t>
  </si>
  <si>
    <t>- Hentes</t>
  </si>
  <si>
    <t>KIADÁSOK</t>
  </si>
  <si>
    <t>Feladatellátás jogszabályi alapja</t>
  </si>
  <si>
    <t>Kötelező feladatok kiadása</t>
  </si>
  <si>
    <t>Önként vállalt feladatok kiadása</t>
  </si>
  <si>
    <t>Állami (államigazgatási) feladatok kiadása</t>
  </si>
  <si>
    <t>Jánoshalma Város Önkormányzata</t>
  </si>
  <si>
    <t>Mötv. 13.§(1) 19.</t>
  </si>
  <si>
    <t>Mötv. 13.§(1) 19. 2.</t>
  </si>
  <si>
    <t>Mötv. 13.§(1) 2.</t>
  </si>
  <si>
    <t>Gyvt. 151.§ (2), (2a)</t>
  </si>
  <si>
    <t>Mötv. 13.§(1) 9.</t>
  </si>
  <si>
    <t>Mötv. 13.§(1) 13.</t>
  </si>
  <si>
    <t>Mötv. 13.§(1) 11.</t>
  </si>
  <si>
    <t>23</t>
  </si>
  <si>
    <t xml:space="preserve">Mötv. 13.§(1) 4.,  Eü tv. 152.§ (1) a, </t>
  </si>
  <si>
    <t>24</t>
  </si>
  <si>
    <t xml:space="preserve">Mötv. 13.§(1) 4.,  Eü tv. 152.§ (1) c, </t>
  </si>
  <si>
    <t>25</t>
  </si>
  <si>
    <t xml:space="preserve">Mötv. 13.§(1) 4., Eü. tv. 152.§(1) b, </t>
  </si>
  <si>
    <t xml:space="preserve">Mötv. 13.§(1) 4., Eü. tv. 152.§(1) d, </t>
  </si>
  <si>
    <t>27</t>
  </si>
  <si>
    <t>Mötv. 13.§(1) 8., Gyvt.40.§ (1), Gyvt. 94.§(2a)</t>
  </si>
  <si>
    <t>31</t>
  </si>
  <si>
    <t>Szoc. tv. 86.§(1) d,</t>
  </si>
  <si>
    <t>Szoc. tv. 86.§(1) b,</t>
  </si>
  <si>
    <t>Szoc. tv. 86.§(1) c,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</si>
  <si>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</si>
  <si>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</si>
  <si>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</si>
  <si>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</si>
  <si>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</si>
  <si>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</si>
  <si>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</si>
  <si>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</si>
  <si>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</si>
  <si>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Mötv. 13.§(1) 12.</t>
  </si>
  <si>
    <t>Mötv. 13.§(1) 7., Közműv. tv. 64.§(1)</t>
  </si>
  <si>
    <t>Mötv. 13.§(1) 7., Közműv. tv. 73.§(2)</t>
  </si>
  <si>
    <t>Mötv. 13.§(1) 15.</t>
  </si>
  <si>
    <t>Önkormányzat összesen:</t>
  </si>
  <si>
    <t>Szoc.tv. 25.§ (3)aa, ab</t>
  </si>
  <si>
    <t>Szoc.tv. 25.§ (3)ac</t>
  </si>
  <si>
    <t>Óvodáztatási támogatás</t>
  </si>
  <si>
    <t>Hdt. 9.§</t>
  </si>
  <si>
    <t>Polgármesteri Hivatal összesen:</t>
  </si>
  <si>
    <t>Óvodai intézményi étkeztetés</t>
  </si>
  <si>
    <t>Óvodai nevelés, ellátás Jh.</t>
  </si>
  <si>
    <t>Mötv. 13.§(1) 6.</t>
  </si>
  <si>
    <t>Óvodai nevelés, ellátás Kéleshalom</t>
  </si>
  <si>
    <t>Önkormányzat mindösszesen:</t>
  </si>
  <si>
    <t>Mötv.</t>
  </si>
  <si>
    <t>2011. évi CLXXXIX. tv. Magyarország helyi önkormányzatairól</t>
  </si>
  <si>
    <t xml:space="preserve">Szoc. tv. </t>
  </si>
  <si>
    <t>1993. évi III. törvény a szociális igazgatásról és szociális ellátásokról</t>
  </si>
  <si>
    <t>Ttv.</t>
  </si>
  <si>
    <t xml:space="preserve">1996. évi XXXI. törvény a tűz elleni védekezésről, a műszaki mentésről és tűzoltóságról </t>
  </si>
  <si>
    <t xml:space="preserve">Gyvt. </t>
  </si>
  <si>
    <t>1997. évi XXXI. törvény a gyermekek védelméről és a gyámügyi igazgatásról</t>
  </si>
  <si>
    <t xml:space="preserve">Közműv. tv. </t>
  </si>
  <si>
    <t>1997. évi CXL. törvény a muzeális intézményekről, a nyilvános könyvtári ellátásról és a közművelődésről</t>
  </si>
  <si>
    <t>Eü tv.</t>
  </si>
  <si>
    <t>1997. évi CLIV. törvény az egészségügyről</t>
  </si>
  <si>
    <t xml:space="preserve">Hdt. </t>
  </si>
  <si>
    <t xml:space="preserve">Hadigondozásról szóló 1994. évi XLV. törvény </t>
  </si>
  <si>
    <t>Központi költségvetési támogatás</t>
  </si>
  <si>
    <t>Átvett pénzeszközök</t>
  </si>
  <si>
    <t>Saját bevételek</t>
  </si>
  <si>
    <t>Bevételek összesen</t>
  </si>
  <si>
    <t>Helyi önkormányzatok működésének ált. támogatása</t>
  </si>
  <si>
    <t>Vizi-, szennyvízközművek bérleti díj bev.</t>
  </si>
  <si>
    <t>Ügyeleti ellátáshoz önkormányzatoktól átvett pénzeszk.</t>
  </si>
  <si>
    <t>Állati hullák ártalmatlanítás költségeiből továbbszámlázott bev.</t>
  </si>
  <si>
    <t>Családsegítés, gyermekjóléti szolgálat támogatása</t>
  </si>
  <si>
    <t>Ügyeleti ellátáshoz OEP-finanszírozás</t>
  </si>
  <si>
    <t>Étkeztetési, szállítási tevék. bevétele</t>
  </si>
  <si>
    <t>Nyilvános könyvtári ellátás és a közművelődési feladatok támogatása</t>
  </si>
  <si>
    <t>Család- és nővédelmi eü. gondozáshoz OEP-finanszírozás</t>
  </si>
  <si>
    <t>Lakbér bevételek</t>
  </si>
  <si>
    <t>Helyi adók, átengedett központi adók, talajterhelési díj, közigazgatási bírság bevétele</t>
  </si>
  <si>
    <t>Építményüzemeltetésből származó bevétel</t>
  </si>
  <si>
    <t>Céltartalék - Védőnők 2014. évi OEP fin. maradv.</t>
  </si>
  <si>
    <t>Köztemetés kiadásának megtérítése</t>
  </si>
  <si>
    <t>Állami feladatok kiadása</t>
  </si>
  <si>
    <t>Tűzoltóság BM támogatása</t>
  </si>
  <si>
    <t>Aktív korúak ellátásának állami támogatása</t>
  </si>
  <si>
    <t>Hirdetmények utáni igazg. szolg. díj</t>
  </si>
  <si>
    <t>Építéshatósági eljárási díj</t>
  </si>
  <si>
    <t>Lakásfenntartási támogatás állami támogatása</t>
  </si>
  <si>
    <t>Anyakönyvi szolg. díjbevétele</t>
  </si>
  <si>
    <t>Továbbszámlázott szolg. bevételei</t>
  </si>
  <si>
    <t>Óvodáztatási támogatás állami támogatása</t>
  </si>
  <si>
    <t>Kamatbevételek</t>
  </si>
  <si>
    <t>Hadigondozotti ellátás állami támogatása</t>
  </si>
  <si>
    <t>Étkeztetéssel kapcsolatos térítési díj bevétel</t>
  </si>
  <si>
    <t>Bérleti díj bevétel</t>
  </si>
  <si>
    <t>KÖZFOGLALKOZTATOTTAK LÉTSZÁMA ÖSSZESEN:</t>
  </si>
  <si>
    <t xml:space="preserve">A helyi önkormányzat és költségvetési szervei engedélyezett létszáma és a közfoglalkoztatottak létszáma </t>
  </si>
  <si>
    <t>IV. Előző évek pénzmaradványának (és váll. mar.) igénybevétele</t>
  </si>
  <si>
    <t>B. Költségvetési bevételek (I.+...+IV.)</t>
  </si>
  <si>
    <t>A. Költségvetési kiadások (I.+...+IV.)</t>
  </si>
  <si>
    <t>B. Költségvetési bevételek és A. költségvetési kiadások összesítésének egyenlege (hiány/többlet):</t>
  </si>
  <si>
    <t>Gyermeklánc Óvoda és Egységes Óvoda-Bölcsőde</t>
  </si>
  <si>
    <t>Gyermeklánc Óvoda és Egységes Óvoda-Bölcsőde összesen:</t>
  </si>
  <si>
    <t>Jánoshalma Városi Önkormányzat 2015. évi költségvetésében tervezett központi költségvetési támogatások</t>
  </si>
  <si>
    <t>A 2014. évről áthúzódó bérkompenzáció támogatása</t>
  </si>
  <si>
    <t>I.1.a</t>
  </si>
  <si>
    <t>I.1.b</t>
  </si>
  <si>
    <t>I.1.ba</t>
  </si>
  <si>
    <t>I.1.bb</t>
  </si>
  <si>
    <t>I.1.bc</t>
  </si>
  <si>
    <t>I.1.bd</t>
  </si>
  <si>
    <t>I.1.c</t>
  </si>
  <si>
    <t>I.1.d</t>
  </si>
  <si>
    <t>I.6.</t>
  </si>
  <si>
    <t>Óvodapedagógusok pótlólagos bér támogatása a 2015/2016. nevelési évre</t>
  </si>
  <si>
    <t>II.4</t>
  </si>
  <si>
    <t>A köznevelési intézmények működtetéséhez kapcsolódó támogatás</t>
  </si>
  <si>
    <t>II.5</t>
  </si>
  <si>
    <t>Kiegészítő támogatás az óvodapedagógusok minősítéséből adódó többletkiadásokhoz</t>
  </si>
  <si>
    <t xml:space="preserve">II.5 (1) </t>
  </si>
  <si>
    <t>Pedagógus II. kategória</t>
  </si>
  <si>
    <t xml:space="preserve">II.5 (2) </t>
  </si>
  <si>
    <t>Mesterpedagógus kategória</t>
  </si>
  <si>
    <t>Pénzbeli szociális ellátások kiegészítése</t>
  </si>
  <si>
    <t>A települési önkorm.-k szociális feladatainak egyéb támogatása</t>
  </si>
  <si>
    <t xml:space="preserve">A finanszírozás szempontjából elismert dolgozók bértámogatása                </t>
  </si>
  <si>
    <t xml:space="preserve">III.5.a </t>
  </si>
  <si>
    <t>IV.1.d</t>
  </si>
  <si>
    <t>a Magyarország 2015. évi központi költségvetéséről szóló 2014. évi C. törvény 2. sz. mellékletének jogcímei szerint</t>
  </si>
  <si>
    <t>IV.1</t>
  </si>
  <si>
    <t>Könyvtári, közművelődési és múzeumi feladatok támogatása</t>
  </si>
  <si>
    <t>önk-i többségi tulajdonú nem pénzügyi vállalkozások</t>
  </si>
  <si>
    <t>állami többségi tulajdonú nem pénzügyi vállalkozások</t>
  </si>
  <si>
    <t>Jánoshalma Város Önkormányzat 2015. évi költségvetésének kiadási előirányzatai</t>
  </si>
  <si>
    <t>Jánoshalma Város Önkormányzat 2015. évi költségvetésének bevételi előirányzatai</t>
  </si>
  <si>
    <t>Jánoshalma Város Önkormányzat 2015. évi költségvetése működési és felhalmozási célú bontásban</t>
  </si>
  <si>
    <t>Jánoshalma VárosI Önkormányzat  2015. évi költségvetési kiadásai feladatonként</t>
  </si>
  <si>
    <t>Jánoshalma Város Önkormányzatának és költségvetési szerveinek 2015. évi költségvetési kiadásai kötelező-, önként vállalt-, és állami (államigazgatási) feladatok szerinti bontásban</t>
  </si>
  <si>
    <t>Jánoshalma Város Önkormányzatának  és költségvetési szerveinek 2015. évi költségvetési bevételei és  kiadásai kötelező-, önként vállalt-, és állami (államigazgatási) feladatok szerinti bontásban</t>
  </si>
  <si>
    <t>Egységes Óvoda-Bölcsődei csoport</t>
  </si>
  <si>
    <t xml:space="preserve">Tárgyi eszköz beszerzések Diákélelmezési Konyha részére </t>
  </si>
  <si>
    <t xml:space="preserve">Céltartalék - viziközművek 2015. évi bérleti díj bevételéből (szerződés szerint viziközművek fejlesztésére fordítandó a szolgáltatóval történő egyeztetés alapján) </t>
  </si>
  <si>
    <t>2015. évi felhalmozási kiadások feladatonként, felújítási kiadások célonként</t>
  </si>
  <si>
    <t>Védőnők 2015. évi OEP-finanszírozásának maradványa</t>
  </si>
  <si>
    <t>Környezetvédelmi alap képzése a 2015. évre tervezett talajterhelési díj bevételből</t>
  </si>
  <si>
    <t>K1103</t>
  </si>
  <si>
    <t xml:space="preserve"> Céljuttatás, projektprémium</t>
  </si>
  <si>
    <t>közgyógyellátás</t>
  </si>
  <si>
    <t>Műk. c. visszatérítendő támogatások, kölcsönök nyújtása államháztartáson kívülre g, egyéb vállalkoz</t>
  </si>
  <si>
    <t>Létszámleép. kapcs. fiz. köt.</t>
  </si>
  <si>
    <t>3.4. Tulajdonosi bevételek</t>
  </si>
  <si>
    <t>Létszámleépítésekhez kapcsolódó fizetési kötelezettségek tartaléka</t>
  </si>
  <si>
    <t xml:space="preserve">Céltartalék - Eü-i Központ kölcsön visszafizetés </t>
  </si>
  <si>
    <t>041231</t>
  </si>
  <si>
    <t>041232</t>
  </si>
  <si>
    <t>041233</t>
  </si>
  <si>
    <t>082030</t>
  </si>
  <si>
    <t>082042</t>
  </si>
  <si>
    <t>Konyha</t>
  </si>
  <si>
    <t>Más szerv részére végzett pü-i, gazd-i, üzemeltetési, egyéb szolg. - Építményüzemeltetés</t>
  </si>
  <si>
    <t>Rövid időtartamú közfoglalkoztatás</t>
  </si>
  <si>
    <t>Hosszabb időtartamú közfoglalkoztatás</t>
  </si>
  <si>
    <t>Közutak, hidak, alagutak üzemeltetése, fenntartása</t>
  </si>
  <si>
    <t>045170</t>
  </si>
  <si>
    <t>Parkoló, garázs üzemeltetése, fenntartása</t>
  </si>
  <si>
    <t>013320</t>
  </si>
  <si>
    <t>Köztemető-fenntartás és - működtetés</t>
  </si>
  <si>
    <t>042130</t>
  </si>
  <si>
    <t>Növénytermesztés, állattenyésztés és kapcsolódó szolgáltatások</t>
  </si>
  <si>
    <t>Zöldterület -kezelés</t>
  </si>
  <si>
    <t>Város-, községgazdálkodási egyéb szolgáltatások</t>
  </si>
  <si>
    <t>Üdülői szálláshely-szolgáltatás és étkeztetés</t>
  </si>
  <si>
    <t>Művészeti tevékenységek -IPA Határon Átnyúló Projekt FAB (M.o. - Szerbia)</t>
  </si>
  <si>
    <t>Könyvtári állomány gyarapítása, nyilvántartása</t>
  </si>
  <si>
    <t>Közművelődés- hagyományos közösségi kulturális értékek gondozása</t>
  </si>
  <si>
    <t>Óvodai nevelés, ellátás működtetési feladatai</t>
  </si>
  <si>
    <t>Időskorúak, demens betegek tartós bentlakásos ellátása</t>
  </si>
  <si>
    <t>Egyéb szociális pénzbeli ellátások, támogatások</t>
  </si>
  <si>
    <t>31. Pelikán Kft. feladatell. tám.</t>
  </si>
  <si>
    <t>Védőnők 2015.évi OEP tart.</t>
  </si>
  <si>
    <t>Eü Közp. kölcs. vfiz. -fejl. tartalék</t>
  </si>
  <si>
    <t>Köztemető-fenntartás és működtetés</t>
  </si>
  <si>
    <t>Művészeti tevékenységek - IPA Határon Átnyúló Projekt</t>
  </si>
  <si>
    <t xml:space="preserve">Egyéb szoc. természetbeni és pénzbeni ell. tám. </t>
  </si>
  <si>
    <t>44</t>
  </si>
  <si>
    <t>Nyitnikék Gyerekház</t>
  </si>
  <si>
    <t>Fejlesztési c. tartalék - Eü-i Közp. kölcsön visszafiz.</t>
  </si>
  <si>
    <t>Kieg. tám. óvodapedagógusok minősítéséből adódó többletkiadásokhoz</t>
  </si>
  <si>
    <t>Szociális feladatok egyéb támogatása</t>
  </si>
  <si>
    <t>Gyermekétk. - fin. szempontjából elismert dolgozók bértámogatása (ált. isk, gimn.)</t>
  </si>
  <si>
    <t>Kölcsön visszatérülés- Ivóvízmin. jav. Társulás</t>
  </si>
  <si>
    <t>Kölcsön visszatérülés- Viziközmű Társulat</t>
  </si>
  <si>
    <t>Kölcsön visszatérülés- Eü-i Központ</t>
  </si>
  <si>
    <t>Napenergia h. Ipartelepen pr. EU Önerő Alap</t>
  </si>
  <si>
    <t>Nyitnikék Gyerekház fejezeti támogatása</t>
  </si>
  <si>
    <t>4.sz. háziorvosi körzet OEP- finanszírozás</t>
  </si>
  <si>
    <t>Rövid időtartamú közfoglalkoztatás támogatása</t>
  </si>
  <si>
    <t>Munkaügyi Kp. tám. -2014. évről áthúzódó START-munkaprogramok</t>
  </si>
  <si>
    <t>Munkaügyi Kp. tám. -hosszabb időtartamú közfoglalkoztatás</t>
  </si>
  <si>
    <t xml:space="preserve">IPA Határon Átnyúló Projekt EU tám. felh. </t>
  </si>
  <si>
    <t>Ingatlan értékesítés áfa-ja</t>
  </si>
  <si>
    <t>Terményértékesítés (búza, kukorica stb.)</t>
  </si>
  <si>
    <t>Műk. c. pm. igénybevétel</t>
  </si>
  <si>
    <t>Nonprofit Kft. alapítása- 3 millió Ft törzstőke jegyzése</t>
  </si>
  <si>
    <t>Arany J. u. 13. sz. alatti ingatlanrész felújítása - bérleti díj beszámítást meghaladó kiadás</t>
  </si>
  <si>
    <t>Dózsa Gy. utcai parkoló kialakítása</t>
  </si>
  <si>
    <t>Téglagyár u-i zárt csapadékvíz rendszer felújítása</t>
  </si>
  <si>
    <t>Tárgyi eszköz beszerzések (oxigénpalack) - Háziorvosi ügyeleti ellátás részére</t>
  </si>
  <si>
    <t>IPA Határon Átnyúló Projekt FAB (Magyarország- Szerbia) - Szerbiába továbbutalandó felhalm. c. támogatás</t>
  </si>
  <si>
    <t>Közművelődési érdekeltségnövelő támogatás - pályázati önerő átadása</t>
  </si>
  <si>
    <t>Radnóti u-i óvodaépületben fűtésrendszer átalakítása- kazánház kialakítása</t>
  </si>
  <si>
    <t>Fejlesztési c. céltartalék - Egészségügyi Központ kölcsön visszafizetéséből</t>
  </si>
  <si>
    <t>Gyermeklánc Óvoda és Egységes Óvoda- Bölcsőde</t>
  </si>
  <si>
    <t>Gyermeklánc Óvoda és Egységes Óvoda- Bölcsőde összesen:</t>
  </si>
  <si>
    <t>Tárgyi eszköz beszerzések (bojler, keringető szivattyú , mozgásérzékelő lámpák )</t>
  </si>
  <si>
    <t>Informatikai és egyéb tárgyi eszköz beszerzések (2 db laptop, ruhafogas, csecsemőmérleg 2 db, légzésfigyelő)      - Család- és nővédelmi eü. gondozás részére</t>
  </si>
  <si>
    <t>Nyitnikék Gyerekház -MT hatálya alá tartozó dolgozók</t>
  </si>
  <si>
    <t>Gyerekház vezető</t>
  </si>
  <si>
    <t>pedagógus</t>
  </si>
  <si>
    <t>takarító</t>
  </si>
  <si>
    <t>Rehabilitációs közfoglalkoztatás</t>
  </si>
  <si>
    <t>településkarbantartó</t>
  </si>
  <si>
    <t>segédmunkás</t>
  </si>
  <si>
    <t>álláskereső közfoglalkoztatás</t>
  </si>
  <si>
    <t>rendszeres szociális segély (Szoctv. 37.§(1) a-d pontok</t>
  </si>
  <si>
    <t>5.2. Műk. c. v.térítendő támogatások, kölcs. nyújt. állh-on kívül</t>
  </si>
  <si>
    <t>Telep. önk-ok szoc. és gyermekjóléti és gyermekétk. feladatainak tám.</t>
  </si>
  <si>
    <t>Műk. célú költségvetési tám. és kiegészítő tám.</t>
  </si>
  <si>
    <t>Elszámolásból származó bevételek</t>
  </si>
  <si>
    <t>Készletértékesítés ellenértéke</t>
  </si>
  <si>
    <t>önk-i vagyon üzemeltetéséből, koncesszióból származó bevétel</t>
  </si>
  <si>
    <t>önk-i többségi tulaljdonú vállalkozástól kapott osztalék</t>
  </si>
  <si>
    <t>áll-i többségi tulajdonú vállalkozástól kapott osztalék</t>
  </si>
  <si>
    <t>egyéb részesedések után kapott osztalék</t>
  </si>
  <si>
    <t xml:space="preserve">Kamatbevételek </t>
  </si>
  <si>
    <t>befektetési jegyek kamatbevételi</t>
  </si>
  <si>
    <t>fedezeti ügyletek kamatbevételei</t>
  </si>
  <si>
    <t>Biztosító által fizetett kártérítés</t>
  </si>
  <si>
    <t>B411</t>
  </si>
  <si>
    <t>Egyéb működési bevételek (pl. közbesz. ajánlati biztosíték, pályázati díjak, kötbér, késedelmi kamat, kerekítési különbözet stb.)</t>
  </si>
  <si>
    <t>B64</t>
  </si>
  <si>
    <t>Műk. c. visszatérítendő támogatások, kölcsönök vtérülése EU-tól</t>
  </si>
  <si>
    <t>Műk. c. visszatérítendő támogatások, kölcsönök vtérülése kormányoktól és más nemzetközi szervezetektől</t>
  </si>
  <si>
    <t>B65</t>
  </si>
  <si>
    <t>Felh. c. visszatérítendő támogatások, kölcsönök vtérülése EU-tól</t>
  </si>
  <si>
    <t>Felh. c. visszatérítendő támogatások, kölcsönök vtérülése kormányoktól és más nemzetközi szervezetektől</t>
  </si>
  <si>
    <t>B74</t>
  </si>
  <si>
    <t>B75</t>
  </si>
  <si>
    <t>Hosszú lejáratú hitelek, kölcsönök felvétele pü-i vállalkozástól</t>
  </si>
  <si>
    <t>Rövid lejáratú hitelek, kölcsönök felvétele pü-i vállalkozástól</t>
  </si>
  <si>
    <t>B8121</t>
  </si>
  <si>
    <t>Forgatási c. belföldi értékpapírok beváltása, értékesítése</t>
  </si>
  <si>
    <t>B8122</t>
  </si>
  <si>
    <t>Éven belüli lejáratú belföldi értékpapírok kibocsátása</t>
  </si>
  <si>
    <t>B8123</t>
  </si>
  <si>
    <t>Befektetési célú belföldi értékpapírok beváltása, értékesítése</t>
  </si>
  <si>
    <t>B8124</t>
  </si>
  <si>
    <t>Éven túli lejáratú belföldi értékpapírok kibocsátása</t>
  </si>
  <si>
    <t>Lekötött bankbetétek megszüntetése</t>
  </si>
  <si>
    <t>B819</t>
  </si>
  <si>
    <t>Tulajdonosi kölcsönök bevételei</t>
  </si>
  <si>
    <t>B8191</t>
  </si>
  <si>
    <t>Hosszú lejáratú tulajdonosi kölcsönök bevételei</t>
  </si>
  <si>
    <t>B8192</t>
  </si>
  <si>
    <t>Rövid lejáratú tulajdonosi kölcsönök bevételei</t>
  </si>
  <si>
    <t>B84</t>
  </si>
  <si>
    <t>Váltóbevételek</t>
  </si>
  <si>
    <t>utak használata ellenében beszedett használati díj, pótd. elektr.útd.</t>
  </si>
  <si>
    <t>szerződés megerősítésével, a szerződésszegéssel kapcsolatos véglegesen járó bevételek, a szerződésen kívüli károkozásért, személyiségi, dologi vagy más jog megsértéséért, jogalap nélküli gazdagodásért kapott összegek</t>
  </si>
  <si>
    <t>nonprofit gazdasági társaságok</t>
  </si>
  <si>
    <t>külföldi szervezetek, személyek</t>
  </si>
  <si>
    <t xml:space="preserve">k, </t>
  </si>
  <si>
    <t>Egyéb műk. c. támogatások EU-nak</t>
  </si>
  <si>
    <t>K513</t>
  </si>
  <si>
    <t>K89</t>
  </si>
  <si>
    <t>Egyéb felhalmozási c. támogatások EU-nak</t>
  </si>
  <si>
    <t>Start-munka program - Téli közfoglalkoztatás -2014. évről áthúzódó</t>
  </si>
  <si>
    <t xml:space="preserve">Start-munka program - Téli közfoglalkoztatás - 2014. évről áthúzódó </t>
  </si>
  <si>
    <t>Start-munka program - Téli közfoglalkoztatás - 2015. évben induló</t>
  </si>
  <si>
    <t>22. Eü. ellátás</t>
  </si>
  <si>
    <t>Start-munka program - Téli közfoglalkoztatás -2015. évben induló</t>
  </si>
  <si>
    <t>3.1. Készletértékesítés ellenértéke</t>
  </si>
  <si>
    <t>Kölcsön visszatérülés- Közfoglalkoztatás Non-profit Kft</t>
  </si>
  <si>
    <t>Munkaügyi Kp. műk. c. tám. -2015. évben induló START-munkaprogramok</t>
  </si>
  <si>
    <t>Munkaügyi Kp. felh. c. tám. -2015. évben induló START-munkaprogramok</t>
  </si>
  <si>
    <t xml:space="preserve">Téli és egyéb értékteremtő közfoglalkoztatás </t>
  </si>
  <si>
    <t>START- munkaprogram - Téli közfoglalkoztatás - 2014. évről áthúzódó</t>
  </si>
  <si>
    <t>2015. évben induló START munkaprogramok tárgyi eszköz beszerzései és járdaépítés</t>
  </si>
  <si>
    <t>Kölcsey u. 12. sz. helyiség felújítás 2015-ben induló START munkaprogram keretében</t>
  </si>
  <si>
    <t xml:space="preserve">Főtérre 3 db új kamera beállítása, a rendszer sávszélesség növelése </t>
  </si>
  <si>
    <t>Ingatlan vásárlás</t>
  </si>
  <si>
    <t>2012. évi fejl. c. viziközmű elszámolásból Városgazda Kft-től</t>
  </si>
  <si>
    <t>46/2015.(II.26.) Kt. hat. 2015. évi hosszabb időtartamú közf. - önerő</t>
  </si>
  <si>
    <t>47/2015.(II.26.) Kt. hat. Százszorszépföld Egyesülethez való csatlakozás - tagdíj</t>
  </si>
  <si>
    <t>Ellátottak juttatásai - kiegészítő támogatások (FHT, RSZS) rendezése</t>
  </si>
  <si>
    <t>2015-ben induló START - munkaprogram önerő visszavezetés</t>
  </si>
  <si>
    <t>Vízi- és szennyvízközművel kapcsolatos 2012. évi fejlesztési c. pénzeszköz elszámolásából Városgazda Kft. által visszautalt összeg</t>
  </si>
  <si>
    <t xml:space="preserve">Topolyai Kodály Z. MMK Cirkalom Néptáncegyüttesének utiköltsége (márc. 15-i rendezvény) </t>
  </si>
  <si>
    <t>Létszám-leépít. kapcs. fiz. köt. tart.</t>
  </si>
  <si>
    <t>1. melléklet a 9/2015.(V.05.) önkormányzati rendelethez</t>
  </si>
  <si>
    <t>2. melléklet a 9/2015.(V.05.) önkormányzati rendelethez</t>
  </si>
  <si>
    <t>3. melléklet a 9/2015.(V.05.) önkormányzati rendelethez</t>
  </si>
  <si>
    <t>4. melléklet a 9/2015.(V.05.) önkormányzati rendelethez</t>
  </si>
  <si>
    <t>5. melléklet a 9/2015.(V.05.) önkormányzati rendelethez</t>
  </si>
  <si>
    <t>6. melléklet a 9/2015.(V.05.) önkormányzati rendelethez</t>
  </si>
  <si>
    <t>7. melléklet a 9/2015. (V.05.) önkormányzati rendelethez</t>
  </si>
  <si>
    <t>8. melléklet a 9/2015.(V.05.) önkormányzati rendelethez</t>
  </si>
  <si>
    <t>9. melléklet a 9/2015.(V.05.) önkormányzati rendelethez</t>
  </si>
  <si>
    <t>10. melléklet a 9/2015. (V.05.) önkormányzati rendelethez</t>
  </si>
  <si>
    <t>11. melléklet  a 9/2015. (V.05.)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</si>
</sst>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9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Arial CE"/>
      <family val="2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Arial CE"/>
      <charset val="238"/>
    </font>
    <font>
      <sz val="11"/>
      <name val="Times New Roman CE"/>
      <charset val="238"/>
    </font>
    <font>
      <sz val="10"/>
      <name val="Arial CE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indexed="10"/>
      <name val="Times New Roman CE"/>
      <family val="1"/>
      <charset val="238"/>
    </font>
    <font>
      <b/>
      <sz val="11"/>
      <color indexed="60"/>
      <name val="Times New Roman"/>
      <family val="1"/>
      <charset val="238"/>
    </font>
    <font>
      <b/>
      <i/>
      <sz val="11"/>
      <color indexed="60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color indexed="56"/>
      <name val="Times New Roman"/>
      <family val="1"/>
      <charset val="238"/>
    </font>
    <font>
      <b/>
      <i/>
      <sz val="10"/>
      <color indexed="56"/>
      <name val="Times New Roman"/>
      <family val="1"/>
      <charset val="238"/>
    </font>
    <font>
      <i/>
      <sz val="10"/>
      <color indexed="56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i/>
      <sz val="11"/>
      <name val="Times New Roman CE"/>
      <charset val="238"/>
    </font>
    <font>
      <b/>
      <sz val="9"/>
      <name val="Arial"/>
      <family val="2"/>
      <charset val="238"/>
    </font>
    <font>
      <sz val="9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b/>
      <sz val="10"/>
      <name val="Arial CE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i/>
      <sz val="9"/>
      <name val="Arial CE"/>
      <charset val="238"/>
    </font>
    <font>
      <sz val="8"/>
      <color indexed="10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2"/>
      <name val="Arial"/>
      <charset val="238"/>
    </font>
    <font>
      <b/>
      <sz val="13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7"/>
      <name val="Arial CE"/>
      <family val="2"/>
      <charset val="238"/>
    </font>
    <font>
      <b/>
      <sz val="14"/>
      <name val="Times New Roman CE"/>
      <charset val="238"/>
    </font>
    <font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</font>
    <font>
      <b/>
      <sz val="10"/>
      <color indexed="12"/>
      <name val="Arial CE"/>
      <charset val="238"/>
    </font>
    <font>
      <sz val="10"/>
      <color indexed="12"/>
      <name val="Arial CE"/>
      <charset val="238"/>
    </font>
    <font>
      <b/>
      <sz val="10"/>
      <color indexed="30"/>
      <name val="Arial CE"/>
      <charset val="238"/>
    </font>
    <font>
      <sz val="10"/>
      <color indexed="30"/>
      <name val="Arial CE"/>
      <charset val="238"/>
    </font>
    <font>
      <sz val="8"/>
      <color indexed="30"/>
      <name val="Arial CE"/>
      <charset val="238"/>
    </font>
    <font>
      <i/>
      <sz val="10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sz val="11"/>
      <name val="Arial CE"/>
      <charset val="238"/>
    </font>
    <font>
      <sz val="9"/>
      <color indexed="10"/>
      <name val="Arial CE"/>
      <charset val="238"/>
    </font>
    <font>
      <sz val="11"/>
      <name val="Arial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8">
    <xf numFmtId="0" fontId="0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30" fillId="0" borderId="0"/>
    <xf numFmtId="0" fontId="1" fillId="0" borderId="0"/>
    <xf numFmtId="0" fontId="22" fillId="0" borderId="0"/>
    <xf numFmtId="0" fontId="1" fillId="0" borderId="0"/>
  </cellStyleXfs>
  <cellXfs count="1071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right" vertical="center"/>
    </xf>
    <xf numFmtId="3" fontId="13" fillId="0" borderId="5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horizontal="left" vertical="center"/>
    </xf>
    <xf numFmtId="3" fontId="13" fillId="0" borderId="7" xfId="0" applyNumberFormat="1" applyFont="1" applyFill="1" applyBorder="1" applyAlignment="1">
      <alignment vertical="center"/>
    </xf>
    <xf numFmtId="3" fontId="13" fillId="0" borderId="8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4" fillId="0" borderId="12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14" fillId="0" borderId="3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2" fillId="0" borderId="9" xfId="6" applyFont="1" applyBorder="1" applyAlignment="1">
      <alignment horizontal="center" vertical="center"/>
    </xf>
    <xf numFmtId="0" fontId="2" fillId="0" borderId="20" xfId="6" applyFont="1" applyBorder="1" applyAlignment="1">
      <alignment horizontal="center" vertical="center" wrapText="1"/>
    </xf>
    <xf numFmtId="0" fontId="2" fillId="0" borderId="12" xfId="6" applyFont="1" applyBorder="1" applyAlignment="1">
      <alignment horizontal="center" vertical="center" wrapText="1"/>
    </xf>
    <xf numFmtId="0" fontId="2" fillId="0" borderId="17" xfId="6" applyFont="1" applyBorder="1" applyAlignment="1">
      <alignment horizontal="center" vertical="center" wrapText="1"/>
    </xf>
    <xf numFmtId="0" fontId="2" fillId="0" borderId="4" xfId="6" applyFont="1" applyBorder="1" applyAlignment="1">
      <alignment horizontal="center" vertical="center" wrapText="1"/>
    </xf>
    <xf numFmtId="0" fontId="2" fillId="0" borderId="0" xfId="6" applyFont="1" applyAlignment="1">
      <alignment horizontal="center" vertical="center"/>
    </xf>
    <xf numFmtId="49" fontId="22" fillId="0" borderId="17" xfId="6" applyNumberFormat="1" applyBorder="1" applyAlignment="1">
      <alignment vertical="center"/>
    </xf>
    <xf numFmtId="3" fontId="22" fillId="0" borderId="20" xfId="6" applyNumberFormat="1" applyBorder="1"/>
    <xf numFmtId="3" fontId="22" fillId="0" borderId="17" xfId="6" applyNumberFormat="1" applyBorder="1"/>
    <xf numFmtId="3" fontId="22" fillId="0" borderId="4" xfId="6" applyNumberFormat="1" applyBorder="1"/>
    <xf numFmtId="3" fontId="22" fillId="0" borderId="12" xfId="6" applyNumberFormat="1" applyBorder="1"/>
    <xf numFmtId="3" fontId="22" fillId="0" borderId="0" xfId="6" applyNumberFormat="1"/>
    <xf numFmtId="0" fontId="22" fillId="0" borderId="0" xfId="6"/>
    <xf numFmtId="3" fontId="22" fillId="0" borderId="17" xfId="6" applyNumberFormat="1" applyFill="1" applyBorder="1"/>
    <xf numFmtId="2" fontId="22" fillId="0" borderId="12" xfId="6" applyNumberFormat="1" applyBorder="1"/>
    <xf numFmtId="2" fontId="22" fillId="0" borderId="20" xfId="6" applyNumberFormat="1" applyBorder="1"/>
    <xf numFmtId="3" fontId="22" fillId="0" borderId="12" xfId="6" applyNumberFormat="1" applyFill="1" applyBorder="1"/>
    <xf numFmtId="4" fontId="22" fillId="0" borderId="20" xfId="6" applyNumberFormat="1" applyFill="1" applyBorder="1"/>
    <xf numFmtId="0" fontId="30" fillId="0" borderId="17" xfId="6" applyFont="1" applyBorder="1"/>
    <xf numFmtId="3" fontId="3" fillId="0" borderId="0" xfId="6" applyNumberFormat="1" applyFont="1"/>
    <xf numFmtId="3" fontId="2" fillId="0" borderId="0" xfId="6" applyNumberFormat="1" applyFont="1"/>
    <xf numFmtId="0" fontId="3" fillId="0" borderId="0" xfId="6" applyFont="1"/>
    <xf numFmtId="49" fontId="22" fillId="0" borderId="0" xfId="6" applyNumberFormat="1"/>
    <xf numFmtId="0" fontId="39" fillId="0" borderId="0" xfId="0" applyFont="1" applyFill="1" applyAlignment="1">
      <alignment vertical="center"/>
    </xf>
    <xf numFmtId="0" fontId="25" fillId="0" borderId="0" xfId="2" applyFont="1"/>
    <xf numFmtId="0" fontId="24" fillId="0" borderId="0" xfId="2" applyFont="1" applyAlignment="1">
      <alignment vertical="center"/>
    </xf>
    <xf numFmtId="0" fontId="26" fillId="0" borderId="17" xfId="2" applyFont="1" applyBorder="1" applyAlignment="1">
      <alignment horizontal="center" vertical="center" wrapText="1"/>
    </xf>
    <xf numFmtId="0" fontId="28" fillId="0" borderId="17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/>
    <xf numFmtId="0" fontId="27" fillId="0" borderId="17" xfId="2" applyFont="1" applyBorder="1"/>
    <xf numFmtId="0" fontId="27" fillId="0" borderId="0" xfId="2" applyFont="1"/>
    <xf numFmtId="0" fontId="32" fillId="0" borderId="0" xfId="2" applyFont="1"/>
    <xf numFmtId="0" fontId="33" fillId="0" borderId="0" xfId="2" applyFont="1"/>
    <xf numFmtId="0" fontId="32" fillId="0" borderId="17" xfId="2" applyFont="1" applyBorder="1"/>
    <xf numFmtId="0" fontId="34" fillId="0" borderId="0" xfId="2" applyFont="1"/>
    <xf numFmtId="0" fontId="27" fillId="0" borderId="0" xfId="2" applyFont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32" fillId="0" borderId="17" xfId="2" applyFont="1" applyBorder="1" applyAlignment="1">
      <alignment horizontal="left" vertical="center" indent="2"/>
    </xf>
    <xf numFmtId="16" fontId="32" fillId="0" borderId="17" xfId="2" applyNumberFormat="1" applyFont="1" applyBorder="1" applyAlignment="1">
      <alignment horizontal="left" vertical="center" indent="2"/>
    </xf>
    <xf numFmtId="0" fontId="32" fillId="0" borderId="17" xfId="2" applyFont="1" applyBorder="1" applyAlignment="1">
      <alignment horizontal="left" indent="2"/>
    </xf>
    <xf numFmtId="3" fontId="28" fillId="0" borderId="17" xfId="1" applyNumberFormat="1" applyFont="1" applyBorder="1" applyAlignment="1">
      <alignment horizontal="right"/>
    </xf>
    <xf numFmtId="3" fontId="27" fillId="0" borderId="17" xfId="1" applyNumberFormat="1" applyFont="1" applyBorder="1" applyAlignment="1">
      <alignment horizontal="right"/>
    </xf>
    <xf numFmtId="3" fontId="32" fillId="0" borderId="17" xfId="1" applyNumberFormat="1" applyFont="1" applyBorder="1" applyAlignment="1">
      <alignment horizontal="right"/>
    </xf>
    <xf numFmtId="0" fontId="40" fillId="0" borderId="17" xfId="2" applyFont="1" applyBorder="1" applyAlignment="1">
      <alignment horizontal="left" vertical="center" wrapText="1"/>
    </xf>
    <xf numFmtId="0" fontId="40" fillId="0" borderId="0" xfId="2" applyFont="1" applyAlignment="1">
      <alignment horizontal="center" vertical="center" wrapText="1"/>
    </xf>
    <xf numFmtId="3" fontId="40" fillId="0" borderId="17" xfId="1" applyNumberFormat="1" applyFont="1" applyBorder="1" applyAlignment="1">
      <alignment horizontal="right"/>
    </xf>
    <xf numFmtId="0" fontId="40" fillId="0" borderId="17" xfId="2" applyFont="1" applyBorder="1"/>
    <xf numFmtId="0" fontId="41" fillId="0" borderId="0" xfId="2" applyFont="1"/>
    <xf numFmtId="0" fontId="42" fillId="0" borderId="17" xfId="2" applyFont="1" applyBorder="1" applyAlignment="1">
      <alignment horizontal="right"/>
    </xf>
    <xf numFmtId="0" fontId="43" fillId="0" borderId="0" xfId="2" applyFont="1"/>
    <xf numFmtId="0" fontId="44" fillId="0" borderId="17" xfId="2" applyFont="1" applyBorder="1" applyAlignment="1">
      <alignment vertical="center"/>
    </xf>
    <xf numFmtId="3" fontId="44" fillId="0" borderId="17" xfId="1" applyNumberFormat="1" applyFont="1" applyBorder="1" applyAlignment="1">
      <alignment horizontal="right"/>
    </xf>
    <xf numFmtId="0" fontId="44" fillId="0" borderId="17" xfId="2" applyFont="1" applyBorder="1"/>
    <xf numFmtId="0" fontId="44" fillId="0" borderId="0" xfId="2" applyFont="1"/>
    <xf numFmtId="0" fontId="44" fillId="0" borderId="17" xfId="2" applyFont="1" applyBorder="1" applyAlignment="1">
      <alignment vertical="center" wrapText="1"/>
    </xf>
    <xf numFmtId="0" fontId="44" fillId="0" borderId="17" xfId="2" applyFont="1" applyBorder="1" applyAlignment="1">
      <alignment horizontal="left" vertical="center"/>
    </xf>
    <xf numFmtId="0" fontId="45" fillId="0" borderId="0" xfId="2" applyFont="1"/>
    <xf numFmtId="0" fontId="44" fillId="0" borderId="17" xfId="2" applyFont="1" applyBorder="1" applyAlignment="1">
      <alignment horizontal="left" vertical="center" wrapText="1"/>
    </xf>
    <xf numFmtId="0" fontId="46" fillId="0" borderId="0" xfId="2" applyFont="1"/>
    <xf numFmtId="0" fontId="28" fillId="0" borderId="17" xfId="2" applyFont="1" applyBorder="1" applyAlignment="1">
      <alignment horizontal="left" vertical="center" indent="1"/>
    </xf>
    <xf numFmtId="0" fontId="28" fillId="0" borderId="17" xfId="2" applyFont="1" applyBorder="1" applyAlignment="1">
      <alignment horizontal="left" indent="1"/>
    </xf>
    <xf numFmtId="3" fontId="47" fillId="0" borderId="17" xfId="2" applyNumberFormat="1" applyFont="1" applyBorder="1" applyAlignment="1">
      <alignment horizontal="right" vertical="center"/>
    </xf>
    <xf numFmtId="0" fontId="40" fillId="0" borderId="17" xfId="2" applyFont="1" applyBorder="1" applyAlignment="1">
      <alignment vertical="top"/>
    </xf>
    <xf numFmtId="3" fontId="47" fillId="0" borderId="17" xfId="1" applyNumberFormat="1" applyFont="1" applyBorder="1" applyAlignment="1">
      <alignment horizontal="right"/>
    </xf>
    <xf numFmtId="0" fontId="28" fillId="0" borderId="17" xfId="2" applyFont="1" applyBorder="1" applyAlignment="1">
      <alignment horizontal="left" vertical="top" inden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0" fillId="0" borderId="0" xfId="0" applyFont="1"/>
    <xf numFmtId="0" fontId="37" fillId="0" borderId="0" xfId="0" applyFont="1"/>
    <xf numFmtId="0" fontId="35" fillId="0" borderId="0" xfId="0" applyFont="1"/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/>
    </xf>
    <xf numFmtId="0" fontId="25" fillId="0" borderId="17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right" vertical="center"/>
    </xf>
    <xf numFmtId="3" fontId="25" fillId="0" borderId="17" xfId="0" applyNumberFormat="1" applyFont="1" applyBorder="1" applyAlignment="1">
      <alignment vertical="center"/>
    </xf>
    <xf numFmtId="3" fontId="26" fillId="0" borderId="17" xfId="0" applyNumberFormat="1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9" fillId="0" borderId="1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29" fillId="0" borderId="17" xfId="2" applyFont="1" applyBorder="1" applyAlignment="1">
      <alignment horizontal="center"/>
    </xf>
    <xf numFmtId="0" fontId="13" fillId="0" borderId="21" xfId="0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3" fontId="48" fillId="0" borderId="4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3" fontId="50" fillId="0" borderId="21" xfId="0" applyNumberFormat="1" applyFont="1" applyFill="1" applyBorder="1" applyAlignment="1">
      <alignment vertical="center"/>
    </xf>
    <xf numFmtId="3" fontId="50" fillId="0" borderId="2" xfId="0" applyNumberFormat="1" applyFont="1" applyFill="1" applyBorder="1" applyAlignment="1">
      <alignment vertical="center"/>
    </xf>
    <xf numFmtId="3" fontId="50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 wrapText="1"/>
    </xf>
    <xf numFmtId="0" fontId="5" fillId="0" borderId="17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23" fillId="0" borderId="0" xfId="7" applyFont="1" applyAlignment="1">
      <alignment vertical="center"/>
    </xf>
    <xf numFmtId="0" fontId="24" fillId="0" borderId="0" xfId="7" applyFont="1" applyAlignment="1">
      <alignment horizontal="center" vertical="center" wrapText="1"/>
    </xf>
    <xf numFmtId="0" fontId="27" fillId="0" borderId="0" xfId="7" applyFont="1" applyAlignment="1">
      <alignment vertical="center" wrapText="1"/>
    </xf>
    <xf numFmtId="0" fontId="28" fillId="0" borderId="17" xfId="7" applyFont="1" applyBorder="1" applyAlignment="1">
      <alignment horizontal="center" vertical="center" wrapText="1"/>
    </xf>
    <xf numFmtId="3" fontId="24" fillId="0" borderId="4" xfId="7" applyNumberFormat="1" applyFont="1" applyBorder="1" applyAlignment="1">
      <alignment horizontal="right" vertical="center" wrapText="1"/>
    </xf>
    <xf numFmtId="3" fontId="23" fillId="0" borderId="17" xfId="7" applyNumberFormat="1" applyFont="1" applyBorder="1" applyAlignment="1">
      <alignment horizontal="right" vertical="center"/>
    </xf>
    <xf numFmtId="0" fontId="29" fillId="0" borderId="20" xfId="7" applyFont="1" applyBorder="1" applyAlignment="1">
      <alignment horizontal="center" vertical="center"/>
    </xf>
    <xf numFmtId="3" fontId="23" fillId="0" borderId="17" xfId="7" applyNumberFormat="1" applyFont="1" applyBorder="1" applyAlignment="1">
      <alignment horizontal="right" vertical="center" wrapText="1"/>
    </xf>
    <xf numFmtId="0" fontId="29" fillId="0" borderId="0" xfId="7" applyFont="1" applyAlignment="1">
      <alignment horizontal="center" vertical="center"/>
    </xf>
    <xf numFmtId="3" fontId="29" fillId="0" borderId="17" xfId="7" applyNumberFormat="1" applyFont="1" applyBorder="1" applyAlignment="1">
      <alignment horizontal="center" vertical="center" wrapText="1"/>
    </xf>
    <xf numFmtId="0" fontId="29" fillId="0" borderId="17" xfId="7" applyFont="1" applyBorder="1" applyAlignment="1">
      <alignment horizontal="center" vertical="center"/>
    </xf>
    <xf numFmtId="0" fontId="24" fillId="0" borderId="17" xfId="7" applyFont="1" applyBorder="1" applyAlignment="1">
      <alignment horizontal="center" vertical="center"/>
    </xf>
    <xf numFmtId="3" fontId="29" fillId="0" borderId="4" xfId="7" applyNumberFormat="1" applyFont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3" fontId="50" fillId="0" borderId="11" xfId="0" applyNumberFormat="1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49" fontId="52" fillId="0" borderId="0" xfId="0" applyNumberFormat="1" applyFont="1" applyFill="1" applyAlignment="1">
      <alignment vertical="center"/>
    </xf>
    <xf numFmtId="0" fontId="52" fillId="0" borderId="0" xfId="0" applyFont="1" applyFill="1" applyBorder="1" applyAlignment="1">
      <alignment vertical="center"/>
    </xf>
    <xf numFmtId="49" fontId="52" fillId="0" borderId="26" xfId="0" applyNumberFormat="1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vertical="center"/>
    </xf>
    <xf numFmtId="3" fontId="53" fillId="0" borderId="27" xfId="0" applyNumberFormat="1" applyFont="1" applyFill="1" applyBorder="1" applyAlignment="1">
      <alignment vertical="center"/>
    </xf>
    <xf numFmtId="3" fontId="52" fillId="0" borderId="15" xfId="0" applyNumberFormat="1" applyFont="1" applyFill="1" applyBorder="1" applyAlignment="1">
      <alignment vertical="center"/>
    </xf>
    <xf numFmtId="3" fontId="52" fillId="0" borderId="27" xfId="0" applyNumberFormat="1" applyFont="1" applyFill="1" applyBorder="1" applyAlignment="1">
      <alignment vertical="center"/>
    </xf>
    <xf numFmtId="0" fontId="35" fillId="0" borderId="17" xfId="0" applyFont="1" applyBorder="1" applyAlignment="1">
      <alignment horizontal="center"/>
    </xf>
    <xf numFmtId="0" fontId="35" fillId="2" borderId="17" xfId="0" applyFont="1" applyFill="1" applyBorder="1"/>
    <xf numFmtId="0" fontId="30" fillId="3" borderId="17" xfId="0" applyFont="1" applyFill="1" applyBorder="1"/>
    <xf numFmtId="0" fontId="37" fillId="0" borderId="17" xfId="0" applyFont="1" applyBorder="1"/>
    <xf numFmtId="0" fontId="35" fillId="0" borderId="17" xfId="0" applyFont="1" applyFill="1" applyBorder="1"/>
    <xf numFmtId="0" fontId="35" fillId="0" borderId="0" xfId="0" applyFont="1" applyFill="1"/>
    <xf numFmtId="0" fontId="35" fillId="4" borderId="17" xfId="0" applyFont="1" applyFill="1" applyBorder="1"/>
    <xf numFmtId="3" fontId="4" fillId="0" borderId="17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left" vertical="center"/>
    </xf>
    <xf numFmtId="0" fontId="22" fillId="0" borderId="17" xfId="6" applyFont="1" applyBorder="1"/>
    <xf numFmtId="0" fontId="22" fillId="0" borderId="9" xfId="6" applyFont="1" applyBorder="1"/>
    <xf numFmtId="49" fontId="35" fillId="0" borderId="17" xfId="6" applyNumberFormat="1" applyFont="1" applyBorder="1" applyAlignment="1">
      <alignment vertical="center"/>
    </xf>
    <xf numFmtId="0" fontId="35" fillId="0" borderId="17" xfId="6" applyFont="1" applyBorder="1"/>
    <xf numFmtId="0" fontId="35" fillId="0" borderId="9" xfId="6" applyFont="1" applyBorder="1" applyAlignment="1">
      <alignment wrapText="1"/>
    </xf>
    <xf numFmtId="3" fontId="35" fillId="0" borderId="20" xfId="6" applyNumberFormat="1" applyFont="1" applyBorder="1"/>
    <xf numFmtId="3" fontId="35" fillId="0" borderId="17" xfId="6" applyNumberFormat="1" applyFont="1" applyBorder="1"/>
    <xf numFmtId="3" fontId="35" fillId="0" borderId="4" xfId="6" applyNumberFormat="1" applyFont="1" applyBorder="1"/>
    <xf numFmtId="3" fontId="35" fillId="0" borderId="12" xfId="6" applyNumberFormat="1" applyFont="1" applyBorder="1"/>
    <xf numFmtId="3" fontId="35" fillId="0" borderId="0" xfId="6" applyNumberFormat="1" applyFont="1"/>
    <xf numFmtId="0" fontId="35" fillId="0" borderId="0" xfId="6" applyFont="1"/>
    <xf numFmtId="0" fontId="35" fillId="0" borderId="9" xfId="6" applyFont="1" applyBorder="1"/>
    <xf numFmtId="3" fontId="35" fillId="0" borderId="17" xfId="6" applyNumberFormat="1" applyFont="1" applyFill="1" applyBorder="1"/>
    <xf numFmtId="3" fontId="35" fillId="0" borderId="0" xfId="6" applyNumberFormat="1" applyFont="1" applyAlignment="1">
      <alignment vertical="center"/>
    </xf>
    <xf numFmtId="0" fontId="35" fillId="0" borderId="0" xfId="6" applyFont="1" applyAlignment="1">
      <alignment vertical="center"/>
    </xf>
    <xf numFmtId="49" fontId="35" fillId="0" borderId="17" xfId="6" applyNumberFormat="1" applyFont="1" applyBorder="1" applyAlignment="1">
      <alignment horizontal="center" vertical="center"/>
    </xf>
    <xf numFmtId="3" fontId="30" fillId="0" borderId="0" xfId="6" applyNumberFormat="1" applyFont="1"/>
    <xf numFmtId="3" fontId="35" fillId="0" borderId="20" xfId="6" applyNumberFormat="1" applyFont="1" applyFill="1" applyBorder="1"/>
    <xf numFmtId="49" fontId="35" fillId="5" borderId="17" xfId="6" applyNumberFormat="1" applyFont="1" applyFill="1" applyBorder="1" applyAlignment="1">
      <alignment horizontal="center" vertical="center"/>
    </xf>
    <xf numFmtId="0" fontId="35" fillId="5" borderId="17" xfId="6" applyFont="1" applyFill="1" applyBorder="1" applyAlignment="1">
      <alignment vertical="center"/>
    </xf>
    <xf numFmtId="0" fontId="35" fillId="5" borderId="9" xfId="6" applyFont="1" applyFill="1" applyBorder="1" applyAlignment="1">
      <alignment vertical="center" wrapText="1"/>
    </xf>
    <xf numFmtId="3" fontId="35" fillId="5" borderId="20" xfId="6" applyNumberFormat="1" applyFont="1" applyFill="1" applyBorder="1" applyAlignment="1">
      <alignment vertical="center"/>
    </xf>
    <xf numFmtId="3" fontId="35" fillId="5" borderId="17" xfId="6" applyNumberFormat="1" applyFont="1" applyFill="1" applyBorder="1" applyAlignment="1">
      <alignment vertical="center"/>
    </xf>
    <xf numFmtId="3" fontId="35" fillId="5" borderId="4" xfId="6" applyNumberFormat="1" applyFont="1" applyFill="1" applyBorder="1" applyAlignment="1">
      <alignment vertical="center"/>
    </xf>
    <xf numFmtId="3" fontId="35" fillId="5" borderId="12" xfId="6" applyNumberFormat="1" applyFont="1" applyFill="1" applyBorder="1" applyAlignment="1">
      <alignment vertical="center"/>
    </xf>
    <xf numFmtId="0" fontId="22" fillId="5" borderId="17" xfId="6" applyFill="1" applyBorder="1"/>
    <xf numFmtId="3" fontId="22" fillId="5" borderId="20" xfId="6" applyNumberFormat="1" applyFill="1" applyBorder="1"/>
    <xf numFmtId="3" fontId="22" fillId="5" borderId="17" xfId="6" applyNumberFormat="1" applyFill="1" applyBorder="1"/>
    <xf numFmtId="3" fontId="35" fillId="5" borderId="4" xfId="6" applyNumberFormat="1" applyFont="1" applyFill="1" applyBorder="1"/>
    <xf numFmtId="3" fontId="22" fillId="5" borderId="12" xfId="6" applyNumberFormat="1" applyFill="1" applyBorder="1"/>
    <xf numFmtId="3" fontId="35" fillId="5" borderId="12" xfId="6" applyNumberFormat="1" applyFont="1" applyFill="1" applyBorder="1"/>
    <xf numFmtId="0" fontId="35" fillId="5" borderId="17" xfId="6" applyFont="1" applyFill="1" applyBorder="1"/>
    <xf numFmtId="3" fontId="35" fillId="5" borderId="20" xfId="6" applyNumberFormat="1" applyFont="1" applyFill="1" applyBorder="1"/>
    <xf numFmtId="3" fontId="35" fillId="5" borderId="17" xfId="6" applyNumberFormat="1" applyFont="1" applyFill="1" applyBorder="1"/>
    <xf numFmtId="4" fontId="35" fillId="5" borderId="20" xfId="6" applyNumberFormat="1" applyFont="1" applyFill="1" applyBorder="1"/>
    <xf numFmtId="4" fontId="35" fillId="5" borderId="12" xfId="6" applyNumberFormat="1" applyFont="1" applyFill="1" applyBorder="1"/>
    <xf numFmtId="3" fontId="3" fillId="5" borderId="20" xfId="6" applyNumberFormat="1" applyFont="1" applyFill="1" applyBorder="1" applyAlignment="1">
      <alignment horizontal="center"/>
    </xf>
    <xf numFmtId="3" fontId="3" fillId="5" borderId="17" xfId="6" applyNumberFormat="1" applyFont="1" applyFill="1" applyBorder="1" applyAlignment="1">
      <alignment horizontal="center"/>
    </xf>
    <xf numFmtId="3" fontId="2" fillId="5" borderId="4" xfId="6" applyNumberFormat="1" applyFont="1" applyFill="1" applyBorder="1"/>
    <xf numFmtId="3" fontId="3" fillId="5" borderId="12" xfId="6" applyNumberFormat="1" applyFont="1" applyFill="1" applyBorder="1" applyAlignment="1">
      <alignment horizontal="center"/>
    </xf>
    <xf numFmtId="49" fontId="6" fillId="0" borderId="0" xfId="5" applyNumberFormat="1" applyFont="1" applyFill="1" applyAlignment="1">
      <alignment horizontal="center" vertical="center"/>
    </xf>
    <xf numFmtId="0" fontId="6" fillId="0" borderId="0" xfId="5" applyFont="1" applyFill="1" applyAlignment="1">
      <alignment vertical="center"/>
    </xf>
    <xf numFmtId="0" fontId="50" fillId="0" borderId="0" xfId="5" applyFont="1" applyFill="1" applyAlignment="1">
      <alignment vertical="center"/>
    </xf>
    <xf numFmtId="0" fontId="8" fillId="0" borderId="0" xfId="5" applyFont="1" applyFill="1" applyAlignment="1">
      <alignment horizontal="left" vertical="center"/>
    </xf>
    <xf numFmtId="0" fontId="1" fillId="0" borderId="0" xfId="5" applyAlignment="1">
      <alignment horizontal="left"/>
    </xf>
    <xf numFmtId="0" fontId="1" fillId="0" borderId="0" xfId="5" applyFill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Fill="1" applyAlignment="1">
      <alignment horizontal="left" vertical="center"/>
    </xf>
    <xf numFmtId="0" fontId="4" fillId="0" borderId="16" xfId="5" applyFont="1" applyFill="1" applyBorder="1" applyAlignment="1">
      <alignment horizontal="center" vertical="center"/>
    </xf>
    <xf numFmtId="49" fontId="6" fillId="0" borderId="20" xfId="5" applyNumberFormat="1" applyFont="1" applyFill="1" applyBorder="1" applyAlignment="1">
      <alignment horizontal="center" vertical="center"/>
    </xf>
    <xf numFmtId="3" fontId="4" fillId="0" borderId="21" xfId="5" applyNumberFormat="1" applyFont="1" applyFill="1" applyBorder="1" applyAlignment="1">
      <alignment vertical="center" wrapText="1"/>
    </xf>
    <xf numFmtId="3" fontId="6" fillId="0" borderId="12" xfId="5" applyNumberFormat="1" applyFont="1" applyFill="1" applyBorder="1" applyAlignment="1">
      <alignment vertical="center"/>
    </xf>
    <xf numFmtId="3" fontId="6" fillId="0" borderId="17" xfId="5" applyNumberFormat="1" applyFont="1" applyFill="1" applyBorder="1" applyAlignment="1">
      <alignment vertical="center"/>
    </xf>
    <xf numFmtId="0" fontId="5" fillId="0" borderId="17" xfId="5" applyFont="1" applyFill="1" applyBorder="1" applyAlignment="1">
      <alignment vertical="center" wrapText="1"/>
    </xf>
    <xf numFmtId="3" fontId="4" fillId="0" borderId="2" xfId="5" applyNumberFormat="1" applyFont="1" applyFill="1" applyBorder="1" applyAlignment="1">
      <alignment vertical="center"/>
    </xf>
    <xf numFmtId="3" fontId="58" fillId="0" borderId="12" xfId="5" applyNumberFormat="1" applyFont="1" applyFill="1" applyBorder="1" applyAlignment="1">
      <alignment vertical="center"/>
    </xf>
    <xf numFmtId="0" fontId="5" fillId="0" borderId="28" xfId="5" applyFont="1" applyFill="1" applyBorder="1" applyAlignment="1">
      <alignment vertical="center" wrapText="1"/>
    </xf>
    <xf numFmtId="3" fontId="4" fillId="0" borderId="2" xfId="5" applyNumberFormat="1" applyFont="1" applyFill="1" applyBorder="1" applyAlignment="1">
      <alignment vertical="center" wrapText="1"/>
    </xf>
    <xf numFmtId="0" fontId="15" fillId="0" borderId="0" xfId="5" applyFont="1" applyFill="1" applyBorder="1" applyAlignment="1">
      <alignment vertical="center" wrapText="1"/>
    </xf>
    <xf numFmtId="3" fontId="26" fillId="0" borderId="17" xfId="2" applyNumberFormat="1" applyFont="1" applyBorder="1" applyAlignment="1">
      <alignment vertical="center"/>
    </xf>
    <xf numFmtId="0" fontId="60" fillId="0" borderId="0" xfId="0" applyFont="1"/>
    <xf numFmtId="0" fontId="65" fillId="0" borderId="0" xfId="0" applyFont="1"/>
    <xf numFmtId="0" fontId="0" fillId="0" borderId="0" xfId="0" applyBorder="1"/>
    <xf numFmtId="0" fontId="0" fillId="0" borderId="29" xfId="0" applyBorder="1"/>
    <xf numFmtId="0" fontId="37" fillId="0" borderId="0" xfId="0" applyFont="1" applyBorder="1"/>
    <xf numFmtId="0" fontId="0" fillId="0" borderId="0" xfId="0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35" fillId="2" borderId="17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0" fillId="0" borderId="37" xfId="0" applyBorder="1"/>
    <xf numFmtId="3" fontId="0" fillId="0" borderId="17" xfId="0" applyNumberFormat="1" applyBorder="1"/>
    <xf numFmtId="3" fontId="52" fillId="0" borderId="17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0" fontId="73" fillId="0" borderId="17" xfId="0" applyFont="1" applyBorder="1"/>
    <xf numFmtId="3" fontId="73" fillId="0" borderId="17" xfId="0" applyNumberFormat="1" applyFont="1" applyBorder="1"/>
    <xf numFmtId="0" fontId="74" fillId="0" borderId="17" xfId="0" applyFont="1" applyBorder="1"/>
    <xf numFmtId="3" fontId="74" fillId="0" borderId="17" xfId="0" applyNumberFormat="1" applyFont="1" applyBorder="1"/>
    <xf numFmtId="3" fontId="75" fillId="0" borderId="17" xfId="0" applyNumberFormat="1" applyFont="1" applyBorder="1"/>
    <xf numFmtId="0" fontId="54" fillId="0" borderId="17" xfId="0" applyFont="1" applyBorder="1"/>
    <xf numFmtId="3" fontId="54" fillId="0" borderId="17" xfId="0" applyNumberFormat="1" applyFont="1" applyBorder="1"/>
    <xf numFmtId="0" fontId="76" fillId="0" borderId="17" xfId="0" applyFont="1" applyBorder="1" applyAlignment="1">
      <alignment horizontal="left"/>
    </xf>
    <xf numFmtId="0" fontId="76" fillId="0" borderId="17" xfId="0" applyFont="1" applyBorder="1"/>
    <xf numFmtId="3" fontId="76" fillId="0" borderId="17" xfId="0" applyNumberFormat="1" applyFont="1" applyBorder="1"/>
    <xf numFmtId="0" fontId="0" fillId="0" borderId="17" xfId="0" applyBorder="1"/>
    <xf numFmtId="3" fontId="77" fillId="0" borderId="17" xfId="0" applyNumberFormat="1" applyFont="1" applyBorder="1"/>
    <xf numFmtId="0" fontId="76" fillId="0" borderId="17" xfId="0" applyFont="1" applyFill="1" applyBorder="1"/>
    <xf numFmtId="0" fontId="76" fillId="0" borderId="17" xfId="0" applyFont="1" applyFill="1" applyBorder="1" applyAlignment="1">
      <alignment horizontal="left"/>
    </xf>
    <xf numFmtId="0" fontId="78" fillId="0" borderId="17" xfId="0" applyFont="1" applyBorder="1"/>
    <xf numFmtId="0" fontId="76" fillId="0" borderId="17" xfId="0" applyFont="1" applyBorder="1" applyAlignment="1">
      <alignment horizontal="left" wrapText="1"/>
    </xf>
    <xf numFmtId="0" fontId="88" fillId="0" borderId="0" xfId="0" applyFont="1"/>
    <xf numFmtId="3" fontId="55" fillId="0" borderId="17" xfId="0" applyNumberFormat="1" applyFont="1" applyBorder="1"/>
    <xf numFmtId="0" fontId="79" fillId="0" borderId="0" xfId="0" applyFont="1"/>
    <xf numFmtId="3" fontId="80" fillId="0" borderId="17" xfId="0" applyNumberFormat="1" applyFont="1" applyBorder="1"/>
    <xf numFmtId="3" fontId="81" fillId="0" borderId="17" xfId="0" applyNumberFormat="1" applyFont="1" applyBorder="1"/>
    <xf numFmtId="3" fontId="82" fillId="0" borderId="17" xfId="0" applyNumberFormat="1" applyFont="1" applyBorder="1"/>
    <xf numFmtId="0" fontId="89" fillId="0" borderId="17" xfId="0" applyFont="1" applyBorder="1"/>
    <xf numFmtId="3" fontId="89" fillId="0" borderId="17" xfId="0" applyNumberFormat="1" applyFont="1" applyBorder="1"/>
    <xf numFmtId="0" fontId="90" fillId="0" borderId="0" xfId="0" applyFont="1"/>
    <xf numFmtId="0" fontId="91" fillId="0" borderId="17" xfId="0" applyFont="1" applyBorder="1"/>
    <xf numFmtId="3" fontId="50" fillId="0" borderId="17" xfId="0" applyNumberFormat="1" applyFont="1" applyFill="1" applyBorder="1" applyAlignment="1">
      <alignment vertical="center"/>
    </xf>
    <xf numFmtId="3" fontId="50" fillId="0" borderId="17" xfId="0" applyNumberFormat="1" applyFont="1" applyFill="1" applyBorder="1" applyAlignment="1">
      <alignment horizontal="right" vertical="center" wrapText="1"/>
    </xf>
    <xf numFmtId="49" fontId="19" fillId="0" borderId="20" xfId="5" applyNumberFormat="1" applyFont="1" applyFill="1" applyBorder="1" applyAlignment="1">
      <alignment horizontal="center" vertical="center"/>
    </xf>
    <xf numFmtId="3" fontId="4" fillId="0" borderId="39" xfId="5" applyNumberFormat="1" applyFont="1" applyFill="1" applyBorder="1" applyAlignment="1">
      <alignment vertical="center" wrapText="1"/>
    </xf>
    <xf numFmtId="3" fontId="4" fillId="0" borderId="41" xfId="5" applyNumberFormat="1" applyFont="1" applyFill="1" applyBorder="1" applyAlignment="1">
      <alignment vertical="center" wrapText="1"/>
    </xf>
    <xf numFmtId="3" fontId="4" fillId="0" borderId="1" xfId="5" applyNumberFormat="1" applyFont="1" applyFill="1" applyBorder="1" applyAlignment="1">
      <alignment vertical="center" wrapText="1"/>
    </xf>
    <xf numFmtId="3" fontId="4" fillId="0" borderId="20" xfId="5" applyNumberFormat="1" applyFont="1" applyFill="1" applyBorder="1" applyAlignment="1">
      <alignment vertical="center" wrapText="1"/>
    </xf>
    <xf numFmtId="3" fontId="4" fillId="0" borderId="17" xfId="5" applyNumberFormat="1" applyFont="1" applyFill="1" applyBorder="1" applyAlignment="1">
      <alignment vertical="center" wrapText="1"/>
    </xf>
    <xf numFmtId="3" fontId="4" fillId="0" borderId="4" xfId="5" applyNumberFormat="1" applyFont="1" applyFill="1" applyBorder="1" applyAlignment="1">
      <alignment vertical="center" wrapText="1"/>
    </xf>
    <xf numFmtId="3" fontId="4" fillId="0" borderId="20" xfId="5" applyNumberFormat="1" applyFont="1" applyFill="1" applyBorder="1" applyAlignment="1">
      <alignment vertical="center"/>
    </xf>
    <xf numFmtId="3" fontId="4" fillId="0" borderId="17" xfId="5" applyNumberFormat="1" applyFont="1" applyFill="1" applyBorder="1" applyAlignment="1">
      <alignment vertical="center"/>
    </xf>
    <xf numFmtId="3" fontId="71" fillId="0" borderId="20" xfId="5" applyNumberFormat="1" applyFont="1" applyFill="1" applyBorder="1" applyAlignment="1">
      <alignment vertical="center"/>
    </xf>
    <xf numFmtId="3" fontId="71" fillId="0" borderId="17" xfId="5" applyNumberFormat="1" applyFont="1" applyFill="1" applyBorder="1" applyAlignment="1">
      <alignment vertical="center"/>
    </xf>
    <xf numFmtId="3" fontId="57" fillId="0" borderId="17" xfId="5" applyNumberFormat="1" applyFont="1" applyFill="1" applyBorder="1" applyAlignment="1">
      <alignment vertical="center"/>
    </xf>
    <xf numFmtId="3" fontId="59" fillId="0" borderId="17" xfId="5" applyNumberFormat="1" applyFont="1" applyFill="1" applyBorder="1" applyAlignment="1">
      <alignment vertical="center" wrapText="1"/>
    </xf>
    <xf numFmtId="3" fontId="4" fillId="0" borderId="12" xfId="5" applyNumberFormat="1" applyFont="1" applyFill="1" applyBorder="1" applyAlignment="1">
      <alignment vertical="center" wrapText="1"/>
    </xf>
    <xf numFmtId="3" fontId="4" fillId="0" borderId="12" xfId="5" applyNumberFormat="1" applyFont="1" applyFill="1" applyBorder="1" applyAlignment="1">
      <alignment vertical="center"/>
    </xf>
    <xf numFmtId="3" fontId="71" fillId="0" borderId="12" xfId="5" applyNumberFormat="1" applyFont="1" applyFill="1" applyBorder="1" applyAlignment="1">
      <alignment vertical="center"/>
    </xf>
    <xf numFmtId="3" fontId="57" fillId="0" borderId="12" xfId="5" applyNumberFormat="1" applyFont="1" applyFill="1" applyBorder="1" applyAlignment="1">
      <alignment vertical="center"/>
    </xf>
    <xf numFmtId="3" fontId="59" fillId="0" borderId="12" xfId="5" applyNumberFormat="1" applyFont="1" applyFill="1" applyBorder="1" applyAlignment="1">
      <alignment vertical="center" wrapText="1"/>
    </xf>
    <xf numFmtId="3" fontId="4" fillId="0" borderId="27" xfId="5" applyNumberFormat="1" applyFont="1" applyFill="1" applyBorder="1" applyAlignment="1">
      <alignment vertical="center" wrapText="1"/>
    </xf>
    <xf numFmtId="3" fontId="4" fillId="0" borderId="56" xfId="5" applyNumberFormat="1" applyFont="1" applyFill="1" applyBorder="1" applyAlignment="1">
      <alignment vertical="center" wrapText="1"/>
    </xf>
    <xf numFmtId="3" fontId="54" fillId="0" borderId="20" xfId="5" applyNumberFormat="1" applyFont="1" applyFill="1" applyBorder="1" applyAlignment="1">
      <alignment vertical="center" wrapText="1"/>
    </xf>
    <xf numFmtId="3" fontId="54" fillId="0" borderId="17" xfId="5" applyNumberFormat="1" applyFont="1" applyFill="1" applyBorder="1" applyAlignment="1">
      <alignment vertical="center" wrapText="1"/>
    </xf>
    <xf numFmtId="3" fontId="62" fillId="0" borderId="23" xfId="5" applyNumberFormat="1" applyFont="1" applyFill="1" applyBorder="1" applyAlignment="1">
      <alignment vertical="center"/>
    </xf>
    <xf numFmtId="3" fontId="4" fillId="0" borderId="3" xfId="5" applyNumberFormat="1" applyFont="1" applyFill="1" applyBorder="1" applyAlignment="1">
      <alignment vertical="center" wrapText="1"/>
    </xf>
    <xf numFmtId="0" fontId="5" fillId="0" borderId="27" xfId="5" applyFont="1" applyFill="1" applyBorder="1" applyAlignment="1">
      <alignment horizontal="center" vertical="center" wrapText="1"/>
    </xf>
    <xf numFmtId="49" fontId="6" fillId="0" borderId="49" xfId="5" applyNumberFormat="1" applyFont="1" applyFill="1" applyBorder="1" applyAlignment="1">
      <alignment horizontal="center" vertical="center"/>
    </xf>
    <xf numFmtId="3" fontId="4" fillId="0" borderId="49" xfId="5" applyNumberFormat="1" applyFont="1" applyFill="1" applyBorder="1" applyAlignment="1">
      <alignment vertical="center" wrapText="1"/>
    </xf>
    <xf numFmtId="3" fontId="4" fillId="0" borderId="28" xfId="5" applyNumberFormat="1" applyFont="1" applyFill="1" applyBorder="1" applyAlignment="1">
      <alignment vertical="center" wrapText="1"/>
    </xf>
    <xf numFmtId="3" fontId="4" fillId="0" borderId="57" xfId="5" applyNumberFormat="1" applyFont="1" applyFill="1" applyBorder="1" applyAlignment="1">
      <alignment vertical="center" wrapText="1"/>
    </xf>
    <xf numFmtId="3" fontId="62" fillId="0" borderId="47" xfId="5" applyNumberFormat="1" applyFont="1" applyFill="1" applyBorder="1" applyAlignment="1">
      <alignment vertical="center"/>
    </xf>
    <xf numFmtId="3" fontId="4" fillId="0" borderId="39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64" fillId="0" borderId="23" xfId="5" applyNumberFormat="1" applyFont="1" applyFill="1" applyBorder="1" applyAlignment="1">
      <alignment vertical="center"/>
    </xf>
    <xf numFmtId="3" fontId="61" fillId="0" borderId="44" xfId="5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5" fillId="0" borderId="58" xfId="4" applyFont="1" applyBorder="1" applyAlignment="1">
      <alignment horizontal="center"/>
    </xf>
    <xf numFmtId="0" fontId="35" fillId="0" borderId="16" xfId="4" applyFont="1" applyBorder="1"/>
    <xf numFmtId="0" fontId="2" fillId="0" borderId="59" xfId="5" applyFont="1" applyFill="1" applyBorder="1" applyAlignment="1">
      <alignment horizontal="center" vertical="center" wrapText="1"/>
    </xf>
    <xf numFmtId="0" fontId="35" fillId="0" borderId="60" xfId="4" applyFont="1" applyBorder="1" applyAlignment="1">
      <alignment horizontal="center"/>
    </xf>
    <xf numFmtId="0" fontId="35" fillId="0" borderId="13" xfId="4" applyFont="1" applyBorder="1"/>
    <xf numFmtId="0" fontId="2" fillId="0" borderId="16" xfId="5" applyFont="1" applyFill="1" applyBorder="1" applyAlignment="1">
      <alignment horizontal="center" vertical="center" wrapText="1"/>
    </xf>
    <xf numFmtId="0" fontId="35" fillId="0" borderId="61" xfId="4" applyFont="1" applyBorder="1" applyAlignment="1">
      <alignment horizontal="center"/>
    </xf>
    <xf numFmtId="0" fontId="35" fillId="0" borderId="45" xfId="4" applyFont="1" applyBorder="1"/>
    <xf numFmtId="0" fontId="2" fillId="0" borderId="62" xfId="5" applyFont="1" applyFill="1" applyBorder="1" applyAlignment="1">
      <alignment horizontal="center" vertical="center" wrapText="1"/>
    </xf>
    <xf numFmtId="0" fontId="37" fillId="0" borderId="63" xfId="4" applyFont="1" applyBorder="1"/>
    <xf numFmtId="0" fontId="37" fillId="0" borderId="0" xfId="4" applyFont="1" applyBorder="1"/>
    <xf numFmtId="0" fontId="37" fillId="0" borderId="64" xfId="4" applyFont="1" applyBorder="1"/>
    <xf numFmtId="0" fontId="37" fillId="0" borderId="65" xfId="4" applyFont="1" applyBorder="1"/>
    <xf numFmtId="0" fontId="37" fillId="0" borderId="66" xfId="4" applyFont="1" applyBorder="1"/>
    <xf numFmtId="3" fontId="37" fillId="0" borderId="30" xfId="4" applyNumberFormat="1" applyFont="1" applyBorder="1"/>
    <xf numFmtId="0" fontId="37" fillId="0" borderId="34" xfId="4" applyFont="1" applyBorder="1" applyAlignment="1">
      <alignment horizontal="left"/>
    </xf>
    <xf numFmtId="0" fontId="37" fillId="0" borderId="0" xfId="4" applyFont="1" applyBorder="1" applyAlignment="1">
      <alignment horizontal="left"/>
    </xf>
    <xf numFmtId="3" fontId="37" fillId="0" borderId="0" xfId="4" applyNumberFormat="1" applyFont="1" applyBorder="1"/>
    <xf numFmtId="3" fontId="36" fillId="0" borderId="67" xfId="4" applyNumberFormat="1" applyFont="1" applyBorder="1" applyAlignment="1">
      <alignment horizontal="right" vertical="center"/>
    </xf>
    <xf numFmtId="3" fontId="36" fillId="0" borderId="50" xfId="4" applyNumberFormat="1" applyFont="1" applyBorder="1" applyAlignment="1">
      <alignment horizontal="right" vertical="center"/>
    </xf>
    <xf numFmtId="3" fontId="36" fillId="0" borderId="0" xfId="4" applyNumberFormat="1" applyFont="1" applyBorder="1" applyAlignment="1">
      <alignment horizontal="right" vertical="center"/>
    </xf>
    <xf numFmtId="0" fontId="15" fillId="0" borderId="67" xfId="5" applyFont="1" applyFill="1" applyBorder="1" applyAlignment="1">
      <alignment horizontal="center" vertical="center" wrapText="1"/>
    </xf>
    <xf numFmtId="0" fontId="15" fillId="0" borderId="50" xfId="5" applyFont="1" applyFill="1" applyBorder="1" applyAlignment="1">
      <alignment horizontal="center" vertical="center" wrapText="1"/>
    </xf>
    <xf numFmtId="0" fontId="15" fillId="0" borderId="68" xfId="5" applyFont="1" applyFill="1" applyBorder="1" applyAlignment="1">
      <alignment horizontal="center" vertical="center" wrapText="1"/>
    </xf>
    <xf numFmtId="3" fontId="36" fillId="0" borderId="63" xfId="4" applyNumberFormat="1" applyFont="1" applyBorder="1" applyAlignment="1">
      <alignment horizontal="right" vertical="center"/>
    </xf>
    <xf numFmtId="3" fontId="37" fillId="0" borderId="69" xfId="4" applyNumberFormat="1" applyFont="1" applyBorder="1"/>
    <xf numFmtId="0" fontId="37" fillId="0" borderId="50" xfId="4" applyFont="1" applyBorder="1"/>
    <xf numFmtId="0" fontId="67" fillId="0" borderId="66" xfId="4" applyFont="1" applyBorder="1" applyAlignment="1">
      <alignment horizontal="right" vertical="center"/>
    </xf>
    <xf numFmtId="0" fontId="68" fillId="0" borderId="63" xfId="4" applyFont="1" applyBorder="1" applyAlignment="1">
      <alignment horizontal="right"/>
    </xf>
    <xf numFmtId="0" fontId="68" fillId="0" borderId="0" xfId="4" applyFont="1" applyBorder="1" applyAlignment="1">
      <alignment horizontal="right"/>
    </xf>
    <xf numFmtId="0" fontId="68" fillId="0" borderId="65" xfId="4" applyFont="1" applyBorder="1" applyAlignment="1">
      <alignment horizontal="right"/>
    </xf>
    <xf numFmtId="3" fontId="35" fillId="0" borderId="65" xfId="4" applyNumberFormat="1" applyFont="1" applyBorder="1" applyAlignment="1">
      <alignment horizontal="right"/>
    </xf>
    <xf numFmtId="3" fontId="35" fillId="0" borderId="0" xfId="4" applyNumberFormat="1" applyFont="1" applyBorder="1"/>
    <xf numFmtId="3" fontId="35" fillId="0" borderId="66" xfId="4" applyNumberFormat="1" applyFont="1" applyBorder="1"/>
    <xf numFmtId="3" fontId="67" fillId="0" borderId="63" xfId="4" applyNumberFormat="1" applyFont="1" applyBorder="1" applyAlignment="1">
      <alignment horizontal="right" vertical="center"/>
    </xf>
    <xf numFmtId="3" fontId="67" fillId="0" borderId="50" xfId="4" applyNumberFormat="1" applyFont="1" applyBorder="1" applyAlignment="1">
      <alignment horizontal="right" vertical="center"/>
    </xf>
    <xf numFmtId="3" fontId="37" fillId="0" borderId="63" xfId="4" applyNumberFormat="1" applyFont="1" applyBorder="1"/>
    <xf numFmtId="3" fontId="37" fillId="0" borderId="50" xfId="4" applyNumberFormat="1" applyFont="1" applyBorder="1"/>
    <xf numFmtId="3" fontId="67" fillId="0" borderId="66" xfId="4" applyNumberFormat="1" applyFont="1" applyBorder="1" applyAlignment="1">
      <alignment horizontal="right" vertical="center"/>
    </xf>
    <xf numFmtId="0" fontId="37" fillId="0" borderId="63" xfId="4" applyFont="1" applyBorder="1" applyAlignment="1">
      <alignment horizontal="right"/>
    </xf>
    <xf numFmtId="0" fontId="37" fillId="0" borderId="0" xfId="4" applyFont="1" applyBorder="1" applyAlignment="1">
      <alignment horizontal="right"/>
    </xf>
    <xf numFmtId="0" fontId="37" fillId="0" borderId="65" xfId="4" applyFont="1" applyBorder="1" applyAlignment="1">
      <alignment horizontal="right"/>
    </xf>
    <xf numFmtId="0" fontId="37" fillId="0" borderId="63" xfId="4" applyFont="1" applyBorder="1" applyAlignment="1">
      <alignment horizontal="left"/>
    </xf>
    <xf numFmtId="0" fontId="67" fillId="0" borderId="66" xfId="4" applyFont="1" applyBorder="1"/>
    <xf numFmtId="3" fontId="67" fillId="0" borderId="63" xfId="4" applyNumberFormat="1" applyFont="1" applyBorder="1"/>
    <xf numFmtId="3" fontId="67" fillId="0" borderId="50" xfId="4" applyNumberFormat="1" applyFont="1" applyBorder="1"/>
    <xf numFmtId="3" fontId="67" fillId="0" borderId="69" xfId="4" applyNumberFormat="1" applyFont="1" applyBorder="1"/>
    <xf numFmtId="3" fontId="67" fillId="0" borderId="66" xfId="4" applyNumberFormat="1" applyFont="1" applyBorder="1"/>
    <xf numFmtId="0" fontId="30" fillId="0" borderId="63" xfId="4" applyBorder="1" applyAlignment="1">
      <alignment horizontal="right"/>
    </xf>
    <xf numFmtId="0" fontId="30" fillId="0" borderId="0" xfId="4" applyBorder="1" applyAlignment="1">
      <alignment horizontal="right"/>
    </xf>
    <xf numFmtId="0" fontId="30" fillId="0" borderId="65" xfId="4" applyBorder="1" applyAlignment="1">
      <alignment horizontal="right"/>
    </xf>
    <xf numFmtId="0" fontId="30" fillId="0" borderId="0" xfId="4" applyBorder="1"/>
    <xf numFmtId="0" fontId="30" fillId="0" borderId="66" xfId="4" applyBorder="1"/>
    <xf numFmtId="3" fontId="37" fillId="0" borderId="0" xfId="4" applyNumberFormat="1" applyFont="1" applyFill="1" applyBorder="1"/>
    <xf numFmtId="3" fontId="37" fillId="0" borderId="37" xfId="4" applyNumberFormat="1" applyFont="1" applyFill="1" applyBorder="1"/>
    <xf numFmtId="0" fontId="30" fillId="0" borderId="0" xfId="4" applyFont="1" applyBorder="1"/>
    <xf numFmtId="3" fontId="37" fillId="0" borderId="70" xfId="4" applyNumberFormat="1" applyFont="1" applyBorder="1"/>
    <xf numFmtId="3" fontId="37" fillId="0" borderId="70" xfId="4" applyNumberFormat="1" applyFont="1" applyFill="1" applyBorder="1"/>
    <xf numFmtId="0" fontId="30" fillId="0" borderId="63" xfId="4" applyBorder="1"/>
    <xf numFmtId="0" fontId="37" fillId="0" borderId="0" xfId="4" applyFont="1" applyBorder="1" applyAlignment="1">
      <alignment horizontal="center"/>
    </xf>
    <xf numFmtId="0" fontId="68" fillId="0" borderId="71" xfId="4" applyFont="1" applyBorder="1" applyAlignment="1">
      <alignment horizontal="right"/>
    </xf>
    <xf numFmtId="3" fontId="35" fillId="0" borderId="72" xfId="4" applyNumberFormat="1" applyFont="1" applyBorder="1" applyAlignment="1">
      <alignment horizontal="right"/>
    </xf>
    <xf numFmtId="3" fontId="35" fillId="0" borderId="32" xfId="4" applyNumberFormat="1" applyFont="1" applyBorder="1"/>
    <xf numFmtId="3" fontId="35" fillId="0" borderId="73" xfId="4" applyNumberFormat="1" applyFont="1" applyBorder="1"/>
    <xf numFmtId="3" fontId="36" fillId="0" borderId="35" xfId="4" applyNumberFormat="1" applyFont="1" applyBorder="1"/>
    <xf numFmtId="3" fontId="30" fillId="0" borderId="32" xfId="4" applyNumberFormat="1" applyFont="1" applyBorder="1"/>
    <xf numFmtId="0" fontId="37" fillId="0" borderId="71" xfId="4" applyFont="1" applyBorder="1" applyAlignment="1">
      <alignment horizontal="left"/>
    </xf>
    <xf numFmtId="3" fontId="68" fillId="0" borderId="32" xfId="4" applyNumberFormat="1" applyFont="1" applyFill="1" applyBorder="1"/>
    <xf numFmtId="3" fontId="36" fillId="0" borderId="71" xfId="4" applyNumberFormat="1" applyFont="1" applyBorder="1"/>
    <xf numFmtId="3" fontId="67" fillId="0" borderId="74" xfId="4" applyNumberFormat="1" applyFont="1" applyBorder="1"/>
    <xf numFmtId="3" fontId="67" fillId="0" borderId="72" xfId="4" applyNumberFormat="1" applyFont="1" applyBorder="1"/>
    <xf numFmtId="3" fontId="67" fillId="0" borderId="75" xfId="4" applyNumberFormat="1" applyFont="1" applyBorder="1"/>
    <xf numFmtId="3" fontId="67" fillId="0" borderId="73" xfId="4" applyNumberFormat="1" applyFont="1" applyBorder="1" applyAlignment="1">
      <alignment horizontal="right" vertical="center"/>
    </xf>
    <xf numFmtId="0" fontId="30" fillId="0" borderId="34" xfId="4" applyBorder="1"/>
    <xf numFmtId="0" fontId="30" fillId="0" borderId="65" xfId="4" applyBorder="1"/>
    <xf numFmtId="0" fontId="30" fillId="0" borderId="50" xfId="4" applyBorder="1"/>
    <xf numFmtId="3" fontId="37" fillId="0" borderId="37" xfId="4" applyNumberFormat="1" applyFont="1" applyBorder="1"/>
    <xf numFmtId="0" fontId="30" fillId="0" borderId="76" xfId="4" applyBorder="1"/>
    <xf numFmtId="0" fontId="30" fillId="0" borderId="77" xfId="4" applyBorder="1"/>
    <xf numFmtId="0" fontId="30" fillId="0" borderId="78" xfId="4" applyBorder="1"/>
    <xf numFmtId="3" fontId="67" fillId="0" borderId="79" xfId="4" applyNumberFormat="1" applyFont="1" applyBorder="1" applyAlignment="1">
      <alignment horizontal="right"/>
    </xf>
    <xf numFmtId="3" fontId="67" fillId="0" borderId="50" xfId="4" applyNumberFormat="1" applyFont="1" applyBorder="1" applyAlignment="1">
      <alignment horizontal="right"/>
    </xf>
    <xf numFmtId="3" fontId="35" fillId="0" borderId="50" xfId="4" applyNumberFormat="1" applyFont="1" applyBorder="1" applyAlignment="1">
      <alignment horizontal="right"/>
    </xf>
    <xf numFmtId="3" fontId="67" fillId="0" borderId="63" xfId="4" applyNumberFormat="1" applyFont="1" applyBorder="1" applyAlignment="1">
      <alignment horizontal="right"/>
    </xf>
    <xf numFmtId="0" fontId="68" fillId="0" borderId="80" xfId="4" applyFont="1" applyBorder="1" applyAlignment="1">
      <alignment horizontal="right"/>
    </xf>
    <xf numFmtId="0" fontId="68" fillId="0" borderId="16" xfId="4" applyFont="1" applyBorder="1" applyAlignment="1">
      <alignment horizontal="right"/>
    </xf>
    <xf numFmtId="0" fontId="68" fillId="0" borderId="23" xfId="4" applyFont="1" applyBorder="1" applyAlignment="1">
      <alignment horizontal="right"/>
    </xf>
    <xf numFmtId="3" fontId="35" fillId="0" borderId="58" xfId="4" applyNumberFormat="1" applyFont="1" applyBorder="1" applyAlignment="1">
      <alignment horizontal="right"/>
    </xf>
    <xf numFmtId="3" fontId="35" fillId="0" borderId="16" xfId="4" applyNumberFormat="1" applyFont="1" applyBorder="1"/>
    <xf numFmtId="3" fontId="35" fillId="0" borderId="59" xfId="4" applyNumberFormat="1" applyFont="1" applyBorder="1"/>
    <xf numFmtId="3" fontId="67" fillId="0" borderId="59" xfId="4" applyNumberFormat="1" applyFont="1" applyBorder="1" applyAlignment="1">
      <alignment horizontal="right" vertical="center"/>
    </xf>
    <xf numFmtId="3" fontId="35" fillId="7" borderId="81" xfId="4" applyNumberFormat="1" applyFont="1" applyFill="1" applyBorder="1" applyAlignment="1">
      <alignment horizontal="right"/>
    </xf>
    <xf numFmtId="3" fontId="35" fillId="7" borderId="31" xfId="4" applyNumberFormat="1" applyFont="1" applyFill="1" applyBorder="1"/>
    <xf numFmtId="3" fontId="35" fillId="7" borderId="82" xfId="4" applyNumberFormat="1" applyFont="1" applyFill="1" applyBorder="1"/>
    <xf numFmtId="0" fontId="30" fillId="7" borderId="31" xfId="4" applyFill="1" applyBorder="1"/>
    <xf numFmtId="3" fontId="35" fillId="7" borderId="53" xfId="4" applyNumberFormat="1" applyFont="1" applyFill="1" applyBorder="1" applyAlignment="1">
      <alignment horizontal="right"/>
    </xf>
    <xf numFmtId="0" fontId="30" fillId="7" borderId="83" xfId="4" applyFill="1" applyBorder="1"/>
    <xf numFmtId="3" fontId="36" fillId="7" borderId="84" xfId="4" applyNumberFormat="1" applyFont="1" applyFill="1" applyBorder="1" applyAlignment="1">
      <alignment horizontal="right"/>
    </xf>
    <xf numFmtId="0" fontId="30" fillId="7" borderId="51" xfId="4" applyFill="1" applyBorder="1"/>
    <xf numFmtId="3" fontId="36" fillId="7" borderId="83" xfId="4" applyNumberFormat="1" applyFont="1" applyFill="1" applyBorder="1" applyAlignment="1">
      <alignment horizontal="right"/>
    </xf>
    <xf numFmtId="3" fontId="67" fillId="7" borderId="85" xfId="4" applyNumberFormat="1" applyFont="1" applyFill="1" applyBorder="1" applyAlignment="1">
      <alignment horizontal="right"/>
    </xf>
    <xf numFmtId="3" fontId="67" fillId="7" borderId="52" xfId="4" applyNumberFormat="1" applyFont="1" applyFill="1" applyBorder="1" applyAlignment="1">
      <alignment horizontal="right"/>
    </xf>
    <xf numFmtId="3" fontId="67" fillId="7" borderId="86" xfId="4" applyNumberFormat="1" applyFont="1" applyFill="1" applyBorder="1"/>
    <xf numFmtId="3" fontId="67" fillId="7" borderId="85" xfId="4" applyNumberFormat="1" applyFont="1" applyFill="1" applyBorder="1"/>
    <xf numFmtId="3" fontId="67" fillId="7" borderId="52" xfId="4" applyNumberFormat="1" applyFont="1" applyFill="1" applyBorder="1"/>
    <xf numFmtId="0" fontId="35" fillId="0" borderId="80" xfId="4" applyFont="1" applyBorder="1" applyAlignment="1">
      <alignment horizontal="center"/>
    </xf>
    <xf numFmtId="0" fontId="35" fillId="0" borderId="87" xfId="4" applyFont="1" applyBorder="1"/>
    <xf numFmtId="0" fontId="2" fillId="0" borderId="27" xfId="5" applyFont="1" applyFill="1" applyBorder="1" applyAlignment="1">
      <alignment horizontal="center" vertical="center" wrapText="1"/>
    </xf>
    <xf numFmtId="0" fontId="35" fillId="0" borderId="16" xfId="4" applyFont="1" applyBorder="1" applyAlignment="1">
      <alignment horizontal="center"/>
    </xf>
    <xf numFmtId="0" fontId="36" fillId="0" borderId="0" xfId="4" applyFont="1" applyBorder="1" applyAlignment="1">
      <alignment horizontal="right" vertical="center"/>
    </xf>
    <xf numFmtId="0" fontId="36" fillId="0" borderId="88" xfId="4" applyFont="1" applyBorder="1" applyAlignment="1">
      <alignment horizontal="right" vertical="center"/>
    </xf>
    <xf numFmtId="0" fontId="37" fillId="0" borderId="69" xfId="4" applyFont="1" applyBorder="1"/>
    <xf numFmtId="0" fontId="30" fillId="0" borderId="50" xfId="4" applyBorder="1" applyAlignment="1">
      <alignment horizontal="right"/>
    </xf>
    <xf numFmtId="3" fontId="67" fillId="0" borderId="0" xfId="4" applyNumberFormat="1" applyFont="1" applyBorder="1" applyAlignment="1">
      <alignment horizontal="right" vertical="center"/>
    </xf>
    <xf numFmtId="3" fontId="30" fillId="0" borderId="50" xfId="4" applyNumberFormat="1" applyFont="1" applyBorder="1" applyAlignment="1">
      <alignment horizontal="right"/>
    </xf>
    <xf numFmtId="3" fontId="30" fillId="0" borderId="0" xfId="4" applyNumberFormat="1" applyFont="1" applyBorder="1"/>
    <xf numFmtId="3" fontId="30" fillId="0" borderId="66" xfId="4" applyNumberFormat="1" applyFont="1" applyBorder="1"/>
    <xf numFmtId="3" fontId="30" fillId="0" borderId="59" xfId="4" applyNumberFormat="1" applyFont="1" applyBorder="1"/>
    <xf numFmtId="3" fontId="37" fillId="0" borderId="16" xfId="4" applyNumberFormat="1" applyFont="1" applyBorder="1"/>
    <xf numFmtId="3" fontId="37" fillId="0" borderId="58" xfId="4" applyNumberFormat="1" applyFont="1" applyBorder="1"/>
    <xf numFmtId="3" fontId="37" fillId="0" borderId="89" xfId="4" applyNumberFormat="1" applyFont="1" applyBorder="1"/>
    <xf numFmtId="3" fontId="37" fillId="0" borderId="60" xfId="4" applyNumberFormat="1" applyFont="1" applyBorder="1"/>
    <xf numFmtId="0" fontId="30" fillId="0" borderId="61" xfId="4" applyBorder="1"/>
    <xf numFmtId="3" fontId="35" fillId="0" borderId="45" xfId="4" applyNumberFormat="1" applyFont="1" applyBorder="1" applyAlignment="1">
      <alignment horizontal="right"/>
    </xf>
    <xf numFmtId="3" fontId="35" fillId="0" borderId="90" xfId="4" applyNumberFormat="1" applyFont="1" applyBorder="1"/>
    <xf numFmtId="3" fontId="35" fillId="0" borderId="62" xfId="4" applyNumberFormat="1" applyFont="1" applyBorder="1"/>
    <xf numFmtId="3" fontId="37" fillId="6" borderId="91" xfId="4" applyNumberFormat="1" applyFont="1" applyFill="1" applyBorder="1" applyAlignment="1"/>
    <xf numFmtId="3" fontId="36" fillId="0" borderId="43" xfId="4" applyNumberFormat="1" applyFont="1" applyBorder="1" applyAlignment="1">
      <alignment horizontal="right"/>
    </xf>
    <xf numFmtId="0" fontId="30" fillId="0" borderId="44" xfId="4" applyBorder="1"/>
    <xf numFmtId="0" fontId="30" fillId="0" borderId="90" xfId="4" applyBorder="1"/>
    <xf numFmtId="3" fontId="30" fillId="0" borderId="91" xfId="4" applyNumberFormat="1" applyBorder="1"/>
    <xf numFmtId="0" fontId="30" fillId="0" borderId="91" xfId="4" applyBorder="1"/>
    <xf numFmtId="3" fontId="36" fillId="0" borderId="92" xfId="4" applyNumberFormat="1" applyFont="1" applyBorder="1" applyAlignment="1">
      <alignment horizontal="right"/>
    </xf>
    <xf numFmtId="3" fontId="67" fillId="0" borderId="16" xfId="4" applyNumberFormat="1" applyFont="1" applyBorder="1" applyAlignment="1">
      <alignment horizontal="right"/>
    </xf>
    <xf numFmtId="3" fontId="67" fillId="0" borderId="58" xfId="4" applyNumberFormat="1" applyFont="1" applyBorder="1" applyAlignment="1">
      <alignment horizontal="right"/>
    </xf>
    <xf numFmtId="3" fontId="67" fillId="0" borderId="89" xfId="4" applyNumberFormat="1" applyFont="1" applyBorder="1"/>
    <xf numFmtId="3" fontId="67" fillId="0" borderId="61" xfId="4" applyNumberFormat="1" applyFont="1" applyBorder="1"/>
    <xf numFmtId="3" fontId="67" fillId="0" borderId="45" xfId="4" applyNumberFormat="1" applyFont="1" applyBorder="1"/>
    <xf numFmtId="3" fontId="67" fillId="0" borderId="62" xfId="4" applyNumberFormat="1" applyFont="1" applyBorder="1" applyAlignment="1">
      <alignment horizontal="right" vertical="center"/>
    </xf>
    <xf numFmtId="0" fontId="37" fillId="6" borderId="0" xfId="4" applyFont="1" applyFill="1" applyBorder="1" applyAlignment="1"/>
    <xf numFmtId="3" fontId="36" fillId="0" borderId="33" xfId="4" applyNumberFormat="1" applyFont="1" applyBorder="1" applyAlignment="1">
      <alignment horizontal="right"/>
    </xf>
    <xf numFmtId="3" fontId="30" fillId="0" borderId="0" xfId="4" applyNumberFormat="1" applyBorder="1"/>
    <xf numFmtId="3" fontId="36" fillId="0" borderId="93" xfId="4" applyNumberFormat="1" applyFont="1" applyBorder="1" applyAlignment="1">
      <alignment horizontal="right"/>
    </xf>
    <xf numFmtId="3" fontId="67" fillId="0" borderId="0" xfId="4" applyNumberFormat="1" applyFont="1" applyBorder="1" applyAlignment="1">
      <alignment horizontal="right"/>
    </xf>
    <xf numFmtId="0" fontId="37" fillId="7" borderId="94" xfId="4" applyFont="1" applyFill="1" applyBorder="1" applyAlignment="1">
      <alignment horizontal="left"/>
    </xf>
    <xf numFmtId="3" fontId="36" fillId="7" borderId="95" xfId="4" applyNumberFormat="1" applyFont="1" applyFill="1" applyBorder="1" applyAlignment="1">
      <alignment horizontal="right"/>
    </xf>
    <xf numFmtId="3" fontId="67" fillId="7" borderId="31" xfId="4" applyNumberFormat="1" applyFont="1" applyFill="1" applyBorder="1" applyAlignment="1">
      <alignment horizontal="right"/>
    </xf>
    <xf numFmtId="3" fontId="67" fillId="7" borderId="81" xfId="4" applyNumberFormat="1" applyFont="1" applyFill="1" applyBorder="1" applyAlignment="1">
      <alignment horizontal="right"/>
    </xf>
    <xf numFmtId="3" fontId="67" fillId="7" borderId="96" xfId="4" applyNumberFormat="1" applyFont="1" applyFill="1" applyBorder="1"/>
    <xf numFmtId="3" fontId="67" fillId="7" borderId="94" xfId="4" applyNumberFormat="1" applyFont="1" applyFill="1" applyBorder="1"/>
    <xf numFmtId="3" fontId="67" fillId="7" borderId="81" xfId="4" applyNumberFormat="1" applyFont="1" applyFill="1" applyBorder="1"/>
    <xf numFmtId="3" fontId="67" fillId="7" borderId="82" xfId="4" applyNumberFormat="1" applyFont="1" applyFill="1" applyBorder="1" applyAlignment="1">
      <alignment horizontal="right" vertical="center"/>
    </xf>
    <xf numFmtId="0" fontId="30" fillId="0" borderId="94" xfId="4" applyBorder="1"/>
    <xf numFmtId="0" fontId="30" fillId="0" borderId="31" xfId="4" applyBorder="1" applyAlignment="1">
      <alignment horizontal="right"/>
    </xf>
    <xf numFmtId="0" fontId="30" fillId="0" borderId="81" xfId="4" applyBorder="1" applyAlignment="1">
      <alignment horizontal="right"/>
    </xf>
    <xf numFmtId="0" fontId="30" fillId="0" borderId="31" xfId="4" applyBorder="1"/>
    <xf numFmtId="0" fontId="30" fillId="0" borderId="82" xfId="4" applyBorder="1"/>
    <xf numFmtId="0" fontId="30" fillId="0" borderId="31" xfId="4" applyBorder="1" applyAlignment="1"/>
    <xf numFmtId="0" fontId="36" fillId="0" borderId="84" xfId="4" applyFont="1" applyBorder="1" applyAlignment="1">
      <alignment horizontal="right"/>
    </xf>
    <xf numFmtId="0" fontId="30" fillId="0" borderId="83" xfId="4" applyBorder="1"/>
    <xf numFmtId="3" fontId="36" fillId="0" borderId="95" xfId="4" applyNumberFormat="1" applyFont="1" applyBorder="1" applyAlignment="1">
      <alignment horizontal="right"/>
    </xf>
    <xf numFmtId="0" fontId="36" fillId="0" borderId="31" xfId="4" applyFont="1" applyBorder="1" applyAlignment="1">
      <alignment horizontal="right"/>
    </xf>
    <xf numFmtId="0" fontId="36" fillId="0" borderId="81" xfId="4" applyFont="1" applyBorder="1" applyAlignment="1">
      <alignment horizontal="right"/>
    </xf>
    <xf numFmtId="0" fontId="30" fillId="0" borderId="96" xfId="4" applyBorder="1"/>
    <xf numFmtId="0" fontId="30" fillId="0" borderId="81" xfId="4" applyBorder="1"/>
    <xf numFmtId="0" fontId="67" fillId="0" borderId="73" xfId="4" applyFont="1" applyBorder="1" applyAlignment="1">
      <alignment horizontal="right" vertical="center"/>
    </xf>
    <xf numFmtId="0" fontId="30" fillId="0" borderId="0" xfId="4"/>
    <xf numFmtId="0" fontId="30" fillId="0" borderId="33" xfId="4" applyBorder="1"/>
    <xf numFmtId="0" fontId="30" fillId="0" borderId="93" xfId="4" applyBorder="1"/>
    <xf numFmtId="0" fontId="30" fillId="0" borderId="69" xfId="4" applyBorder="1"/>
    <xf numFmtId="3" fontId="30" fillId="0" borderId="0" xfId="4" applyNumberFormat="1"/>
    <xf numFmtId="3" fontId="67" fillId="0" borderId="0" xfId="4" applyNumberFormat="1" applyFont="1" applyBorder="1"/>
    <xf numFmtId="3" fontId="67" fillId="0" borderId="79" xfId="4" applyNumberFormat="1" applyFont="1" applyBorder="1"/>
    <xf numFmtId="0" fontId="30" fillId="0" borderId="37" xfId="4" applyBorder="1"/>
    <xf numFmtId="0" fontId="30" fillId="0" borderId="80" xfId="4" applyBorder="1"/>
    <xf numFmtId="0" fontId="30" fillId="0" borderId="16" xfId="4" applyBorder="1"/>
    <xf numFmtId="0" fontId="30" fillId="0" borderId="7" xfId="4" applyBorder="1"/>
    <xf numFmtId="3" fontId="36" fillId="0" borderId="93" xfId="4" applyNumberFormat="1" applyFont="1" applyBorder="1" applyAlignment="1">
      <alignment vertical="center"/>
    </xf>
    <xf numFmtId="3" fontId="36" fillId="0" borderId="59" xfId="4" applyNumberFormat="1" applyFont="1" applyBorder="1"/>
    <xf numFmtId="3" fontId="36" fillId="0" borderId="97" xfId="4" applyNumberFormat="1" applyFont="1" applyBorder="1" applyAlignment="1">
      <alignment vertical="center"/>
    </xf>
    <xf numFmtId="3" fontId="67" fillId="0" borderId="60" xfId="4" applyNumberFormat="1" applyFont="1" applyBorder="1" applyAlignment="1">
      <alignment horizontal="right" vertical="center"/>
    </xf>
    <xf numFmtId="3" fontId="67" fillId="0" borderId="58" xfId="4" applyNumberFormat="1" applyFont="1" applyBorder="1" applyAlignment="1">
      <alignment horizontal="right" vertical="center"/>
    </xf>
    <xf numFmtId="3" fontId="67" fillId="0" borderId="60" xfId="4" applyNumberFormat="1" applyFont="1" applyBorder="1"/>
    <xf numFmtId="3" fontId="67" fillId="0" borderId="58" xfId="4" applyNumberFormat="1" applyFont="1" applyBorder="1"/>
    <xf numFmtId="3" fontId="35" fillId="7" borderId="98" xfId="4" applyNumberFormat="1" applyFont="1" applyFill="1" applyBorder="1"/>
    <xf numFmtId="0" fontId="37" fillId="7" borderId="0" xfId="4" applyFont="1" applyFill="1" applyBorder="1" applyAlignment="1">
      <alignment horizontal="left" wrapText="1"/>
    </xf>
    <xf numFmtId="3" fontId="36" fillId="7" borderId="33" xfId="4" applyNumberFormat="1" applyFont="1" applyFill="1" applyBorder="1"/>
    <xf numFmtId="3" fontId="36" fillId="7" borderId="83" xfId="4" applyNumberFormat="1" applyFont="1" applyFill="1" applyBorder="1"/>
    <xf numFmtId="3" fontId="67" fillId="7" borderId="99" xfId="4" applyNumberFormat="1" applyFont="1" applyFill="1" applyBorder="1"/>
    <xf numFmtId="3" fontId="67" fillId="7" borderId="72" xfId="4" applyNumberFormat="1" applyFont="1" applyFill="1" applyBorder="1"/>
    <xf numFmtId="3" fontId="67" fillId="7" borderId="73" xfId="4" applyNumberFormat="1" applyFont="1" applyFill="1" applyBorder="1"/>
    <xf numFmtId="3" fontId="67" fillId="7" borderId="100" xfId="4" applyNumberFormat="1" applyFont="1" applyFill="1" applyBorder="1"/>
    <xf numFmtId="3" fontId="69" fillId="0" borderId="72" xfId="4" applyNumberFormat="1" applyFont="1" applyBorder="1" applyAlignment="1">
      <alignment horizontal="center"/>
    </xf>
    <xf numFmtId="3" fontId="69" fillId="0" borderId="101" xfId="4" applyNumberFormat="1" applyFont="1" applyBorder="1" applyAlignment="1">
      <alignment horizontal="center"/>
    </xf>
    <xf numFmtId="3" fontId="69" fillId="0" borderId="102" xfId="4" applyNumberFormat="1" applyFont="1" applyBorder="1"/>
    <xf numFmtId="3" fontId="36" fillId="0" borderId="71" xfId="4" applyNumberFormat="1" applyFont="1" applyBorder="1" applyAlignment="1">
      <alignment horizontal="right" vertical="center"/>
    </xf>
    <xf numFmtId="0" fontId="30" fillId="0" borderId="71" xfId="4" applyBorder="1"/>
    <xf numFmtId="0" fontId="30" fillId="0" borderId="32" xfId="4" applyBorder="1"/>
    <xf numFmtId="3" fontId="70" fillId="0" borderId="72" xfId="4" applyNumberFormat="1" applyFont="1" applyBorder="1"/>
    <xf numFmtId="3" fontId="70" fillId="0" borderId="32" xfId="4" applyNumberFormat="1" applyFont="1" applyBorder="1"/>
    <xf numFmtId="3" fontId="70" fillId="0" borderId="73" xfId="4" applyNumberFormat="1" applyFont="1" applyBorder="1"/>
    <xf numFmtId="0" fontId="37" fillId="0" borderId="29" xfId="4" applyFont="1" applyBorder="1" applyAlignment="1">
      <alignment horizontal="left"/>
    </xf>
    <xf numFmtId="0" fontId="37" fillId="0" borderId="29" xfId="4" applyFont="1" applyBorder="1"/>
    <xf numFmtId="0" fontId="30" fillId="0" borderId="29" xfId="4" applyBorder="1"/>
    <xf numFmtId="0" fontId="35" fillId="0" borderId="0" xfId="4" applyFont="1" applyAlignment="1">
      <alignment horizontal="center"/>
    </xf>
    <xf numFmtId="0" fontId="35" fillId="0" borderId="0" xfId="4" applyFont="1" applyAlignment="1">
      <alignment horizontal="right"/>
    </xf>
    <xf numFmtId="0" fontId="84" fillId="0" borderId="0" xfId="4" applyFont="1"/>
    <xf numFmtId="0" fontId="35" fillId="0" borderId="0" xfId="4" applyFont="1" applyAlignment="1">
      <alignment horizontal="left"/>
    </xf>
    <xf numFmtId="0" fontId="30" fillId="0" borderId="0" xfId="4" applyFont="1"/>
    <xf numFmtId="0" fontId="37" fillId="0" borderId="0" xfId="4" applyFont="1" applyFill="1" applyBorder="1"/>
    <xf numFmtId="0" fontId="85" fillId="0" borderId="24" xfId="4" applyFont="1" applyBorder="1"/>
    <xf numFmtId="3" fontId="30" fillId="0" borderId="24" xfId="4" applyNumberFormat="1" applyBorder="1"/>
    <xf numFmtId="0" fontId="30" fillId="0" borderId="24" xfId="4" applyBorder="1"/>
    <xf numFmtId="0" fontId="30" fillId="0" borderId="24" xfId="4" applyFont="1" applyBorder="1"/>
    <xf numFmtId="0" fontId="30" fillId="0" borderId="0" xfId="4" applyFont="1" applyAlignment="1">
      <alignment horizontal="right"/>
    </xf>
    <xf numFmtId="0" fontId="30" fillId="0" borderId="0" xfId="4" applyAlignment="1"/>
    <xf numFmtId="0" fontId="0" fillId="0" borderId="0" xfId="0" applyAlignment="1">
      <alignment horizontal="left"/>
    </xf>
    <xf numFmtId="0" fontId="35" fillId="0" borderId="0" xfId="4" applyFont="1"/>
    <xf numFmtId="3" fontId="35" fillId="0" borderId="0" xfId="4" applyNumberFormat="1" applyFont="1"/>
    <xf numFmtId="0" fontId="68" fillId="0" borderId="34" xfId="4" applyFont="1" applyBorder="1" applyAlignment="1">
      <alignment horizontal="right"/>
    </xf>
    <xf numFmtId="3" fontId="35" fillId="7" borderId="52" xfId="4" applyNumberFormat="1" applyFont="1" applyFill="1" applyBorder="1"/>
    <xf numFmtId="3" fontId="35" fillId="7" borderId="103" xfId="4" applyNumberFormat="1" applyFont="1" applyFill="1" applyBorder="1"/>
    <xf numFmtId="3" fontId="92" fillId="0" borderId="0" xfId="4" applyNumberFormat="1" applyFont="1" applyBorder="1"/>
    <xf numFmtId="0" fontId="92" fillId="0" borderId="0" xfId="4" applyFont="1" applyBorder="1" applyAlignment="1">
      <alignment horizontal="left"/>
    </xf>
    <xf numFmtId="0" fontId="92" fillId="0" borderId="63" xfId="4" applyFont="1" applyBorder="1" applyAlignment="1">
      <alignment horizontal="left"/>
    </xf>
    <xf numFmtId="0" fontId="92" fillId="0" borderId="30" xfId="4" applyFont="1" applyBorder="1"/>
    <xf numFmtId="0" fontId="92" fillId="0" borderId="0" xfId="4" applyFont="1" applyBorder="1"/>
    <xf numFmtId="0" fontId="93" fillId="0" borderId="63" xfId="4" applyFont="1" applyBorder="1"/>
    <xf numFmtId="0" fontId="93" fillId="0" borderId="0" xfId="4" applyFont="1" applyBorder="1"/>
    <xf numFmtId="3" fontId="92" fillId="0" borderId="37" xfId="4" applyNumberFormat="1" applyFont="1" applyBorder="1"/>
    <xf numFmtId="0" fontId="92" fillId="0" borderId="67" xfId="4" applyFont="1" applyBorder="1" applyAlignment="1">
      <alignment horizontal="left"/>
    </xf>
    <xf numFmtId="0" fontId="92" fillId="0" borderId="30" xfId="4" applyFont="1" applyBorder="1" applyAlignment="1">
      <alignment horizontal="left"/>
    </xf>
    <xf numFmtId="3" fontId="92" fillId="0" borderId="70" xfId="4" applyNumberFormat="1" applyFont="1" applyFill="1" applyBorder="1"/>
    <xf numFmtId="0" fontId="93" fillId="0" borderId="60" xfId="4" applyFont="1" applyBorder="1"/>
    <xf numFmtId="0" fontId="93" fillId="0" borderId="16" xfId="4" applyFont="1" applyBorder="1"/>
    <xf numFmtId="0" fontId="93" fillId="0" borderId="7" xfId="4" applyFont="1" applyBorder="1"/>
    <xf numFmtId="3" fontId="92" fillId="0" borderId="37" xfId="4" applyNumberFormat="1" applyFont="1" applyFill="1" applyBorder="1"/>
    <xf numFmtId="3" fontId="92" fillId="0" borderId="32" xfId="4" applyNumberFormat="1" applyFont="1" applyBorder="1"/>
    <xf numFmtId="0" fontId="92" fillId="0" borderId="34" xfId="4" applyFont="1" applyBorder="1" applyAlignment="1">
      <alignment horizontal="left"/>
    </xf>
    <xf numFmtId="3" fontId="92" fillId="0" borderId="7" xfId="4" applyNumberFormat="1" applyFont="1" applyFill="1" applyBorder="1"/>
    <xf numFmtId="3" fontId="92" fillId="0" borderId="0" xfId="4" applyNumberFormat="1" applyFont="1" applyFill="1" applyBorder="1"/>
    <xf numFmtId="3" fontId="92" fillId="0" borderId="0" xfId="4" applyNumberFormat="1" applyFont="1"/>
    <xf numFmtId="0" fontId="92" fillId="0" borderId="7" xfId="4" applyFont="1" applyBorder="1"/>
    <xf numFmtId="0" fontId="0" fillId="0" borderId="34" xfId="0" applyBorder="1"/>
    <xf numFmtId="3" fontId="37" fillId="0" borderId="0" xfId="4" applyNumberFormat="1" applyFont="1" applyBorder="1" applyAlignment="1">
      <alignment horizontal="right"/>
    </xf>
    <xf numFmtId="3" fontId="37" fillId="0" borderId="0" xfId="4" applyNumberFormat="1" applyFont="1"/>
    <xf numFmtId="0" fontId="37" fillId="0" borderId="37" xfId="4" applyFont="1" applyBorder="1"/>
    <xf numFmtId="3" fontId="36" fillId="7" borderId="53" xfId="4" applyNumberFormat="1" applyFont="1" applyFill="1" applyBorder="1"/>
    <xf numFmtId="0" fontId="30" fillId="7" borderId="104" xfId="4" applyFill="1" applyBorder="1"/>
    <xf numFmtId="3" fontId="67" fillId="7" borderId="105" xfId="4" applyNumberFormat="1" applyFont="1" applyFill="1" applyBorder="1"/>
    <xf numFmtId="0" fontId="30" fillId="0" borderId="106" xfId="4" applyBorder="1"/>
    <xf numFmtId="0" fontId="12" fillId="0" borderId="0" xfId="0" applyFont="1" applyFill="1" applyBorder="1" applyAlignment="1">
      <alignment vertical="center"/>
    </xf>
    <xf numFmtId="3" fontId="20" fillId="0" borderId="4" xfId="0" applyNumberFormat="1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/>
    </xf>
    <xf numFmtId="3" fontId="23" fillId="6" borderId="17" xfId="7" applyNumberFormat="1" applyFont="1" applyFill="1" applyBorder="1" applyAlignment="1">
      <alignment horizontal="right" vertical="center" wrapText="1"/>
    </xf>
    <xf numFmtId="4" fontId="35" fillId="0" borderId="20" xfId="6" applyNumberFormat="1" applyFont="1" applyBorder="1"/>
    <xf numFmtId="164" fontId="22" fillId="0" borderId="20" xfId="6" applyNumberFormat="1" applyBorder="1"/>
    <xf numFmtId="164" fontId="35" fillId="0" borderId="20" xfId="6" applyNumberFormat="1" applyFont="1" applyBorder="1"/>
    <xf numFmtId="164" fontId="22" fillId="0" borderId="12" xfId="6" applyNumberFormat="1" applyBorder="1"/>
    <xf numFmtId="164" fontId="35" fillId="0" borderId="12" xfId="6" applyNumberFormat="1" applyFont="1" applyBorder="1"/>
    <xf numFmtId="0" fontId="30" fillId="0" borderId="9" xfId="6" applyFont="1" applyBorder="1" applyAlignment="1">
      <alignment wrapText="1"/>
    </xf>
    <xf numFmtId="4" fontId="22" fillId="0" borderId="20" xfId="6" applyNumberFormat="1" applyBorder="1"/>
    <xf numFmtId="3" fontId="66" fillId="5" borderId="20" xfId="6" applyNumberFormat="1" applyFont="1" applyFill="1" applyBorder="1" applyAlignment="1">
      <alignment horizontal="center"/>
    </xf>
    <xf numFmtId="3" fontId="66" fillId="5" borderId="17" xfId="6" applyNumberFormat="1" applyFont="1" applyFill="1" applyBorder="1" applyAlignment="1">
      <alignment horizontal="center"/>
    </xf>
    <xf numFmtId="3" fontId="66" fillId="5" borderId="4" xfId="6" applyNumberFormat="1" applyFont="1" applyFill="1" applyBorder="1"/>
    <xf numFmtId="3" fontId="66" fillId="5" borderId="12" xfId="6" applyNumberFormat="1" applyFont="1" applyFill="1" applyBorder="1" applyAlignment="1">
      <alignment horizontal="center"/>
    </xf>
    <xf numFmtId="0" fontId="30" fillId="0" borderId="17" xfId="0" applyFont="1" applyFill="1" applyBorder="1"/>
    <xf numFmtId="0" fontId="30" fillId="0" borderId="0" xfId="0" applyFont="1" applyFill="1"/>
    <xf numFmtId="0" fontId="30" fillId="8" borderId="17" xfId="0" applyFont="1" applyFill="1" applyBorder="1"/>
    <xf numFmtId="0" fontId="35" fillId="0" borderId="20" xfId="0" applyFont="1" applyBorder="1" applyAlignment="1">
      <alignment horizontal="center"/>
    </xf>
    <xf numFmtId="0" fontId="35" fillId="2" borderId="20" xfId="0" applyFont="1" applyFill="1" applyBorder="1"/>
    <xf numFmtId="0" fontId="30" fillId="3" borderId="20" xfId="0" applyFont="1" applyFill="1" applyBorder="1" applyAlignment="1">
      <alignment wrapText="1"/>
    </xf>
    <xf numFmtId="0" fontId="37" fillId="0" borderId="20" xfId="0" applyFont="1" applyBorder="1" applyAlignment="1">
      <alignment wrapText="1"/>
    </xf>
    <xf numFmtId="0" fontId="37" fillId="0" borderId="20" xfId="0" applyFont="1" applyBorder="1" applyAlignment="1"/>
    <xf numFmtId="0" fontId="35" fillId="2" borderId="20" xfId="0" applyFont="1" applyFill="1" applyBorder="1" applyAlignment="1">
      <alignment vertical="center" wrapText="1"/>
    </xf>
    <xf numFmtId="49" fontId="37" fillId="0" borderId="20" xfId="0" applyNumberFormat="1" applyFont="1" applyBorder="1"/>
    <xf numFmtId="49" fontId="37" fillId="0" borderId="20" xfId="0" applyNumberFormat="1" applyFont="1" applyBorder="1" applyAlignment="1">
      <alignment wrapText="1"/>
    </xf>
    <xf numFmtId="0" fontId="35" fillId="0" borderId="20" xfId="0" applyFont="1" applyFill="1" applyBorder="1"/>
    <xf numFmtId="49" fontId="38" fillId="0" borderId="20" xfId="0" applyNumberFormat="1" applyFont="1" applyBorder="1"/>
    <xf numFmtId="0" fontId="35" fillId="4" borderId="20" xfId="0" applyFont="1" applyFill="1" applyBorder="1" applyAlignment="1">
      <alignment wrapText="1"/>
    </xf>
    <xf numFmtId="0" fontId="30" fillId="0" borderId="20" xfId="0" applyFont="1" applyFill="1" applyBorder="1" applyAlignment="1">
      <alignment wrapText="1"/>
    </xf>
    <xf numFmtId="0" fontId="35" fillId="3" borderId="20" xfId="0" applyFont="1" applyFill="1" applyBorder="1" applyAlignment="1">
      <alignment wrapText="1"/>
    </xf>
    <xf numFmtId="0" fontId="35" fillId="3" borderId="17" xfId="0" applyFont="1" applyFill="1" applyBorder="1"/>
    <xf numFmtId="0" fontId="68" fillId="0" borderId="0" xfId="0" applyFont="1"/>
    <xf numFmtId="3" fontId="23" fillId="0" borderId="17" xfId="7" applyNumberFormat="1" applyFont="1" applyFill="1" applyBorder="1" applyAlignment="1">
      <alignment horizontal="right" vertical="center" wrapText="1"/>
    </xf>
    <xf numFmtId="0" fontId="92" fillId="0" borderId="16" xfId="4" applyFont="1" applyBorder="1" applyAlignment="1">
      <alignment horizontal="left"/>
    </xf>
    <xf numFmtId="0" fontId="92" fillId="0" borderId="60" xfId="4" applyFont="1" applyBorder="1" applyAlignment="1">
      <alignment horizontal="left"/>
    </xf>
    <xf numFmtId="0" fontId="76" fillId="0" borderId="17" xfId="0" applyFont="1" applyBorder="1" applyAlignment="1">
      <alignment horizontal="left" vertical="center" wrapText="1"/>
    </xf>
    <xf numFmtId="0" fontId="94" fillId="0" borderId="0" xfId="0" applyFont="1"/>
    <xf numFmtId="0" fontId="20" fillId="0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/>
    </xf>
    <xf numFmtId="0" fontId="95" fillId="0" borderId="21" xfId="0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center" vertical="center" wrapText="1"/>
    </xf>
    <xf numFmtId="0" fontId="54" fillId="0" borderId="19" xfId="0" applyFont="1" applyFill="1" applyBorder="1" applyAlignment="1">
      <alignment horizontal="center" vertical="center" wrapText="1"/>
    </xf>
    <xf numFmtId="0" fontId="54" fillId="0" borderId="108" xfId="0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vertical="center" wrapText="1"/>
    </xf>
    <xf numFmtId="3" fontId="4" fillId="0" borderId="48" xfId="5" applyNumberFormat="1" applyFont="1" applyFill="1" applyBorder="1" applyAlignment="1">
      <alignment vertical="center" wrapText="1"/>
    </xf>
    <xf numFmtId="3" fontId="4" fillId="0" borderId="19" xfId="5" applyNumberFormat="1" applyFont="1" applyFill="1" applyBorder="1" applyAlignment="1">
      <alignment vertical="center" wrapText="1"/>
    </xf>
    <xf numFmtId="3" fontId="6" fillId="0" borderId="18" xfId="5" applyNumberFormat="1" applyFont="1" applyFill="1" applyBorder="1" applyAlignment="1">
      <alignment vertical="center"/>
    </xf>
    <xf numFmtId="3" fontId="6" fillId="0" borderId="19" xfId="5" applyNumberFormat="1" applyFont="1" applyFill="1" applyBorder="1" applyAlignment="1">
      <alignment vertical="center"/>
    </xf>
    <xf numFmtId="0" fontId="5" fillId="0" borderId="10" xfId="5" applyFont="1" applyFill="1" applyBorder="1" applyAlignment="1">
      <alignment vertical="center" wrapText="1"/>
    </xf>
    <xf numFmtId="3" fontId="4" fillId="0" borderId="4" xfId="5" applyNumberFormat="1" applyFont="1" applyFill="1" applyBorder="1" applyAlignment="1">
      <alignment vertical="center"/>
    </xf>
    <xf numFmtId="3" fontId="57" fillId="0" borderId="4" xfId="5" applyNumberFormat="1" applyFont="1" applyFill="1" applyBorder="1" applyAlignment="1">
      <alignment vertical="center"/>
    </xf>
    <xf numFmtId="49" fontId="5" fillId="0" borderId="55" xfId="5" applyNumberFormat="1" applyFont="1" applyFill="1" applyBorder="1" applyAlignment="1">
      <alignment vertical="center"/>
    </xf>
    <xf numFmtId="49" fontId="6" fillId="0" borderId="39" xfId="5" applyNumberFormat="1" applyFont="1" applyFill="1" applyBorder="1" applyAlignment="1">
      <alignment horizontal="center" vertical="center"/>
    </xf>
    <xf numFmtId="0" fontId="5" fillId="0" borderId="41" xfId="5" applyFont="1" applyFill="1" applyBorder="1" applyAlignment="1">
      <alignment vertical="center" wrapText="1"/>
    </xf>
    <xf numFmtId="0" fontId="5" fillId="0" borderId="26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5" xfId="5" applyFont="1" applyFill="1" applyBorder="1" applyAlignment="1">
      <alignment horizontal="center" vertical="center" wrapText="1"/>
    </xf>
    <xf numFmtId="3" fontId="64" fillId="0" borderId="16" xfId="5" applyNumberFormat="1" applyFont="1" applyFill="1" applyBorder="1" applyAlignment="1">
      <alignment vertical="center"/>
    </xf>
    <xf numFmtId="3" fontId="62" fillId="0" borderId="43" xfId="5" applyNumberFormat="1" applyFont="1" applyFill="1" applyBorder="1" applyAlignment="1">
      <alignment vertical="center"/>
    </xf>
    <xf numFmtId="3" fontId="5" fillId="0" borderId="38" xfId="5" applyNumberFormat="1" applyFont="1" applyFill="1" applyBorder="1" applyAlignment="1">
      <alignment vertical="center"/>
    </xf>
    <xf numFmtId="3" fontId="64" fillId="0" borderId="43" xfId="5" applyNumberFormat="1" applyFont="1" applyFill="1" applyBorder="1" applyAlignment="1">
      <alignment vertical="center"/>
    </xf>
    <xf numFmtId="3" fontId="92" fillId="0" borderId="0" xfId="4" applyNumberFormat="1" applyFont="1" applyBorder="1" applyAlignment="1"/>
    <xf numFmtId="3" fontId="92" fillId="0" borderId="37" xfId="4" applyNumberFormat="1" applyFont="1" applyBorder="1" applyAlignment="1"/>
    <xf numFmtId="0" fontId="25" fillId="0" borderId="17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vertical="center" wrapText="1"/>
    </xf>
    <xf numFmtId="3" fontId="86" fillId="5" borderId="38" xfId="6" applyNumberFormat="1" applyFont="1" applyFill="1" applyBorder="1"/>
    <xf numFmtId="3" fontId="35" fillId="5" borderId="38" xfId="6" applyNumberFormat="1" applyFont="1" applyFill="1" applyBorder="1"/>
    <xf numFmtId="3" fontId="31" fillId="5" borderId="38" xfId="6" applyNumberFormat="1" applyFont="1" applyFill="1" applyBorder="1"/>
    <xf numFmtId="0" fontId="49" fillId="0" borderId="36" xfId="6" applyFont="1" applyBorder="1" applyAlignment="1">
      <alignment horizontal="center" vertical="center" wrapText="1"/>
    </xf>
    <xf numFmtId="3" fontId="35" fillId="5" borderId="38" xfId="6" applyNumberFormat="1" applyFont="1" applyFill="1" applyBorder="1" applyAlignment="1">
      <alignment vertical="center"/>
    </xf>
    <xf numFmtId="3" fontId="35" fillId="0" borderId="38" xfId="6" applyNumberFormat="1" applyFont="1" applyBorder="1"/>
    <xf numFmtId="3" fontId="22" fillId="0" borderId="38" xfId="6" applyNumberFormat="1" applyBorder="1"/>
    <xf numFmtId="0" fontId="96" fillId="0" borderId="0" xfId="6" applyFont="1"/>
    <xf numFmtId="0" fontId="12" fillId="0" borderId="0" xfId="0" applyFont="1" applyAlignment="1">
      <alignment horizontal="right" vertical="center"/>
    </xf>
    <xf numFmtId="0" fontId="74" fillId="0" borderId="17" xfId="0" applyFont="1" applyBorder="1" applyAlignment="1">
      <alignment horizontal="right"/>
    </xf>
    <xf numFmtId="0" fontId="78" fillId="0" borderId="0" xfId="0" applyFont="1"/>
    <xf numFmtId="0" fontId="19" fillId="0" borderId="4" xfId="0" applyFont="1" applyFill="1" applyBorder="1" applyAlignment="1">
      <alignment horizontal="center" vertical="center" wrapText="1"/>
    </xf>
    <xf numFmtId="3" fontId="69" fillId="0" borderId="74" xfId="4" applyNumberFormat="1" applyFont="1" applyBorder="1"/>
    <xf numFmtId="3" fontId="69" fillId="0" borderId="72" xfId="4" applyNumberFormat="1" applyFont="1" applyBorder="1"/>
    <xf numFmtId="3" fontId="69" fillId="0" borderId="75" xfId="4" applyNumberFormat="1" applyFont="1" applyBorder="1"/>
    <xf numFmtId="3" fontId="67" fillId="0" borderId="67" xfId="4" applyNumberFormat="1" applyFont="1" applyBorder="1" applyAlignment="1">
      <alignment horizontal="right" vertical="center"/>
    </xf>
    <xf numFmtId="3" fontId="67" fillId="0" borderId="88" xfId="4" applyNumberFormat="1" applyFont="1" applyBorder="1" applyAlignment="1">
      <alignment horizontal="right" vertical="center"/>
    </xf>
    <xf numFmtId="3" fontId="67" fillId="0" borderId="109" xfId="4" applyNumberFormat="1" applyFont="1" applyBorder="1"/>
    <xf numFmtId="3" fontId="67" fillId="0" borderId="67" xfId="4" applyNumberFormat="1" applyFont="1" applyBorder="1"/>
    <xf numFmtId="3" fontId="67" fillId="0" borderId="88" xfId="4" applyNumberFormat="1" applyFont="1" applyBorder="1"/>
    <xf numFmtId="3" fontId="67" fillId="0" borderId="68" xfId="4" applyNumberFormat="1" applyFont="1" applyBorder="1" applyAlignment="1">
      <alignment horizontal="right" vertical="center"/>
    </xf>
    <xf numFmtId="0" fontId="68" fillId="0" borderId="67" xfId="4" applyFont="1" applyBorder="1" applyAlignment="1">
      <alignment horizontal="right"/>
    </xf>
    <xf numFmtId="0" fontId="0" fillId="0" borderId="30" xfId="0" applyBorder="1" applyAlignment="1">
      <alignment horizontal="right"/>
    </xf>
    <xf numFmtId="3" fontId="35" fillId="0" borderId="88" xfId="4" applyNumberFormat="1" applyFont="1" applyBorder="1" applyAlignment="1">
      <alignment horizontal="right"/>
    </xf>
    <xf numFmtId="3" fontId="35" fillId="0" borderId="30" xfId="4" applyNumberFormat="1" applyFont="1" applyBorder="1"/>
    <xf numFmtId="3" fontId="35" fillId="0" borderId="68" xfId="4" applyNumberFormat="1" applyFont="1" applyBorder="1"/>
    <xf numFmtId="0" fontId="37" fillId="0" borderId="0" xfId="4" applyFont="1" applyBorder="1" applyAlignment="1">
      <alignment horizontal="left" wrapText="1"/>
    </xf>
    <xf numFmtId="49" fontId="6" fillId="0" borderId="49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 wrapText="1"/>
    </xf>
    <xf numFmtId="3" fontId="50" fillId="0" borderId="1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3" fontId="62" fillId="0" borderId="46" xfId="5" applyNumberFormat="1" applyFont="1" applyFill="1" applyBorder="1" applyAlignment="1">
      <alignment vertical="center"/>
    </xf>
    <xf numFmtId="3" fontId="20" fillId="0" borderId="37" xfId="0" applyNumberFormat="1" applyFont="1" applyFill="1" applyBorder="1" applyAlignment="1">
      <alignment horizontal="right" vertical="center"/>
    </xf>
    <xf numFmtId="0" fontId="25" fillId="0" borderId="0" xfId="7" applyFont="1" applyAlignment="1">
      <alignment horizontal="right" vertical="center"/>
    </xf>
    <xf numFmtId="3" fontId="30" fillId="0" borderId="38" xfId="6" applyNumberFormat="1" applyFont="1" applyBorder="1"/>
    <xf numFmtId="3" fontId="97" fillId="0" borderId="0" xfId="6" applyNumberFormat="1" applyFont="1"/>
    <xf numFmtId="3" fontId="97" fillId="0" borderId="0" xfId="6" applyNumberFormat="1" applyFont="1" applyAlignment="1">
      <alignment vertical="center"/>
    </xf>
    <xf numFmtId="3" fontId="35" fillId="0" borderId="20" xfId="6" applyNumberFormat="1" applyFont="1" applyFill="1" applyBorder="1" applyAlignment="1">
      <alignment horizontal="center"/>
    </xf>
    <xf numFmtId="3" fontId="35" fillId="0" borderId="17" xfId="6" applyNumberFormat="1" applyFont="1" applyFill="1" applyBorder="1" applyAlignment="1">
      <alignment horizontal="center"/>
    </xf>
    <xf numFmtId="0" fontId="16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17" fillId="0" borderId="17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7" fillId="0" borderId="17" xfId="3" applyFont="1" applyBorder="1"/>
    <xf numFmtId="3" fontId="87" fillId="0" borderId="17" xfId="3" applyNumberFormat="1" applyFont="1" applyBorder="1"/>
    <xf numFmtId="0" fontId="19" fillId="0" borderId="17" xfId="3" applyFont="1" applyBorder="1"/>
    <xf numFmtId="3" fontId="19" fillId="0" borderId="17" xfId="3" applyNumberFormat="1" applyFont="1" applyBorder="1"/>
    <xf numFmtId="3" fontId="52" fillId="0" borderId="17" xfId="3" applyNumberFormat="1" applyFont="1" applyBorder="1"/>
    <xf numFmtId="0" fontId="73" fillId="0" borderId="17" xfId="3" applyFont="1" applyBorder="1"/>
    <xf numFmtId="3" fontId="73" fillId="0" borderId="17" xfId="3" applyNumberFormat="1" applyFont="1" applyBorder="1"/>
    <xf numFmtId="0" fontId="74" fillId="0" borderId="17" xfId="3" applyFont="1" applyBorder="1"/>
    <xf numFmtId="0" fontId="74" fillId="0" borderId="0" xfId="3" applyFont="1"/>
    <xf numFmtId="0" fontId="74" fillId="0" borderId="17" xfId="3" applyFont="1" applyBorder="1" applyAlignment="1">
      <alignment horizontal="left"/>
    </xf>
    <xf numFmtId="3" fontId="74" fillId="0" borderId="17" xfId="3" applyNumberFormat="1" applyFont="1" applyBorder="1"/>
    <xf numFmtId="0" fontId="54" fillId="0" borderId="17" xfId="3" applyFont="1" applyBorder="1"/>
    <xf numFmtId="3" fontId="54" fillId="0" borderId="17" xfId="3" applyNumberFormat="1" applyFont="1" applyBorder="1"/>
    <xf numFmtId="0" fontId="76" fillId="0" borderId="17" xfId="3" applyFont="1" applyBorder="1" applyAlignment="1">
      <alignment horizontal="left"/>
    </xf>
    <xf numFmtId="3" fontId="80" fillId="0" borderId="17" xfId="3" applyNumberFormat="1" applyFont="1" applyBorder="1"/>
    <xf numFmtId="3" fontId="54" fillId="0" borderId="17" xfId="3" applyNumberFormat="1" applyFont="1" applyFill="1" applyBorder="1"/>
    <xf numFmtId="3" fontId="80" fillId="0" borderId="17" xfId="3" applyNumberFormat="1" applyFont="1" applyFill="1" applyBorder="1"/>
    <xf numFmtId="3" fontId="82" fillId="0" borderId="17" xfId="3" applyNumberFormat="1" applyFont="1" applyBorder="1"/>
    <xf numFmtId="0" fontId="76" fillId="0" borderId="17" xfId="3" applyFont="1" applyBorder="1"/>
    <xf numFmtId="3" fontId="76" fillId="0" borderId="17" xfId="3" applyNumberFormat="1" applyFont="1" applyBorder="1"/>
    <xf numFmtId="0" fontId="21" fillId="0" borderId="17" xfId="3" applyBorder="1"/>
    <xf numFmtId="0" fontId="76" fillId="0" borderId="9" xfId="3" applyFont="1" applyBorder="1" applyAlignment="1">
      <alignment horizontal="left"/>
    </xf>
    <xf numFmtId="0" fontId="76" fillId="0" borderId="12" xfId="3" applyFont="1" applyBorder="1" applyAlignment="1">
      <alignment horizontal="left"/>
    </xf>
    <xf numFmtId="0" fontId="21" fillId="0" borderId="9" xfId="3" applyBorder="1"/>
    <xf numFmtId="0" fontId="21" fillId="0" borderId="0" xfId="3"/>
    <xf numFmtId="3" fontId="55" fillId="0" borderId="17" xfId="3" applyNumberFormat="1" applyFont="1" applyBorder="1"/>
    <xf numFmtId="3" fontId="4" fillId="0" borderId="3" xfId="5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0" fontId="52" fillId="0" borderId="30" xfId="0" applyFont="1" applyFill="1" applyBorder="1" applyAlignment="1">
      <alignment vertical="center"/>
    </xf>
    <xf numFmtId="3" fontId="52" fillId="0" borderId="0" xfId="0" applyNumberFormat="1" applyFont="1" applyFill="1" applyBorder="1" applyAlignment="1">
      <alignment vertical="center"/>
    </xf>
    <xf numFmtId="0" fontId="94" fillId="0" borderId="0" xfId="0" applyFont="1" applyAlignment="1"/>
    <xf numFmtId="49" fontId="6" fillId="0" borderId="48" xfId="5" applyNumberFormat="1" applyFont="1" applyFill="1" applyBorder="1" applyAlignment="1">
      <alignment horizontal="center" vertical="center"/>
    </xf>
    <xf numFmtId="3" fontId="4" fillId="0" borderId="18" xfId="5" applyNumberFormat="1" applyFont="1" applyFill="1" applyBorder="1" applyAlignment="1">
      <alignment vertical="center" wrapText="1"/>
    </xf>
    <xf numFmtId="0" fontId="5" fillId="0" borderId="9" xfId="5" applyFont="1" applyFill="1" applyBorder="1" applyAlignment="1">
      <alignment horizontal="left" vertical="center" wrapText="1"/>
    </xf>
    <xf numFmtId="3" fontId="4" fillId="0" borderId="4" xfId="5" applyNumberFormat="1" applyFont="1" applyFill="1" applyBorder="1" applyAlignment="1">
      <alignment horizontal="left" vertical="center" wrapText="1"/>
    </xf>
    <xf numFmtId="3" fontId="71" fillId="0" borderId="27" xfId="5" applyNumberFormat="1" applyFont="1" applyFill="1" applyBorder="1" applyAlignment="1">
      <alignment vertical="center"/>
    </xf>
    <xf numFmtId="3" fontId="52" fillId="0" borderId="9" xfId="3" applyNumberFormat="1" applyFont="1" applyBorder="1"/>
    <xf numFmtId="3" fontId="21" fillId="0" borderId="11" xfId="3" applyNumberFormat="1" applyBorder="1"/>
    <xf numFmtId="3" fontId="52" fillId="0" borderId="12" xfId="3" applyNumberFormat="1" applyFont="1" applyBorder="1"/>
    <xf numFmtId="0" fontId="78" fillId="0" borderId="70" xfId="0" applyFont="1" applyBorder="1"/>
    <xf numFmtId="3" fontId="37" fillId="0" borderId="0" xfId="4" applyNumberFormat="1" applyFont="1" applyBorder="1" applyAlignment="1"/>
    <xf numFmtId="0" fontId="78" fillId="0" borderId="0" xfId="0" applyFont="1" applyFill="1" applyBorder="1"/>
    <xf numFmtId="3" fontId="37" fillId="0" borderId="70" xfId="4" applyNumberFormat="1" applyFont="1" applyBorder="1" applyAlignment="1"/>
    <xf numFmtId="0" fontId="20" fillId="0" borderId="17" xfId="0" applyFont="1" applyFill="1" applyBorder="1" applyAlignment="1">
      <alignment horizontal="left" vertical="center" wrapText="1"/>
    </xf>
    <xf numFmtId="3" fontId="20" fillId="0" borderId="4" xfId="0" applyNumberFormat="1" applyFont="1" applyFill="1" applyBorder="1" applyAlignment="1">
      <alignment horizontal="right" vertical="center"/>
    </xf>
    <xf numFmtId="0" fontId="37" fillId="0" borderId="17" xfId="0" applyFont="1" applyFill="1" applyBorder="1"/>
    <xf numFmtId="0" fontId="76" fillId="0" borderId="17" xfId="0" applyFont="1" applyBorder="1" applyAlignment="1">
      <alignment horizontal="left" vertical="top"/>
    </xf>
    <xf numFmtId="3" fontId="76" fillId="0" borderId="50" xfId="0" applyNumberFormat="1" applyFont="1" applyFill="1" applyBorder="1"/>
    <xf numFmtId="0" fontId="0" fillId="0" borderId="17" xfId="3" applyFont="1" applyBorder="1"/>
    <xf numFmtId="0" fontId="37" fillId="9" borderId="17" xfId="0" applyFont="1" applyFill="1" applyBorder="1"/>
    <xf numFmtId="0" fontId="25" fillId="0" borderId="12" xfId="0" applyFont="1" applyFill="1" applyBorder="1" applyAlignment="1">
      <alignment horizontal="left" vertical="center" wrapText="1"/>
    </xf>
    <xf numFmtId="3" fontId="23" fillId="9" borderId="17" xfId="7" applyNumberFormat="1" applyFont="1" applyFill="1" applyBorder="1" applyAlignment="1">
      <alignment horizontal="right" vertical="center" wrapText="1"/>
    </xf>
    <xf numFmtId="3" fontId="80" fillId="10" borderId="17" xfId="3" applyNumberFormat="1" applyFont="1" applyFill="1" applyBorder="1"/>
    <xf numFmtId="3" fontId="73" fillId="10" borderId="17" xfId="3" applyNumberFormat="1" applyFont="1" applyFill="1" applyBorder="1"/>
    <xf numFmtId="0" fontId="29" fillId="0" borderId="17" xfId="0" applyFont="1" applyBorder="1" applyAlignment="1">
      <alignment horizontal="center" vertical="center"/>
    </xf>
    <xf numFmtId="3" fontId="98" fillId="0" borderId="17" xfId="0" applyNumberFormat="1" applyFont="1" applyBorder="1" applyAlignment="1">
      <alignment vertical="center"/>
    </xf>
    <xf numFmtId="0" fontId="72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9" fillId="0" borderId="17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55" fillId="0" borderId="17" xfId="0" applyFont="1" applyBorder="1" applyAlignment="1">
      <alignment horizontal="left"/>
    </xf>
    <xf numFmtId="0" fontId="19" fillId="0" borderId="17" xfId="0" applyFont="1" applyBorder="1" applyAlignment="1">
      <alignment horizontal="left" wrapText="1"/>
    </xf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94" fillId="0" borderId="1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54" fillId="0" borderId="17" xfId="0" applyFont="1" applyBorder="1" applyAlignment="1">
      <alignment horizontal="left" wrapText="1"/>
    </xf>
    <xf numFmtId="0" fontId="19" fillId="0" borderId="17" xfId="3" applyFont="1" applyBorder="1" applyAlignment="1">
      <alignment horizontal="left"/>
    </xf>
    <xf numFmtId="0" fontId="19" fillId="0" borderId="9" xfId="3" applyFont="1" applyBorder="1" applyAlignment="1">
      <alignment horizontal="left"/>
    </xf>
    <xf numFmtId="0" fontId="19" fillId="0" borderId="11" xfId="3" applyFont="1" applyBorder="1" applyAlignment="1">
      <alignment horizontal="left"/>
    </xf>
    <xf numFmtId="0" fontId="19" fillId="0" borderId="12" xfId="3" applyFont="1" applyBorder="1" applyAlignment="1">
      <alignment horizontal="left"/>
    </xf>
    <xf numFmtId="0" fontId="54" fillId="0" borderId="9" xfId="3" applyFont="1" applyBorder="1" applyAlignment="1">
      <alignment horizontal="left" wrapText="1"/>
    </xf>
    <xf numFmtId="0" fontId="54" fillId="0" borderId="12" xfId="3" applyFont="1" applyBorder="1" applyAlignment="1">
      <alignment horizontal="left" wrapText="1"/>
    </xf>
    <xf numFmtId="0" fontId="87" fillId="0" borderId="9" xfId="3" applyFont="1" applyBorder="1" applyAlignment="1">
      <alignment horizontal="left"/>
    </xf>
    <xf numFmtId="0" fontId="87" fillId="0" borderId="11" xfId="3" applyFont="1" applyBorder="1" applyAlignment="1">
      <alignment horizontal="left"/>
    </xf>
    <xf numFmtId="0" fontId="87" fillId="0" borderId="12" xfId="3" applyFont="1" applyBorder="1" applyAlignment="1">
      <alignment horizontal="left"/>
    </xf>
    <xf numFmtId="0" fontId="55" fillId="0" borderId="9" xfId="3" applyFont="1" applyBorder="1" applyAlignment="1">
      <alignment horizontal="left"/>
    </xf>
    <xf numFmtId="0" fontId="55" fillId="0" borderId="11" xfId="3" applyFont="1" applyBorder="1" applyAlignment="1">
      <alignment horizontal="left"/>
    </xf>
    <xf numFmtId="0" fontId="55" fillId="0" borderId="12" xfId="3" applyFont="1" applyBorder="1" applyAlignment="1">
      <alignment horizontal="left"/>
    </xf>
    <xf numFmtId="0" fontId="54" fillId="0" borderId="9" xfId="3" applyFont="1" applyBorder="1" applyAlignment="1">
      <alignment horizontal="left"/>
    </xf>
    <xf numFmtId="0" fontId="54" fillId="0" borderId="12" xfId="3" applyFont="1" applyBorder="1" applyAlignment="1">
      <alignment horizontal="left"/>
    </xf>
    <xf numFmtId="0" fontId="87" fillId="0" borderId="17" xfId="3" applyFont="1" applyBorder="1" applyAlignment="1">
      <alignment horizontal="left"/>
    </xf>
    <xf numFmtId="0" fontId="54" fillId="0" borderId="9" xfId="3" applyFont="1" applyBorder="1" applyAlignment="1">
      <alignment horizontal="left" vertical="center" wrapText="1"/>
    </xf>
    <xf numFmtId="0" fontId="54" fillId="0" borderId="12" xfId="3" applyFont="1" applyBorder="1" applyAlignment="1">
      <alignment horizontal="left" vertical="center" wrapText="1"/>
    </xf>
    <xf numFmtId="0" fontId="0" fillId="0" borderId="0" xfId="3" applyFont="1" applyAlignment="1">
      <alignment horizontal="right" vertical="center"/>
    </xf>
    <xf numFmtId="0" fontId="21" fillId="0" borderId="0" xfId="3" applyAlignment="1">
      <alignment horizontal="right" vertical="center"/>
    </xf>
    <xf numFmtId="0" fontId="72" fillId="0" borderId="9" xfId="3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94" fillId="0" borderId="11" xfId="3" applyFont="1" applyBorder="1" applyAlignment="1">
      <alignment horizontal="center" vertical="center" wrapText="1"/>
    </xf>
    <xf numFmtId="0" fontId="94" fillId="0" borderId="12" xfId="3" applyFont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/>
    </xf>
    <xf numFmtId="0" fontId="29" fillId="0" borderId="9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12" xfId="2" applyFont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94" fillId="0" borderId="0" xfId="0" applyFont="1" applyAlignment="1">
      <alignment horizontal="right"/>
    </xf>
    <xf numFmtId="0" fontId="24" fillId="0" borderId="0" xfId="2" applyFont="1" applyAlignment="1">
      <alignment horizontal="center"/>
    </xf>
    <xf numFmtId="0" fontId="24" fillId="0" borderId="17" xfId="2" applyFont="1" applyBorder="1" applyAlignment="1">
      <alignment horizontal="center" vertical="center"/>
    </xf>
    <xf numFmtId="0" fontId="29" fillId="0" borderId="17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/>
    </xf>
    <xf numFmtId="0" fontId="29" fillId="0" borderId="11" xfId="2" applyFont="1" applyBorder="1" applyAlignment="1">
      <alignment horizontal="center"/>
    </xf>
    <xf numFmtId="0" fontId="29" fillId="0" borderId="12" xfId="2" applyFont="1" applyBorder="1" applyAlignment="1">
      <alignment horizontal="center"/>
    </xf>
    <xf numFmtId="0" fontId="26" fillId="0" borderId="9" xfId="2" applyFont="1" applyBorder="1" applyAlignment="1">
      <alignment horizontal="right" vertical="center"/>
    </xf>
    <xf numFmtId="0" fontId="26" fillId="0" borderId="11" xfId="2" applyFont="1" applyBorder="1" applyAlignment="1">
      <alignment horizontal="right" vertical="center"/>
    </xf>
    <xf numFmtId="49" fontId="5" fillId="0" borderId="111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49" fontId="5" fillId="0" borderId="48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1" fillId="0" borderId="113" xfId="0" applyFont="1" applyFill="1" applyBorder="1" applyAlignment="1">
      <alignment horizontal="center" vertical="center" wrapText="1"/>
    </xf>
    <xf numFmtId="0" fontId="51" fillId="0" borderId="110" xfId="0" applyFont="1" applyFill="1" applyBorder="1" applyAlignment="1">
      <alignment horizontal="center" vertical="center" wrapText="1"/>
    </xf>
    <xf numFmtId="0" fontId="51" fillId="0" borderId="108" xfId="0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>
      <alignment horizontal="center" vertical="center" textRotation="90"/>
    </xf>
    <xf numFmtId="49" fontId="6" fillId="0" borderId="55" xfId="0" applyNumberFormat="1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textRotation="90"/>
    </xf>
    <xf numFmtId="0" fontId="5" fillId="0" borderId="56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8" fillId="0" borderId="0" xfId="5" applyFont="1" applyFill="1" applyAlignment="1">
      <alignment horizontal="right" vertical="center"/>
    </xf>
    <xf numFmtId="0" fontId="1" fillId="0" borderId="0" xfId="5" applyAlignment="1">
      <alignment horizontal="right"/>
    </xf>
    <xf numFmtId="0" fontId="3" fillId="0" borderId="116" xfId="5" applyFont="1" applyFill="1" applyBorder="1" applyAlignment="1">
      <alignment horizontal="center" vertical="center" wrapText="1"/>
    </xf>
    <xf numFmtId="0" fontId="3" fillId="0" borderId="33" xfId="5" applyFont="1" applyFill="1" applyBorder="1" applyAlignment="1">
      <alignment horizontal="center" vertical="center" wrapText="1"/>
    </xf>
    <xf numFmtId="0" fontId="3" fillId="0" borderId="117" xfId="5" applyFont="1" applyFill="1" applyBorder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0" fontId="5" fillId="0" borderId="70" xfId="5" applyFont="1" applyFill="1" applyBorder="1" applyAlignment="1">
      <alignment horizontal="center" vertical="center" wrapText="1"/>
    </xf>
    <xf numFmtId="0" fontId="5" fillId="0" borderId="37" xfId="5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center" vertical="center" wrapText="1"/>
    </xf>
    <xf numFmtId="0" fontId="5" fillId="0" borderId="18" xfId="5" applyFont="1" applyFill="1" applyBorder="1" applyAlignment="1">
      <alignment horizontal="center" vertical="center" wrapText="1"/>
    </xf>
    <xf numFmtId="0" fontId="5" fillId="0" borderId="19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horizontal="center" vertical="center" wrapText="1"/>
    </xf>
    <xf numFmtId="0" fontId="5" fillId="0" borderId="17" xfId="5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 wrapText="1"/>
    </xf>
    <xf numFmtId="0" fontId="63" fillId="0" borderId="107" xfId="5" applyFont="1" applyFill="1" applyBorder="1" applyAlignment="1">
      <alignment horizontal="left" vertical="center"/>
    </xf>
    <xf numFmtId="0" fontId="63" fillId="0" borderId="25" xfId="5" applyFont="1" applyFill="1" applyBorder="1" applyAlignment="1">
      <alignment horizontal="left" vertical="center"/>
    </xf>
    <xf numFmtId="0" fontId="63" fillId="0" borderId="8" xfId="5" applyFont="1" applyFill="1" applyBorder="1" applyAlignment="1">
      <alignment horizontal="left" vertical="center"/>
    </xf>
    <xf numFmtId="0" fontId="61" fillId="0" borderId="44" xfId="5" applyFont="1" applyFill="1" applyBorder="1" applyAlignment="1">
      <alignment horizontal="left" vertical="center"/>
    </xf>
    <xf numFmtId="0" fontId="61" fillId="0" borderId="90" xfId="5" applyFont="1" applyFill="1" applyBorder="1" applyAlignment="1">
      <alignment horizontal="left" vertical="center"/>
    </xf>
    <xf numFmtId="0" fontId="61" fillId="0" borderId="91" xfId="5" applyFont="1" applyFill="1" applyBorder="1" applyAlignment="1">
      <alignment horizontal="left" vertical="center"/>
    </xf>
    <xf numFmtId="0" fontId="5" fillId="0" borderId="88" xfId="5" applyFont="1" applyFill="1" applyBorder="1" applyAlignment="1">
      <alignment horizontal="center" vertical="center"/>
    </xf>
    <xf numFmtId="0" fontId="5" fillId="0" borderId="50" xfId="5" applyFont="1" applyFill="1" applyBorder="1" applyAlignment="1">
      <alignment horizontal="center" vertical="center"/>
    </xf>
    <xf numFmtId="0" fontId="5" fillId="0" borderId="58" xfId="5" applyFont="1" applyFill="1" applyBorder="1" applyAlignment="1">
      <alignment horizontal="center" vertical="center"/>
    </xf>
    <xf numFmtId="49" fontId="5" fillId="0" borderId="111" xfId="5" applyNumberFormat="1" applyFont="1" applyFill="1" applyBorder="1" applyAlignment="1">
      <alignment horizontal="center" vertical="center"/>
    </xf>
    <xf numFmtId="49" fontId="5" fillId="0" borderId="55" xfId="5" applyNumberFormat="1" applyFont="1" applyFill="1" applyBorder="1" applyAlignment="1">
      <alignment horizontal="center" vertical="center"/>
    </xf>
    <xf numFmtId="49" fontId="5" fillId="0" borderId="118" xfId="5" applyNumberFormat="1" applyFont="1" applyFill="1" applyBorder="1" applyAlignment="1">
      <alignment horizontal="center" vertical="center"/>
    </xf>
    <xf numFmtId="0" fontId="55" fillId="0" borderId="90" xfId="5" applyFont="1" applyFill="1" applyBorder="1" applyAlignment="1">
      <alignment horizontal="center" vertical="center"/>
    </xf>
    <xf numFmtId="0" fontId="55" fillId="0" borderId="91" xfId="5" applyFont="1" applyFill="1" applyBorder="1" applyAlignment="1">
      <alignment horizontal="center" vertical="center"/>
    </xf>
    <xf numFmtId="0" fontId="56" fillId="0" borderId="113" xfId="5" applyFont="1" applyFill="1" applyBorder="1" applyAlignment="1">
      <alignment horizontal="left" vertical="center"/>
    </xf>
    <xf numFmtId="0" fontId="56" fillId="0" borderId="90" xfId="5" applyFont="1" applyFill="1" applyBorder="1" applyAlignment="1">
      <alignment horizontal="left" vertical="center"/>
    </xf>
    <xf numFmtId="0" fontId="56" fillId="0" borderId="91" xfId="5" applyFont="1" applyFill="1" applyBorder="1" applyAlignment="1">
      <alignment horizontal="left" vertical="center"/>
    </xf>
    <xf numFmtId="3" fontId="4" fillId="0" borderId="57" xfId="5" applyNumberFormat="1" applyFont="1" applyFill="1" applyBorder="1" applyAlignment="1">
      <alignment horizontal="center" vertical="center" wrapText="1"/>
    </xf>
    <xf numFmtId="3" fontId="4" fillId="0" borderId="112" xfId="5" applyNumberFormat="1" applyFont="1" applyFill="1" applyBorder="1" applyAlignment="1">
      <alignment horizontal="center" vertical="center" wrapText="1"/>
    </xf>
    <xf numFmtId="3" fontId="4" fillId="0" borderId="3" xfId="5" applyNumberFormat="1" applyFont="1" applyFill="1" applyBorder="1" applyAlignment="1">
      <alignment horizontal="center" vertical="center" wrapText="1"/>
    </xf>
    <xf numFmtId="0" fontId="35" fillId="0" borderId="0" xfId="4" applyFont="1" applyAlignment="1">
      <alignment horizontal="center"/>
    </xf>
    <xf numFmtId="0" fontId="0" fillId="0" borderId="0" xfId="0" applyAlignment="1"/>
    <xf numFmtId="0" fontId="69" fillId="0" borderId="74" xfId="4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00" xfId="0" applyBorder="1" applyAlignment="1">
      <alignment horizontal="center"/>
    </xf>
    <xf numFmtId="0" fontId="36" fillId="0" borderId="31" xfId="4" applyFont="1" applyBorder="1" applyAlignment="1"/>
    <xf numFmtId="0" fontId="36" fillId="0" borderId="31" xfId="0" applyFont="1" applyBorder="1" applyAlignment="1"/>
    <xf numFmtId="0" fontId="36" fillId="0" borderId="119" xfId="0" applyFont="1" applyBorder="1" applyAlignment="1"/>
    <xf numFmtId="0" fontId="67" fillId="0" borderId="31" xfId="4" applyFont="1" applyBorder="1" applyAlignment="1"/>
    <xf numFmtId="0" fontId="67" fillId="0" borderId="119" xfId="4" applyFont="1" applyBorder="1" applyAlignment="1"/>
    <xf numFmtId="0" fontId="30" fillId="0" borderId="0" xfId="0" applyFont="1" applyAlignment="1"/>
    <xf numFmtId="0" fontId="30" fillId="0" borderId="0" xfId="4" applyAlignment="1">
      <alignment horizontal="center"/>
    </xf>
    <xf numFmtId="0" fontId="67" fillId="7" borderId="74" xfId="4" applyFont="1" applyFill="1" applyBorder="1" applyAlignment="1">
      <alignment wrapText="1"/>
    </xf>
    <xf numFmtId="0" fontId="79" fillId="7" borderId="32" xfId="0" applyFont="1" applyFill="1" applyBorder="1" applyAlignment="1">
      <alignment wrapText="1"/>
    </xf>
    <xf numFmtId="0" fontId="79" fillId="7" borderId="100" xfId="0" applyFont="1" applyFill="1" applyBorder="1" applyAlignment="1">
      <alignment wrapText="1"/>
    </xf>
    <xf numFmtId="0" fontId="36" fillId="7" borderId="31" xfId="4" applyFont="1" applyFill="1" applyBorder="1" applyAlignment="1"/>
    <xf numFmtId="0" fontId="36" fillId="7" borderId="31" xfId="0" applyFont="1" applyFill="1" applyBorder="1" applyAlignment="1"/>
    <xf numFmtId="0" fontId="36" fillId="7" borderId="119" xfId="0" applyFont="1" applyFill="1" applyBorder="1" applyAlignment="1"/>
    <xf numFmtId="0" fontId="67" fillId="7" borderId="104" xfId="4" applyFont="1" applyFill="1" applyBorder="1" applyAlignment="1"/>
    <xf numFmtId="0" fontId="67" fillId="7" borderId="120" xfId="4" applyFont="1" applyFill="1" applyBorder="1" applyAlignment="1"/>
    <xf numFmtId="0" fontId="68" fillId="0" borderId="63" xfId="4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65" xfId="0" applyBorder="1" applyAlignment="1">
      <alignment horizontal="right"/>
    </xf>
    <xf numFmtId="3" fontId="36" fillId="0" borderId="116" xfId="4" applyNumberFormat="1" applyFont="1" applyBorder="1" applyAlignment="1">
      <alignment horizontal="right" vertical="center"/>
    </xf>
    <xf numFmtId="3" fontId="36" fillId="0" borderId="33" xfId="4" applyNumberFormat="1" applyFont="1" applyBorder="1" applyAlignment="1">
      <alignment horizontal="right" vertical="center"/>
    </xf>
    <xf numFmtId="0" fontId="37" fillId="0" borderId="34" xfId="4" applyFont="1" applyBorder="1" applyAlignment="1">
      <alignment horizontal="left"/>
    </xf>
    <xf numFmtId="0" fontId="37" fillId="0" borderId="0" xfId="4" applyFont="1" applyBorder="1" applyAlignment="1">
      <alignment horizontal="left"/>
    </xf>
    <xf numFmtId="0" fontId="37" fillId="0" borderId="0" xfId="4" applyFont="1" applyBorder="1" applyAlignment="1">
      <alignment horizontal="left" wrapText="1"/>
    </xf>
    <xf numFmtId="3" fontId="36" fillId="0" borderId="116" xfId="4" applyNumberFormat="1" applyFont="1" applyBorder="1" applyAlignment="1">
      <alignment horizontal="center" vertical="center"/>
    </xf>
    <xf numFmtId="3" fontId="36" fillId="0" borderId="33" xfId="4" applyNumberFormat="1" applyFont="1" applyBorder="1" applyAlignment="1">
      <alignment horizontal="center" vertical="center"/>
    </xf>
    <xf numFmtId="0" fontId="68" fillId="0" borderId="34" xfId="4" applyFont="1" applyBorder="1" applyAlignment="1">
      <alignment horizontal="right"/>
    </xf>
    <xf numFmtId="0" fontId="68" fillId="0" borderId="0" xfId="4" applyFont="1" applyBorder="1" applyAlignment="1">
      <alignment horizontal="right"/>
    </xf>
    <xf numFmtId="0" fontId="68" fillId="0" borderId="65" xfId="4" applyFont="1" applyBorder="1" applyAlignment="1">
      <alignment horizontal="right"/>
    </xf>
    <xf numFmtId="0" fontId="92" fillId="0" borderId="34" xfId="4" applyFont="1" applyBorder="1" applyAlignment="1">
      <alignment horizontal="left"/>
    </xf>
    <xf numFmtId="0" fontId="92" fillId="0" borderId="0" xfId="4" applyFont="1" applyBorder="1" applyAlignment="1">
      <alignment horizontal="left"/>
    </xf>
    <xf numFmtId="0" fontId="63" fillId="0" borderId="126" xfId="5" applyFont="1" applyFill="1" applyBorder="1" applyAlignment="1">
      <alignment horizontal="center" vertical="center" wrapText="1"/>
    </xf>
    <xf numFmtId="0" fontId="63" fillId="0" borderId="29" xfId="5" applyFont="1" applyFill="1" applyBorder="1" applyAlignment="1">
      <alignment horizontal="center" vertical="center" wrapText="1"/>
    </xf>
    <xf numFmtId="0" fontId="63" fillId="0" borderId="129" xfId="5" applyFont="1" applyFill="1" applyBorder="1" applyAlignment="1">
      <alignment horizontal="center" vertical="center" wrapText="1"/>
    </xf>
    <xf numFmtId="0" fontId="63" fillId="0" borderId="80" xfId="5" applyFont="1" applyFill="1" applyBorder="1" applyAlignment="1">
      <alignment horizontal="center" vertical="center" wrapText="1"/>
    </xf>
    <xf numFmtId="0" fontId="63" fillId="0" borderId="16" xfId="5" applyFont="1" applyFill="1" applyBorder="1" applyAlignment="1">
      <alignment horizontal="center" vertical="center" wrapText="1"/>
    </xf>
    <xf numFmtId="0" fontId="63" fillId="0" borderId="89" xfId="5" applyFont="1" applyFill="1" applyBorder="1" applyAlignment="1">
      <alignment horizontal="center" vertical="center" wrapText="1"/>
    </xf>
    <xf numFmtId="0" fontId="37" fillId="0" borderId="34" xfId="4" applyFont="1" applyBorder="1" applyAlignment="1">
      <alignment horizontal="left" wrapText="1"/>
    </xf>
    <xf numFmtId="0" fontId="15" fillId="0" borderId="121" xfId="5" applyFont="1" applyFill="1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92" fillId="0" borderId="34" xfId="4" applyFont="1" applyBorder="1" applyAlignment="1">
      <alignment horizontal="left" wrapText="1"/>
    </xf>
    <xf numFmtId="0" fontId="92" fillId="0" borderId="0" xfId="4" applyFont="1" applyBorder="1" applyAlignment="1">
      <alignment horizontal="left" wrapText="1"/>
    </xf>
    <xf numFmtId="3" fontId="36" fillId="0" borderId="117" xfId="4" applyNumberFormat="1" applyFont="1" applyBorder="1" applyAlignment="1">
      <alignment horizontal="right" vertical="center"/>
    </xf>
    <xf numFmtId="0" fontId="37" fillId="0" borderId="0" xfId="4" applyFont="1" applyAlignment="1">
      <alignment horizontal="left" wrapText="1"/>
    </xf>
    <xf numFmtId="0" fontId="37" fillId="0" borderId="63" xfId="4" applyFont="1" applyBorder="1" applyAlignment="1">
      <alignment horizontal="left"/>
    </xf>
    <xf numFmtId="0" fontId="15" fillId="0" borderId="124" xfId="5" applyFont="1" applyFill="1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0" fontId="63" fillId="0" borderId="54" xfId="5" applyFont="1" applyFill="1" applyBorder="1" applyAlignment="1">
      <alignment horizontal="center" vertical="center" wrapText="1"/>
    </xf>
    <xf numFmtId="0" fontId="63" fillId="0" borderId="7" xfId="5" applyFont="1" applyFill="1" applyBorder="1" applyAlignment="1">
      <alignment horizontal="center" vertical="center" wrapText="1"/>
    </xf>
    <xf numFmtId="0" fontId="37" fillId="0" borderId="63" xfId="4" applyFont="1" applyBorder="1" applyAlignment="1">
      <alignment horizontal="left" wrapText="1"/>
    </xf>
    <xf numFmtId="3" fontId="36" fillId="0" borderId="93" xfId="4" applyNumberFormat="1" applyFont="1" applyBorder="1" applyAlignment="1">
      <alignment horizontal="right" vertical="center"/>
    </xf>
    <xf numFmtId="3" fontId="36" fillId="0" borderId="97" xfId="4" applyNumberFormat="1" applyFont="1" applyBorder="1" applyAlignment="1">
      <alignment horizontal="right" vertical="center"/>
    </xf>
    <xf numFmtId="0" fontId="37" fillId="0" borderId="60" xfId="4" applyFont="1" applyBorder="1" applyAlignment="1">
      <alignment horizontal="left" wrapText="1"/>
    </xf>
    <xf numFmtId="0" fontId="37" fillId="0" borderId="16" xfId="4" applyFont="1" applyBorder="1" applyAlignment="1">
      <alignment horizontal="left" wrapText="1"/>
    </xf>
    <xf numFmtId="0" fontId="37" fillId="0" borderId="67" xfId="4" applyFont="1" applyBorder="1" applyAlignment="1">
      <alignment horizontal="left"/>
    </xf>
    <xf numFmtId="0" fontId="37" fillId="0" borderId="30" xfId="4" applyFont="1" applyBorder="1" applyAlignment="1">
      <alignment horizontal="left"/>
    </xf>
    <xf numFmtId="3" fontId="36" fillId="0" borderId="117" xfId="4" applyNumberFormat="1" applyFont="1" applyBorder="1" applyAlignment="1">
      <alignment horizontal="center" vertical="center"/>
    </xf>
    <xf numFmtId="0" fontId="67" fillId="0" borderId="130" xfId="4" applyFont="1" applyBorder="1" applyAlignment="1">
      <alignment horizontal="center" vertical="center"/>
    </xf>
    <xf numFmtId="0" fontId="0" fillId="0" borderId="29" xfId="0" applyBorder="1" applyAlignment="1"/>
    <xf numFmtId="0" fontId="0" fillId="0" borderId="54" xfId="0" applyBorder="1" applyAlignment="1"/>
    <xf numFmtId="0" fontId="0" fillId="0" borderId="60" xfId="0" applyBorder="1" applyAlignment="1"/>
    <xf numFmtId="0" fontId="0" fillId="0" borderId="1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37" fillId="0" borderId="134" xfId="4" applyFont="1" applyBorder="1" applyAlignment="1">
      <alignment horizontal="left" wrapText="1"/>
    </xf>
    <xf numFmtId="0" fontId="37" fillId="0" borderId="30" xfId="4" applyFont="1" applyBorder="1" applyAlignment="1">
      <alignment horizontal="left" wrapText="1"/>
    </xf>
    <xf numFmtId="0" fontId="36" fillId="7" borderId="94" xfId="4" applyFont="1" applyFill="1" applyBorder="1" applyAlignment="1">
      <alignment horizontal="right"/>
    </xf>
    <xf numFmtId="0" fontId="0" fillId="7" borderId="31" xfId="0" applyFill="1" applyBorder="1" applyAlignment="1">
      <alignment horizontal="right"/>
    </xf>
    <xf numFmtId="0" fontId="0" fillId="7" borderId="127" xfId="0" applyFill="1" applyBorder="1" applyAlignment="1">
      <alignment horizontal="right"/>
    </xf>
    <xf numFmtId="0" fontId="67" fillId="7" borderId="31" xfId="4" applyFont="1" applyFill="1" applyBorder="1" applyAlignment="1"/>
    <xf numFmtId="0" fontId="67" fillId="7" borderId="119" xfId="4" applyFont="1" applyFill="1" applyBorder="1" applyAlignment="1"/>
    <xf numFmtId="0" fontId="68" fillId="0" borderId="90" xfId="4" applyFont="1" applyBorder="1" applyAlignment="1">
      <alignment horizontal="right"/>
    </xf>
    <xf numFmtId="0" fontId="68" fillId="0" borderId="128" xfId="4" applyFont="1" applyBorder="1" applyAlignment="1">
      <alignment horizontal="right"/>
    </xf>
    <xf numFmtId="0" fontId="37" fillId="0" borderId="90" xfId="4" applyFont="1" applyBorder="1" applyAlignment="1">
      <alignment horizontal="left"/>
    </xf>
    <xf numFmtId="0" fontId="67" fillId="0" borderId="130" xfId="4" applyFont="1" applyBorder="1" applyAlignment="1">
      <alignment horizontal="center" wrapText="1"/>
    </xf>
    <xf numFmtId="0" fontId="67" fillId="0" borderId="29" xfId="4" applyFont="1" applyBorder="1" applyAlignment="1">
      <alignment horizontal="center" wrapText="1"/>
    </xf>
    <xf numFmtId="0" fontId="67" fillId="0" borderId="60" xfId="4" applyFont="1" applyBorder="1" applyAlignment="1">
      <alignment horizontal="center" wrapText="1"/>
    </xf>
    <xf numFmtId="0" fontId="67" fillId="0" borderId="16" xfId="4" applyFont="1" applyBorder="1" applyAlignment="1">
      <alignment horizontal="center" wrapText="1"/>
    </xf>
    <xf numFmtId="0" fontId="15" fillId="0" borderId="131" xfId="5" applyFont="1" applyFill="1" applyBorder="1" applyAlignment="1">
      <alignment horizontal="center" vertical="center" wrapText="1"/>
    </xf>
    <xf numFmtId="0" fontId="0" fillId="0" borderId="125" xfId="0" applyBorder="1" applyAlignment="1"/>
    <xf numFmtId="0" fontId="0" fillId="0" borderId="132" xfId="0" applyBorder="1" applyAlignment="1"/>
    <xf numFmtId="0" fontId="67" fillId="0" borderId="29" xfId="4" applyFont="1" applyBorder="1" applyAlignment="1">
      <alignment horizontal="center" vertical="center"/>
    </xf>
    <xf numFmtId="0" fontId="67" fillId="0" borderId="54" xfId="4" applyFont="1" applyBorder="1" applyAlignment="1">
      <alignment horizontal="center" vertical="center"/>
    </xf>
    <xf numFmtId="0" fontId="67" fillId="0" borderId="60" xfId="4" applyFont="1" applyBorder="1" applyAlignment="1">
      <alignment horizontal="center" vertical="center"/>
    </xf>
    <xf numFmtId="0" fontId="67" fillId="0" borderId="16" xfId="4" applyFont="1" applyBorder="1" applyAlignment="1">
      <alignment horizontal="center" vertical="center"/>
    </xf>
    <xf numFmtId="0" fontId="67" fillId="0" borderId="7" xfId="4" applyFont="1" applyBorder="1" applyAlignment="1">
      <alignment horizontal="center" vertical="center"/>
    </xf>
    <xf numFmtId="3" fontId="37" fillId="0" borderId="70" xfId="4" applyNumberFormat="1" applyFont="1" applyBorder="1" applyAlignment="1">
      <alignment horizontal="right"/>
    </xf>
    <xf numFmtId="3" fontId="37" fillId="0" borderId="37" xfId="4" applyNumberFormat="1" applyFont="1" applyBorder="1" applyAlignment="1">
      <alignment horizontal="right"/>
    </xf>
    <xf numFmtId="3" fontId="36" fillId="0" borderId="135" xfId="4" applyNumberFormat="1" applyFont="1" applyBorder="1" applyAlignment="1">
      <alignment horizontal="right" vertical="center"/>
    </xf>
    <xf numFmtId="3" fontId="36" fillId="0" borderId="34" xfId="4" applyNumberFormat="1" applyFont="1" applyBorder="1" applyAlignment="1">
      <alignment horizontal="right" vertical="center"/>
    </xf>
    <xf numFmtId="3" fontId="36" fillId="0" borderId="139" xfId="4" applyNumberFormat="1" applyFont="1" applyBorder="1" applyAlignment="1">
      <alignment horizontal="right" vertical="center"/>
    </xf>
    <xf numFmtId="0" fontId="36" fillId="0" borderId="117" xfId="4" applyFont="1" applyBorder="1" applyAlignment="1">
      <alignment horizontal="right" vertical="center"/>
    </xf>
    <xf numFmtId="0" fontId="92" fillId="0" borderId="63" xfId="4" applyFont="1" applyBorder="1" applyAlignment="1">
      <alignment horizontal="left"/>
    </xf>
    <xf numFmtId="0" fontId="37" fillId="0" borderId="71" xfId="4" applyFont="1" applyBorder="1" applyAlignment="1">
      <alignment horizontal="left"/>
    </xf>
    <xf numFmtId="0" fontId="37" fillId="0" borderId="32" xfId="4" applyFont="1" applyBorder="1" applyAlignment="1">
      <alignment horizontal="left"/>
    </xf>
    <xf numFmtId="0" fontId="30" fillId="0" borderId="83" xfId="4" applyBorder="1" applyAlignment="1">
      <alignment horizontal="left" wrapText="1"/>
    </xf>
    <xf numFmtId="0" fontId="30" fillId="0" borderId="31" xfId="4" applyBorder="1" applyAlignment="1">
      <alignment horizontal="left" wrapText="1"/>
    </xf>
    <xf numFmtId="0" fontId="0" fillId="0" borderId="80" xfId="0" applyBorder="1" applyAlignment="1"/>
    <xf numFmtId="3" fontId="36" fillId="0" borderId="70" xfId="4" applyNumberFormat="1" applyFont="1" applyBorder="1" applyAlignment="1">
      <alignment horizontal="right" vertical="center"/>
    </xf>
    <xf numFmtId="0" fontId="0" fillId="0" borderId="133" xfId="0" applyBorder="1" applyAlignment="1"/>
    <xf numFmtId="0" fontId="0" fillId="0" borderId="23" xfId="0" applyBorder="1" applyAlignment="1"/>
    <xf numFmtId="0" fontId="37" fillId="0" borderId="134" xfId="4" applyFont="1" applyBorder="1" applyAlignment="1">
      <alignment horizontal="left"/>
    </xf>
    <xf numFmtId="0" fontId="92" fillId="0" borderId="67" xfId="4" applyFont="1" applyBorder="1" applyAlignment="1">
      <alignment horizontal="left"/>
    </xf>
    <xf numFmtId="0" fontId="92" fillId="0" borderId="30" xfId="4" applyFont="1" applyBorder="1" applyAlignment="1">
      <alignment horizontal="left"/>
    </xf>
    <xf numFmtId="0" fontId="92" fillId="0" borderId="74" xfId="4" applyFont="1" applyBorder="1" applyAlignment="1">
      <alignment horizontal="left"/>
    </xf>
    <xf numFmtId="0" fontId="92" fillId="0" borderId="32" xfId="4" applyFont="1" applyBorder="1" applyAlignment="1">
      <alignment horizontal="left"/>
    </xf>
    <xf numFmtId="0" fontId="68" fillId="0" borderId="32" xfId="4" applyFont="1" applyBorder="1" applyAlignment="1">
      <alignment horizontal="right"/>
    </xf>
    <xf numFmtId="0" fontId="68" fillId="0" borderId="100" xfId="4" applyFont="1" applyBorder="1" applyAlignment="1">
      <alignment horizontal="right"/>
    </xf>
    <xf numFmtId="0" fontId="15" fillId="0" borderId="136" xfId="5" applyFont="1" applyFill="1" applyBorder="1" applyAlignment="1">
      <alignment horizontal="center" vertical="center" wrapText="1"/>
    </xf>
    <xf numFmtId="0" fontId="0" fillId="0" borderId="129" xfId="0" applyBorder="1" applyAlignment="1"/>
    <xf numFmtId="0" fontId="0" fillId="0" borderId="89" xfId="0" applyBorder="1" applyAlignment="1"/>
    <xf numFmtId="0" fontId="0" fillId="0" borderId="137" xfId="0" applyBorder="1" applyAlignment="1">
      <alignment horizontal="center" vertical="center" wrapText="1"/>
    </xf>
    <xf numFmtId="3" fontId="36" fillId="0" borderId="69" xfId="4" applyNumberFormat="1" applyFont="1" applyBorder="1" applyAlignment="1">
      <alignment horizontal="right" vertical="center"/>
    </xf>
    <xf numFmtId="3" fontId="36" fillId="0" borderId="126" xfId="4" applyNumberFormat="1" applyFont="1" applyBorder="1" applyAlignment="1">
      <alignment horizontal="right" vertical="center"/>
    </xf>
    <xf numFmtId="3" fontId="36" fillId="0" borderId="80" xfId="4" applyNumberFormat="1" applyFont="1" applyBorder="1" applyAlignment="1">
      <alignment horizontal="right" vertical="center"/>
    </xf>
    <xf numFmtId="0" fontId="92" fillId="0" borderId="80" xfId="4" applyFont="1" applyBorder="1" applyAlignment="1">
      <alignment horizontal="left"/>
    </xf>
    <xf numFmtId="0" fontId="92" fillId="0" borderId="16" xfId="4" applyFont="1" applyBorder="1" applyAlignment="1">
      <alignment horizontal="left"/>
    </xf>
    <xf numFmtId="0" fontId="12" fillId="0" borderId="0" xfId="5" applyFont="1" applyFill="1" applyAlignment="1">
      <alignment horizontal="right" vertical="center"/>
    </xf>
    <xf numFmtId="0" fontId="94" fillId="0" borderId="0" xfId="5" applyFont="1" applyAlignment="1">
      <alignment horizontal="right"/>
    </xf>
    <xf numFmtId="0" fontId="94" fillId="0" borderId="0" xfId="0" applyFont="1" applyAlignment="1"/>
    <xf numFmtId="0" fontId="15" fillId="0" borderId="138" xfId="5" applyFont="1" applyFill="1" applyBorder="1" applyAlignment="1">
      <alignment horizontal="center" vertical="center" wrapText="1"/>
    </xf>
    <xf numFmtId="0" fontId="66" fillId="0" borderId="0" xfId="5" applyFont="1" applyFill="1" applyAlignment="1">
      <alignment horizontal="center" vertical="center" wrapText="1"/>
    </xf>
    <xf numFmtId="0" fontId="66" fillId="0" borderId="31" xfId="5" applyFont="1" applyFill="1" applyBorder="1" applyAlignment="1">
      <alignment horizontal="center" vertical="center" wrapText="1"/>
    </xf>
    <xf numFmtId="0" fontId="30" fillId="0" borderId="29" xfId="4" applyBorder="1" applyAlignment="1">
      <alignment horizontal="center" vertical="center"/>
    </xf>
    <xf numFmtId="0" fontId="30" fillId="0" borderId="54" xfId="4" applyBorder="1" applyAlignment="1">
      <alignment horizontal="center" vertical="center"/>
    </xf>
    <xf numFmtId="0" fontId="30" fillId="0" borderId="60" xfId="4" applyBorder="1" applyAlignment="1">
      <alignment horizontal="center" vertical="center"/>
    </xf>
    <xf numFmtId="0" fontId="30" fillId="0" borderId="16" xfId="4" applyBorder="1" applyAlignment="1">
      <alignment horizontal="center" vertical="center"/>
    </xf>
    <xf numFmtId="0" fontId="30" fillId="0" borderId="7" xfId="4" applyBorder="1" applyAlignment="1">
      <alignment horizontal="center" vertical="center"/>
    </xf>
    <xf numFmtId="0" fontId="37" fillId="0" borderId="67" xfId="4" applyFont="1" applyBorder="1" applyAlignment="1">
      <alignment horizontal="left" wrapText="1"/>
    </xf>
    <xf numFmtId="3" fontId="36" fillId="0" borderId="116" xfId="4" applyNumberFormat="1" applyFont="1" applyBorder="1" applyAlignment="1">
      <alignment horizontal="right" vertical="center" wrapText="1"/>
    </xf>
    <xf numFmtId="3" fontId="36" fillId="0" borderId="33" xfId="4" applyNumberFormat="1" applyFont="1" applyBorder="1" applyAlignment="1">
      <alignment horizontal="right" vertical="center" wrapText="1"/>
    </xf>
    <xf numFmtId="3" fontId="36" fillId="0" borderId="117" xfId="4" applyNumberFormat="1" applyFont="1" applyBorder="1" applyAlignment="1">
      <alignment horizontal="right" vertical="center" wrapText="1"/>
    </xf>
    <xf numFmtId="0" fontId="37" fillId="0" borderId="80" xfId="4" applyFont="1" applyBorder="1" applyAlignment="1">
      <alignment horizontal="left" wrapText="1"/>
    </xf>
    <xf numFmtId="0" fontId="37" fillId="0" borderId="63" xfId="4" applyFont="1" applyBorder="1" applyAlignment="1">
      <alignment horizontal="left" vertical="center" wrapText="1"/>
    </xf>
    <xf numFmtId="0" fontId="37" fillId="0" borderId="0" xfId="4" applyFont="1" applyBorder="1" applyAlignment="1">
      <alignment horizontal="left" vertical="center" wrapText="1"/>
    </xf>
    <xf numFmtId="0" fontId="35" fillId="0" borderId="0" xfId="0" applyFont="1" applyAlignment="1">
      <alignment horizontal="center"/>
    </xf>
    <xf numFmtId="0" fontId="30" fillId="8" borderId="42" xfId="0" applyFont="1" applyFill="1" applyBorder="1" applyAlignment="1">
      <alignment horizontal="left" wrapText="1"/>
    </xf>
    <xf numFmtId="0" fontId="30" fillId="8" borderId="11" xfId="0" applyFont="1" applyFill="1" applyBorder="1" applyAlignment="1">
      <alignment horizontal="left" wrapText="1"/>
    </xf>
    <xf numFmtId="0" fontId="30" fillId="8" borderId="12" xfId="0" applyFont="1" applyFill="1" applyBorder="1" applyAlignment="1">
      <alignment horizontal="left" wrapText="1"/>
    </xf>
    <xf numFmtId="0" fontId="13" fillId="0" borderId="0" xfId="0" applyFont="1" applyFill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4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41" xfId="7" applyFont="1" applyBorder="1" applyAlignment="1">
      <alignment horizontal="center" vertical="center" wrapText="1"/>
    </xf>
    <xf numFmtId="0" fontId="24" fillId="0" borderId="17" xfId="7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0" fontId="24" fillId="0" borderId="4" xfId="7" applyFont="1" applyBorder="1" applyAlignment="1">
      <alignment horizontal="center" vertical="center" wrapText="1"/>
    </xf>
    <xf numFmtId="0" fontId="29" fillId="0" borderId="39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/>
    </xf>
    <xf numFmtId="0" fontId="66" fillId="5" borderId="17" xfId="6" applyFont="1" applyFill="1" applyBorder="1" applyAlignment="1">
      <alignment horizontal="left"/>
    </xf>
    <xf numFmtId="0" fontId="66" fillId="5" borderId="9" xfId="6" applyFont="1" applyFill="1" applyBorder="1" applyAlignment="1">
      <alignment horizontal="left"/>
    </xf>
    <xf numFmtId="0" fontId="2" fillId="0" borderId="116" xfId="6" applyFont="1" applyBorder="1" applyAlignment="1">
      <alignment horizontal="center" vertical="center" wrapText="1"/>
    </xf>
    <xf numFmtId="0" fontId="22" fillId="0" borderId="36" xfId="6" applyBorder="1" applyAlignment="1">
      <alignment horizontal="center" vertical="center" wrapText="1"/>
    </xf>
    <xf numFmtId="0" fontId="3" fillId="5" borderId="17" xfId="6" applyFont="1" applyFill="1" applyBorder="1" applyAlignment="1">
      <alignment horizontal="right"/>
    </xf>
    <xf numFmtId="0" fontId="3" fillId="5" borderId="9" xfId="6" applyFont="1" applyFill="1" applyBorder="1" applyAlignment="1">
      <alignment horizontal="right"/>
    </xf>
    <xf numFmtId="0" fontId="2" fillId="0" borderId="10" xfId="6" applyFont="1" applyBorder="1" applyAlignment="1">
      <alignment horizontal="center" vertical="center"/>
    </xf>
    <xf numFmtId="0" fontId="2" fillId="0" borderId="22" xfId="6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0" fontId="2" fillId="0" borderId="0" xfId="6" applyFont="1" applyAlignment="1">
      <alignment horizontal="center" wrapText="1"/>
    </xf>
    <xf numFmtId="0" fontId="2" fillId="0" borderId="0" xfId="6" applyFont="1" applyAlignment="1">
      <alignment horizontal="center"/>
    </xf>
    <xf numFmtId="0" fontId="2" fillId="0" borderId="41" xfId="6" applyFont="1" applyBorder="1" applyAlignment="1">
      <alignment horizontal="center" vertical="center"/>
    </xf>
    <xf numFmtId="0" fontId="2" fillId="0" borderId="114" xfId="6" applyFont="1" applyBorder="1" applyAlignment="1">
      <alignment horizontal="center" vertical="center"/>
    </xf>
    <xf numFmtId="0" fontId="2" fillId="0" borderId="39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39" xfId="6" applyFont="1" applyBorder="1" applyAlignment="1">
      <alignment horizontal="center" vertical="center" wrapText="1"/>
    </xf>
    <xf numFmtId="0" fontId="2" fillId="0" borderId="40" xfId="6" applyFont="1" applyBorder="1" applyAlignment="1">
      <alignment horizontal="center" vertical="center" wrapText="1"/>
    </xf>
    <xf numFmtId="0" fontId="2" fillId="0" borderId="4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</cellXfs>
  <cellStyles count="8">
    <cellStyle name="Ezres 2" xfId="1"/>
    <cellStyle name="Normál" xfId="0" builtinId="0"/>
    <cellStyle name="Normál 2" xfId="2"/>
    <cellStyle name="Normál 3" xfId="3"/>
    <cellStyle name="Normál_Kötelező, önként vállalt, állami feladatok szerinti bontás" xfId="4"/>
    <cellStyle name="Normál_Munka1" xfId="5"/>
    <cellStyle name="Normál_NORM09" xfId="6"/>
    <cellStyle name="Normál_TABLAK_táblák2012előterj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86"/>
  <sheetViews>
    <sheetView zoomScaleNormal="100" workbookViewId="0">
      <selection activeCell="A5" sqref="A5:E5"/>
    </sheetView>
  </sheetViews>
  <sheetFormatPr defaultRowHeight="12.75" x14ac:dyDescent="0.2"/>
  <cols>
    <col min="1" max="1" width="5.140625" customWidth="1"/>
    <col min="4" max="4" width="5.85546875" customWidth="1"/>
    <col min="5" max="5" width="48.42578125" customWidth="1"/>
    <col min="6" max="6" width="14" customWidth="1"/>
    <col min="7" max="7" width="13.5703125" customWidth="1"/>
    <col min="8" max="8" width="15.140625" customWidth="1"/>
    <col min="9" max="9" width="14.5703125" customWidth="1"/>
  </cols>
  <sheetData>
    <row r="1" spans="1:9" x14ac:dyDescent="0.2">
      <c r="A1" s="144"/>
      <c r="B1" s="1"/>
      <c r="C1" s="1"/>
      <c r="D1" s="1"/>
      <c r="E1" s="2"/>
      <c r="F1" s="776" t="s">
        <v>1084</v>
      </c>
      <c r="G1" s="777"/>
      <c r="H1" s="777"/>
      <c r="I1" s="777"/>
    </row>
    <row r="2" spans="1:9" ht="15.75" x14ac:dyDescent="0.2">
      <c r="A2" s="781" t="s">
        <v>919</v>
      </c>
      <c r="B2" s="781"/>
      <c r="C2" s="781"/>
      <c r="D2" s="781"/>
      <c r="E2" s="781"/>
      <c r="F2" s="781"/>
      <c r="G2" s="781"/>
      <c r="H2" s="781"/>
      <c r="I2" s="781"/>
    </row>
    <row r="3" spans="1:9" x14ac:dyDescent="0.2">
      <c r="A3" s="144"/>
      <c r="B3" s="3"/>
      <c r="C3" s="3"/>
      <c r="D3" s="3"/>
      <c r="E3" s="3"/>
      <c r="F3" s="1"/>
      <c r="G3" s="1"/>
      <c r="H3" s="1"/>
      <c r="I3" s="1"/>
    </row>
    <row r="4" spans="1:9" x14ac:dyDescent="0.2">
      <c r="A4" s="144"/>
      <c r="B4" s="1"/>
      <c r="C4" s="1"/>
      <c r="D4" s="1"/>
      <c r="E4" s="1"/>
      <c r="F4" s="1"/>
      <c r="G4" s="1"/>
      <c r="H4" s="1"/>
      <c r="I4" s="2" t="s">
        <v>632</v>
      </c>
    </row>
    <row r="5" spans="1:9" ht="36" x14ac:dyDescent="0.2">
      <c r="A5" s="769" t="s">
        <v>1</v>
      </c>
      <c r="B5" s="770"/>
      <c r="C5" s="770"/>
      <c r="D5" s="770"/>
      <c r="E5" s="771"/>
      <c r="F5" s="131" t="s">
        <v>2</v>
      </c>
      <c r="G5" s="131" t="s">
        <v>3</v>
      </c>
      <c r="H5" s="131" t="s">
        <v>886</v>
      </c>
      <c r="I5" s="131" t="s">
        <v>623</v>
      </c>
    </row>
    <row r="6" spans="1:9" s="636" customFormat="1" ht="15" x14ac:dyDescent="0.2">
      <c r="A6" s="637" t="s">
        <v>710</v>
      </c>
      <c r="B6" s="778" t="s">
        <v>711</v>
      </c>
      <c r="C6" s="779"/>
      <c r="D6" s="779"/>
      <c r="E6" s="780"/>
      <c r="F6" s="638" t="s">
        <v>712</v>
      </c>
      <c r="G6" s="638" t="s">
        <v>713</v>
      </c>
      <c r="H6" s="638" t="s">
        <v>714</v>
      </c>
      <c r="I6" s="638" t="s">
        <v>715</v>
      </c>
    </row>
    <row r="7" spans="1:9" s="308" customFormat="1" x14ac:dyDescent="0.2">
      <c r="A7" s="306" t="s">
        <v>401</v>
      </c>
      <c r="B7" s="772" t="s">
        <v>402</v>
      </c>
      <c r="C7" s="772"/>
      <c r="D7" s="772"/>
      <c r="E7" s="772"/>
      <c r="F7" s="307">
        <f>SUM(F8+F15+F16+F17+F28+F29)</f>
        <v>679419</v>
      </c>
      <c r="G7" s="307">
        <f>SUM(G8+G15+G16+G17+G28+G29)</f>
        <v>0</v>
      </c>
      <c r="H7" s="307">
        <f>SUM(H8+H15+H16+H17+H28+H29)</f>
        <v>0</v>
      </c>
      <c r="I7" s="307">
        <f>SUM(F7:H7)</f>
        <v>679419</v>
      </c>
    </row>
    <row r="8" spans="1:9" x14ac:dyDescent="0.2">
      <c r="A8" s="282"/>
      <c r="B8" s="282" t="s">
        <v>403</v>
      </c>
      <c r="C8" s="773" t="s">
        <v>404</v>
      </c>
      <c r="D8" s="773"/>
      <c r="E8" s="773"/>
      <c r="F8" s="283">
        <f>SUM(F9:F14)</f>
        <v>526906</v>
      </c>
      <c r="G8" s="283">
        <f>SUM(G9:G14)</f>
        <v>0</v>
      </c>
      <c r="H8" s="283">
        <f>SUM(H9:H14)</f>
        <v>0</v>
      </c>
      <c r="I8" s="305">
        <f t="shared" ref="I8:I71" si="0">SUM(F8:H8)</f>
        <v>526906</v>
      </c>
    </row>
    <row r="9" spans="1:9" x14ac:dyDescent="0.2">
      <c r="A9" s="289"/>
      <c r="B9" s="289"/>
      <c r="C9" s="289" t="s">
        <v>405</v>
      </c>
      <c r="D9" s="289"/>
      <c r="E9" s="289" t="s">
        <v>853</v>
      </c>
      <c r="F9" s="290">
        <v>203895</v>
      </c>
      <c r="G9" s="290">
        <v>0</v>
      </c>
      <c r="H9" s="290">
        <v>0</v>
      </c>
      <c r="I9" s="303">
        <f t="shared" si="0"/>
        <v>203895</v>
      </c>
    </row>
    <row r="10" spans="1:9" x14ac:dyDescent="0.2">
      <c r="A10" s="289"/>
      <c r="B10" s="309"/>
      <c r="C10" s="289" t="s">
        <v>406</v>
      </c>
      <c r="D10" s="289"/>
      <c r="E10" s="289" t="s">
        <v>407</v>
      </c>
      <c r="F10" s="290">
        <v>130224</v>
      </c>
      <c r="G10" s="290">
        <v>0</v>
      </c>
      <c r="H10" s="290">
        <v>0</v>
      </c>
      <c r="I10" s="303">
        <f t="shared" si="0"/>
        <v>130224</v>
      </c>
    </row>
    <row r="11" spans="1:9" x14ac:dyDescent="0.2">
      <c r="A11" s="289"/>
      <c r="B11" s="289"/>
      <c r="C11" s="289" t="s">
        <v>408</v>
      </c>
      <c r="D11" s="289"/>
      <c r="E11" s="289" t="s">
        <v>1011</v>
      </c>
      <c r="F11" s="290">
        <f>180567+1721</f>
        <v>182288</v>
      </c>
      <c r="G11" s="290">
        <v>0</v>
      </c>
      <c r="H11" s="290">
        <v>0</v>
      </c>
      <c r="I11" s="303">
        <f t="shared" si="0"/>
        <v>182288</v>
      </c>
    </row>
    <row r="12" spans="1:9" x14ac:dyDescent="0.2">
      <c r="A12" s="289"/>
      <c r="B12" s="289"/>
      <c r="C12" s="289" t="s">
        <v>409</v>
      </c>
      <c r="D12" s="289"/>
      <c r="E12" s="289" t="s">
        <v>410</v>
      </c>
      <c r="F12" s="290">
        <v>10499</v>
      </c>
      <c r="G12" s="290">
        <v>0</v>
      </c>
      <c r="H12" s="290">
        <v>0</v>
      </c>
      <c r="I12" s="303">
        <f t="shared" si="0"/>
        <v>10499</v>
      </c>
    </row>
    <row r="13" spans="1:9" x14ac:dyDescent="0.2">
      <c r="A13" s="289"/>
      <c r="B13" s="289"/>
      <c r="C13" s="289" t="s">
        <v>411</v>
      </c>
      <c r="D13" s="289"/>
      <c r="E13" s="289" t="s">
        <v>1012</v>
      </c>
      <c r="F13" s="290">
        <v>0</v>
      </c>
      <c r="G13" s="290">
        <v>0</v>
      </c>
      <c r="H13" s="290">
        <v>0</v>
      </c>
      <c r="I13" s="303">
        <f t="shared" si="0"/>
        <v>0</v>
      </c>
    </row>
    <row r="14" spans="1:9" x14ac:dyDescent="0.2">
      <c r="A14" s="294"/>
      <c r="B14" s="294"/>
      <c r="C14" s="289" t="s">
        <v>412</v>
      </c>
      <c r="D14" s="294"/>
      <c r="E14" s="289" t="s">
        <v>1013</v>
      </c>
      <c r="F14" s="290">
        <v>0</v>
      </c>
      <c r="G14" s="290">
        <v>0</v>
      </c>
      <c r="H14" s="290">
        <v>0</v>
      </c>
      <c r="I14" s="303">
        <f t="shared" si="0"/>
        <v>0</v>
      </c>
    </row>
    <row r="15" spans="1:9" x14ac:dyDescent="0.2">
      <c r="A15" s="282"/>
      <c r="B15" s="282" t="s">
        <v>413</v>
      </c>
      <c r="C15" s="773" t="s">
        <v>414</v>
      </c>
      <c r="D15" s="773"/>
      <c r="E15" s="773"/>
      <c r="F15" s="283">
        <v>0</v>
      </c>
      <c r="G15" s="283">
        <v>0</v>
      </c>
      <c r="H15" s="283">
        <v>0</v>
      </c>
      <c r="I15" s="305">
        <f t="shared" si="0"/>
        <v>0</v>
      </c>
    </row>
    <row r="16" spans="1:9" x14ac:dyDescent="0.2">
      <c r="A16" s="282"/>
      <c r="B16" s="282" t="s">
        <v>415</v>
      </c>
      <c r="C16" s="773" t="s">
        <v>416</v>
      </c>
      <c r="D16" s="773"/>
      <c r="E16" s="773"/>
      <c r="F16" s="283">
        <v>0</v>
      </c>
      <c r="G16" s="283">
        <v>0</v>
      </c>
      <c r="H16" s="283">
        <v>0</v>
      </c>
      <c r="I16" s="305">
        <f>SUM(F16:H16)</f>
        <v>0</v>
      </c>
    </row>
    <row r="17" spans="1:9" x14ac:dyDescent="0.2">
      <c r="A17" s="282"/>
      <c r="B17" s="282" t="s">
        <v>417</v>
      </c>
      <c r="C17" s="773" t="s">
        <v>418</v>
      </c>
      <c r="D17" s="773"/>
      <c r="E17" s="773"/>
      <c r="F17" s="283">
        <f>SUM(F18:F27)</f>
        <v>842</v>
      </c>
      <c r="G17" s="283">
        <f>SUM(G18:G27)</f>
        <v>0</v>
      </c>
      <c r="H17" s="283">
        <f>SUM(H18:H27)</f>
        <v>0</v>
      </c>
      <c r="I17" s="305">
        <f t="shared" si="0"/>
        <v>842</v>
      </c>
    </row>
    <row r="18" spans="1:9" x14ac:dyDescent="0.2">
      <c r="A18" s="292"/>
      <c r="B18" s="292"/>
      <c r="C18" s="291" t="s">
        <v>21</v>
      </c>
      <c r="D18" s="291" t="s">
        <v>308</v>
      </c>
      <c r="E18" s="291" t="s">
        <v>309</v>
      </c>
      <c r="F18" s="293">
        <v>0</v>
      </c>
      <c r="G18" s="293">
        <v>0</v>
      </c>
      <c r="H18" s="293">
        <v>0</v>
      </c>
      <c r="I18" s="295">
        <f t="shared" si="0"/>
        <v>0</v>
      </c>
    </row>
    <row r="19" spans="1:9" x14ac:dyDescent="0.2">
      <c r="A19" s="292"/>
      <c r="B19" s="292"/>
      <c r="C19" s="291"/>
      <c r="D19" s="291" t="s">
        <v>310</v>
      </c>
      <c r="E19" s="291" t="s">
        <v>311</v>
      </c>
      <c r="F19" s="293">
        <v>0</v>
      </c>
      <c r="G19" s="293">
        <v>0</v>
      </c>
      <c r="H19" s="293">
        <v>0</v>
      </c>
      <c r="I19" s="295">
        <f t="shared" si="0"/>
        <v>0</v>
      </c>
    </row>
    <row r="20" spans="1:9" x14ac:dyDescent="0.2">
      <c r="A20" s="292"/>
      <c r="B20" s="292"/>
      <c r="C20" s="291"/>
      <c r="D20" s="291" t="s">
        <v>312</v>
      </c>
      <c r="E20" s="291" t="s">
        <v>419</v>
      </c>
      <c r="F20" s="293">
        <v>0</v>
      </c>
      <c r="G20" s="293">
        <v>0</v>
      </c>
      <c r="H20" s="293">
        <v>0</v>
      </c>
      <c r="I20" s="295">
        <f t="shared" si="0"/>
        <v>0</v>
      </c>
    </row>
    <row r="21" spans="1:9" x14ac:dyDescent="0.2">
      <c r="A21" s="292"/>
      <c r="B21" s="292"/>
      <c r="C21" s="291"/>
      <c r="D21" s="291" t="s">
        <v>314</v>
      </c>
      <c r="E21" s="291" t="s">
        <v>315</v>
      </c>
      <c r="F21" s="293">
        <v>0</v>
      </c>
      <c r="G21" s="293">
        <v>0</v>
      </c>
      <c r="H21" s="293">
        <v>0</v>
      </c>
      <c r="I21" s="295">
        <f t="shared" si="0"/>
        <v>0</v>
      </c>
    </row>
    <row r="22" spans="1:9" x14ac:dyDescent="0.2">
      <c r="A22" s="292"/>
      <c r="B22" s="292"/>
      <c r="C22" s="291"/>
      <c r="D22" s="291" t="s">
        <v>316</v>
      </c>
      <c r="E22" s="291" t="s">
        <v>317</v>
      </c>
      <c r="F22" s="293">
        <v>0</v>
      </c>
      <c r="G22" s="293">
        <v>0</v>
      </c>
      <c r="H22" s="293">
        <v>0</v>
      </c>
      <c r="I22" s="295">
        <f t="shared" si="0"/>
        <v>0</v>
      </c>
    </row>
    <row r="23" spans="1:9" x14ac:dyDescent="0.2">
      <c r="A23" s="292"/>
      <c r="B23" s="292"/>
      <c r="C23" s="291"/>
      <c r="D23" s="291" t="s">
        <v>318</v>
      </c>
      <c r="E23" s="291" t="s">
        <v>319</v>
      </c>
      <c r="F23" s="293">
        <v>0</v>
      </c>
      <c r="G23" s="293">
        <v>0</v>
      </c>
      <c r="H23" s="293">
        <v>0</v>
      </c>
      <c r="I23" s="295">
        <f t="shared" si="0"/>
        <v>0</v>
      </c>
    </row>
    <row r="24" spans="1:9" x14ac:dyDescent="0.2">
      <c r="A24" s="292"/>
      <c r="B24" s="292"/>
      <c r="C24" s="291"/>
      <c r="D24" s="291" t="s">
        <v>320</v>
      </c>
      <c r="E24" s="291" t="s">
        <v>321</v>
      </c>
      <c r="F24" s="293">
        <v>0</v>
      </c>
      <c r="G24" s="293">
        <v>0</v>
      </c>
      <c r="H24" s="293">
        <v>0</v>
      </c>
      <c r="I24" s="295">
        <f t="shared" si="0"/>
        <v>0</v>
      </c>
    </row>
    <row r="25" spans="1:9" x14ac:dyDescent="0.2">
      <c r="A25" s="292"/>
      <c r="B25" s="292"/>
      <c r="C25" s="291"/>
      <c r="D25" s="291" t="s">
        <v>322</v>
      </c>
      <c r="E25" s="291" t="s">
        <v>323</v>
      </c>
      <c r="F25" s="293">
        <v>842</v>
      </c>
      <c r="G25" s="293">
        <v>0</v>
      </c>
      <c r="H25" s="293">
        <v>0</v>
      </c>
      <c r="I25" s="295">
        <f t="shared" si="0"/>
        <v>842</v>
      </c>
    </row>
    <row r="26" spans="1:9" x14ac:dyDescent="0.2">
      <c r="A26" s="292"/>
      <c r="B26" s="292"/>
      <c r="C26" s="291"/>
      <c r="D26" s="291" t="s">
        <v>324</v>
      </c>
      <c r="E26" s="291" t="s">
        <v>325</v>
      </c>
      <c r="F26" s="293">
        <v>0</v>
      </c>
      <c r="G26" s="293">
        <v>0</v>
      </c>
      <c r="H26" s="293">
        <v>0</v>
      </c>
      <c r="I26" s="295">
        <f t="shared" si="0"/>
        <v>0</v>
      </c>
    </row>
    <row r="27" spans="1:9" x14ac:dyDescent="0.2">
      <c r="A27" s="292"/>
      <c r="B27" s="292"/>
      <c r="C27" s="291"/>
      <c r="D27" s="291" t="s">
        <v>326</v>
      </c>
      <c r="E27" s="291" t="s">
        <v>327</v>
      </c>
      <c r="F27" s="293">
        <v>0</v>
      </c>
      <c r="G27" s="293">
        <v>0</v>
      </c>
      <c r="H27" s="293">
        <v>0</v>
      </c>
      <c r="I27" s="295">
        <f t="shared" si="0"/>
        <v>0</v>
      </c>
    </row>
    <row r="28" spans="1:9" x14ac:dyDescent="0.2">
      <c r="A28" s="282"/>
      <c r="B28" s="282" t="s">
        <v>420</v>
      </c>
      <c r="C28" s="773" t="s">
        <v>421</v>
      </c>
      <c r="D28" s="773"/>
      <c r="E28" s="773"/>
      <c r="F28" s="283">
        <v>0</v>
      </c>
      <c r="G28" s="283">
        <v>0</v>
      </c>
      <c r="H28" s="283">
        <v>0</v>
      </c>
      <c r="I28" s="305">
        <f t="shared" si="0"/>
        <v>0</v>
      </c>
    </row>
    <row r="29" spans="1:9" x14ac:dyDescent="0.2">
      <c r="A29" s="282"/>
      <c r="B29" s="282" t="s">
        <v>422</v>
      </c>
      <c r="C29" s="773" t="s">
        <v>423</v>
      </c>
      <c r="D29" s="773"/>
      <c r="E29" s="773"/>
      <c r="F29" s="283">
        <f>SUM(F30:F39)</f>
        <v>151671</v>
      </c>
      <c r="G29" s="283">
        <f>SUM(G30:G39)</f>
        <v>0</v>
      </c>
      <c r="H29" s="283">
        <f>SUM(H30:H39)</f>
        <v>0</v>
      </c>
      <c r="I29" s="305">
        <f t="shared" si="0"/>
        <v>151671</v>
      </c>
    </row>
    <row r="30" spans="1:9" x14ac:dyDescent="0.2">
      <c r="A30" s="292"/>
      <c r="B30" s="292"/>
      <c r="C30" s="291" t="s">
        <v>21</v>
      </c>
      <c r="D30" s="291" t="s">
        <v>308</v>
      </c>
      <c r="E30" s="291" t="s">
        <v>309</v>
      </c>
      <c r="F30" s="293">
        <v>0</v>
      </c>
      <c r="G30" s="293">
        <v>0</v>
      </c>
      <c r="H30" s="293">
        <v>0</v>
      </c>
      <c r="I30" s="295">
        <f t="shared" si="0"/>
        <v>0</v>
      </c>
    </row>
    <row r="31" spans="1:9" x14ac:dyDescent="0.2">
      <c r="A31" s="292"/>
      <c r="B31" s="292"/>
      <c r="C31" s="291"/>
      <c r="D31" s="291" t="s">
        <v>310</v>
      </c>
      <c r="E31" s="291" t="s">
        <v>311</v>
      </c>
      <c r="F31" s="293">
        <v>0</v>
      </c>
      <c r="G31" s="293">
        <v>0</v>
      </c>
      <c r="H31" s="293">
        <v>0</v>
      </c>
      <c r="I31" s="295">
        <f t="shared" si="0"/>
        <v>0</v>
      </c>
    </row>
    <row r="32" spans="1:9" x14ac:dyDescent="0.2">
      <c r="A32" s="296"/>
      <c r="B32" s="296"/>
      <c r="C32" s="297"/>
      <c r="D32" s="297" t="s">
        <v>312</v>
      </c>
      <c r="E32" s="297" t="s">
        <v>419</v>
      </c>
      <c r="F32" s="293">
        <v>15388</v>
      </c>
      <c r="G32" s="293">
        <v>0</v>
      </c>
      <c r="H32" s="293"/>
      <c r="I32" s="295">
        <f t="shared" si="0"/>
        <v>15388</v>
      </c>
    </row>
    <row r="33" spans="1:9" x14ac:dyDescent="0.2">
      <c r="A33" s="292"/>
      <c r="B33" s="292"/>
      <c r="C33" s="291"/>
      <c r="D33" s="291" t="s">
        <v>314</v>
      </c>
      <c r="E33" s="291" t="s">
        <v>315</v>
      </c>
      <c r="F33" s="293">
        <v>49418</v>
      </c>
      <c r="G33" s="293">
        <v>0</v>
      </c>
      <c r="H33" s="293">
        <v>0</v>
      </c>
      <c r="I33" s="295">
        <f t="shared" si="0"/>
        <v>49418</v>
      </c>
    </row>
    <row r="34" spans="1:9" x14ac:dyDescent="0.2">
      <c r="A34" s="292"/>
      <c r="B34" s="292"/>
      <c r="C34" s="291"/>
      <c r="D34" s="291" t="s">
        <v>316</v>
      </c>
      <c r="E34" s="291" t="s">
        <v>317</v>
      </c>
      <c r="F34" s="293">
        <f>39922-5429</f>
        <v>34493</v>
      </c>
      <c r="G34" s="293">
        <v>0</v>
      </c>
      <c r="H34" s="293">
        <v>0</v>
      </c>
      <c r="I34" s="295">
        <f t="shared" si="0"/>
        <v>34493</v>
      </c>
    </row>
    <row r="35" spans="1:9" x14ac:dyDescent="0.2">
      <c r="A35" s="292"/>
      <c r="B35" s="292"/>
      <c r="C35" s="291"/>
      <c r="D35" s="291" t="s">
        <v>318</v>
      </c>
      <c r="E35" s="291" t="s">
        <v>319</v>
      </c>
      <c r="F35" s="293">
        <f>49412+96734-96734</f>
        <v>49412</v>
      </c>
      <c r="G35" s="293">
        <v>0</v>
      </c>
      <c r="H35" s="293">
        <v>0</v>
      </c>
      <c r="I35" s="295">
        <f t="shared" si="0"/>
        <v>49412</v>
      </c>
    </row>
    <row r="36" spans="1:9" x14ac:dyDescent="0.2">
      <c r="A36" s="292"/>
      <c r="B36" s="292"/>
      <c r="C36" s="291"/>
      <c r="D36" s="291" t="s">
        <v>320</v>
      </c>
      <c r="E36" s="291" t="s">
        <v>321</v>
      </c>
      <c r="F36" s="293">
        <v>2960</v>
      </c>
      <c r="G36" s="293">
        <v>0</v>
      </c>
      <c r="H36" s="293">
        <v>0</v>
      </c>
      <c r="I36" s="295">
        <f t="shared" si="0"/>
        <v>2960</v>
      </c>
    </row>
    <row r="37" spans="1:9" x14ac:dyDescent="0.2">
      <c r="A37" s="292"/>
      <c r="B37" s="292"/>
      <c r="C37" s="291"/>
      <c r="D37" s="291" t="s">
        <v>322</v>
      </c>
      <c r="E37" s="291" t="s">
        <v>323</v>
      </c>
      <c r="F37" s="293">
        <v>0</v>
      </c>
      <c r="G37" s="293">
        <v>0</v>
      </c>
      <c r="H37" s="293">
        <v>0</v>
      </c>
      <c r="I37" s="295">
        <f t="shared" si="0"/>
        <v>0</v>
      </c>
    </row>
    <row r="38" spans="1:9" x14ac:dyDescent="0.2">
      <c r="A38" s="292"/>
      <c r="B38" s="292"/>
      <c r="C38" s="291"/>
      <c r="D38" s="291" t="s">
        <v>324</v>
      </c>
      <c r="E38" s="291" t="s">
        <v>325</v>
      </c>
      <c r="F38" s="293">
        <v>0</v>
      </c>
      <c r="G38" s="293">
        <v>0</v>
      </c>
      <c r="H38" s="293">
        <v>0</v>
      </c>
      <c r="I38" s="295">
        <f t="shared" si="0"/>
        <v>0</v>
      </c>
    </row>
    <row r="39" spans="1:9" x14ac:dyDescent="0.2">
      <c r="A39" s="292"/>
      <c r="B39" s="292"/>
      <c r="C39" s="291"/>
      <c r="D39" s="291" t="s">
        <v>326</v>
      </c>
      <c r="E39" s="291" t="s">
        <v>327</v>
      </c>
      <c r="F39" s="293">
        <v>0</v>
      </c>
      <c r="G39" s="293">
        <v>0</v>
      </c>
      <c r="H39" s="293">
        <v>0</v>
      </c>
      <c r="I39" s="295">
        <f t="shared" si="0"/>
        <v>0</v>
      </c>
    </row>
    <row r="40" spans="1:9" s="308" customFormat="1" x14ac:dyDescent="0.2">
      <c r="A40" s="306" t="s">
        <v>424</v>
      </c>
      <c r="B40" s="772" t="s">
        <v>425</v>
      </c>
      <c r="C40" s="772"/>
      <c r="D40" s="772"/>
      <c r="E40" s="772"/>
      <c r="F40" s="307">
        <f>SUM(F41:F45)</f>
        <v>1024611</v>
      </c>
      <c r="G40" s="307">
        <f>SUM(G41:G45)</f>
        <v>0</v>
      </c>
      <c r="H40" s="307">
        <f>SUM(H41:H45)</f>
        <v>0</v>
      </c>
      <c r="I40" s="307">
        <f t="shared" si="0"/>
        <v>1024611</v>
      </c>
    </row>
    <row r="41" spans="1:9" x14ac:dyDescent="0.2">
      <c r="A41" s="282"/>
      <c r="B41" s="282" t="s">
        <v>426</v>
      </c>
      <c r="C41" s="773" t="s">
        <v>427</v>
      </c>
      <c r="D41" s="773"/>
      <c r="E41" s="773"/>
      <c r="F41" s="283">
        <v>0</v>
      </c>
      <c r="G41" s="283">
        <v>0</v>
      </c>
      <c r="H41" s="283">
        <v>0</v>
      </c>
      <c r="I41" s="305">
        <f t="shared" si="0"/>
        <v>0</v>
      </c>
    </row>
    <row r="42" spans="1:9" x14ac:dyDescent="0.2">
      <c r="A42" s="282"/>
      <c r="B42" s="282" t="s">
        <v>428</v>
      </c>
      <c r="C42" s="773" t="s">
        <v>429</v>
      </c>
      <c r="D42" s="773"/>
      <c r="E42" s="773"/>
      <c r="F42" s="283">
        <v>0</v>
      </c>
      <c r="G42" s="283">
        <v>0</v>
      </c>
      <c r="H42" s="283">
        <v>0</v>
      </c>
      <c r="I42" s="305">
        <f t="shared" si="0"/>
        <v>0</v>
      </c>
    </row>
    <row r="43" spans="1:9" x14ac:dyDescent="0.2">
      <c r="A43" s="282"/>
      <c r="B43" s="282" t="s">
        <v>430</v>
      </c>
      <c r="C43" s="773" t="s">
        <v>431</v>
      </c>
      <c r="D43" s="773"/>
      <c r="E43" s="773"/>
      <c r="F43" s="283">
        <v>0</v>
      </c>
      <c r="G43" s="283">
        <v>0</v>
      </c>
      <c r="H43" s="283">
        <v>0</v>
      </c>
      <c r="I43" s="305">
        <f t="shared" si="0"/>
        <v>0</v>
      </c>
    </row>
    <row r="44" spans="1:9" x14ac:dyDescent="0.2">
      <c r="A44" s="282"/>
      <c r="B44" s="282" t="s">
        <v>432</v>
      </c>
      <c r="C44" s="773" t="s">
        <v>433</v>
      </c>
      <c r="D44" s="773"/>
      <c r="E44" s="773"/>
      <c r="F44" s="283">
        <v>0</v>
      </c>
      <c r="G44" s="283">
        <v>0</v>
      </c>
      <c r="H44" s="283">
        <v>0</v>
      </c>
      <c r="I44" s="305">
        <f t="shared" si="0"/>
        <v>0</v>
      </c>
    </row>
    <row r="45" spans="1:9" x14ac:dyDescent="0.2">
      <c r="A45" s="282"/>
      <c r="B45" s="282" t="s">
        <v>434</v>
      </c>
      <c r="C45" s="773" t="s">
        <v>435</v>
      </c>
      <c r="D45" s="773"/>
      <c r="E45" s="773"/>
      <c r="F45" s="283">
        <f>SUM(F46:F55)</f>
        <v>1024611</v>
      </c>
      <c r="G45" s="283">
        <f>SUM(G46:G55)</f>
        <v>0</v>
      </c>
      <c r="H45" s="283">
        <f>SUM(H46:H55)</f>
        <v>0</v>
      </c>
      <c r="I45" s="305">
        <f t="shared" si="0"/>
        <v>1024611</v>
      </c>
    </row>
    <row r="46" spans="1:9" x14ac:dyDescent="0.2">
      <c r="A46" s="292"/>
      <c r="B46" s="292"/>
      <c r="C46" s="291" t="s">
        <v>21</v>
      </c>
      <c r="D46" s="291" t="s">
        <v>308</v>
      </c>
      <c r="E46" s="291" t="s">
        <v>309</v>
      </c>
      <c r="F46" s="293">
        <v>0</v>
      </c>
      <c r="G46" s="293">
        <v>0</v>
      </c>
      <c r="H46" s="293">
        <v>0</v>
      </c>
      <c r="I46" s="295">
        <f t="shared" si="0"/>
        <v>0</v>
      </c>
    </row>
    <row r="47" spans="1:9" x14ac:dyDescent="0.2">
      <c r="A47" s="292"/>
      <c r="B47" s="292"/>
      <c r="C47" s="291"/>
      <c r="D47" s="291" t="s">
        <v>310</v>
      </c>
      <c r="E47" s="291" t="s">
        <v>311</v>
      </c>
      <c r="F47" s="293">
        <v>0</v>
      </c>
      <c r="G47" s="293">
        <v>0</v>
      </c>
      <c r="H47" s="293">
        <v>0</v>
      </c>
      <c r="I47" s="295">
        <f t="shared" si="0"/>
        <v>0</v>
      </c>
    </row>
    <row r="48" spans="1:9" x14ac:dyDescent="0.2">
      <c r="A48" s="296"/>
      <c r="B48" s="296"/>
      <c r="C48" s="297"/>
      <c r="D48" s="297" t="s">
        <v>312</v>
      </c>
      <c r="E48" s="297" t="s">
        <v>419</v>
      </c>
      <c r="F48" s="293">
        <v>958761</v>
      </c>
      <c r="G48" s="293">
        <v>0</v>
      </c>
      <c r="H48" s="293">
        <v>0</v>
      </c>
      <c r="I48" s="295">
        <f t="shared" si="0"/>
        <v>958761</v>
      </c>
    </row>
    <row r="49" spans="1:9" x14ac:dyDescent="0.2">
      <c r="A49" s="292"/>
      <c r="B49" s="292"/>
      <c r="C49" s="291"/>
      <c r="D49" s="291" t="s">
        <v>314</v>
      </c>
      <c r="E49" s="291" t="s">
        <v>315</v>
      </c>
      <c r="F49" s="293">
        <v>65850</v>
      </c>
      <c r="G49" s="293">
        <v>0</v>
      </c>
      <c r="H49" s="293">
        <v>0</v>
      </c>
      <c r="I49" s="295">
        <f t="shared" si="0"/>
        <v>65850</v>
      </c>
    </row>
    <row r="50" spans="1:9" x14ac:dyDescent="0.2">
      <c r="A50" s="292"/>
      <c r="B50" s="292"/>
      <c r="C50" s="291"/>
      <c r="D50" s="291" t="s">
        <v>316</v>
      </c>
      <c r="E50" s="291" t="s">
        <v>317</v>
      </c>
      <c r="F50" s="293">
        <v>0</v>
      </c>
      <c r="G50" s="293">
        <v>0</v>
      </c>
      <c r="H50" s="293">
        <v>0</v>
      </c>
      <c r="I50" s="295">
        <f t="shared" si="0"/>
        <v>0</v>
      </c>
    </row>
    <row r="51" spans="1:9" x14ac:dyDescent="0.2">
      <c r="A51" s="292"/>
      <c r="B51" s="292"/>
      <c r="C51" s="291"/>
      <c r="D51" s="291" t="s">
        <v>318</v>
      </c>
      <c r="E51" s="291" t="s">
        <v>319</v>
      </c>
      <c r="F51" s="293">
        <f>8223-8223</f>
        <v>0</v>
      </c>
      <c r="G51" s="293">
        <v>0</v>
      </c>
      <c r="H51" s="293">
        <v>0</v>
      </c>
      <c r="I51" s="295">
        <f t="shared" si="0"/>
        <v>0</v>
      </c>
    </row>
    <row r="52" spans="1:9" x14ac:dyDescent="0.2">
      <c r="A52" s="292"/>
      <c r="B52" s="292"/>
      <c r="C52" s="291"/>
      <c r="D52" s="291" t="s">
        <v>320</v>
      </c>
      <c r="E52" s="291" t="s">
        <v>321</v>
      </c>
      <c r="F52" s="293">
        <v>0</v>
      </c>
      <c r="G52" s="293">
        <v>0</v>
      </c>
      <c r="H52" s="293">
        <v>0</v>
      </c>
      <c r="I52" s="295">
        <f t="shared" si="0"/>
        <v>0</v>
      </c>
    </row>
    <row r="53" spans="1:9" x14ac:dyDescent="0.2">
      <c r="A53" s="292"/>
      <c r="B53" s="292"/>
      <c r="C53" s="291"/>
      <c r="D53" s="291" t="s">
        <v>322</v>
      </c>
      <c r="E53" s="291" t="s">
        <v>323</v>
      </c>
      <c r="F53" s="293">
        <v>0</v>
      </c>
      <c r="G53" s="293">
        <v>0</v>
      </c>
      <c r="H53" s="293">
        <v>0</v>
      </c>
      <c r="I53" s="295">
        <f t="shared" si="0"/>
        <v>0</v>
      </c>
    </row>
    <row r="54" spans="1:9" x14ac:dyDescent="0.2">
      <c r="A54" s="292"/>
      <c r="B54" s="292"/>
      <c r="C54" s="291"/>
      <c r="D54" s="291" t="s">
        <v>324</v>
      </c>
      <c r="E54" s="291" t="s">
        <v>325</v>
      </c>
      <c r="F54" s="293">
        <v>0</v>
      </c>
      <c r="G54" s="293">
        <v>0</v>
      </c>
      <c r="H54" s="293">
        <v>0</v>
      </c>
      <c r="I54" s="295">
        <f t="shared" si="0"/>
        <v>0</v>
      </c>
    </row>
    <row r="55" spans="1:9" x14ac:dyDescent="0.2">
      <c r="A55" s="292"/>
      <c r="B55" s="292"/>
      <c r="C55" s="291"/>
      <c r="D55" s="291" t="s">
        <v>326</v>
      </c>
      <c r="E55" s="291" t="s">
        <v>327</v>
      </c>
      <c r="F55" s="293">
        <v>0</v>
      </c>
      <c r="G55" s="293">
        <v>0</v>
      </c>
      <c r="H55" s="293">
        <v>0</v>
      </c>
      <c r="I55" s="295">
        <f t="shared" si="0"/>
        <v>0</v>
      </c>
    </row>
    <row r="56" spans="1:9" s="308" customFormat="1" x14ac:dyDescent="0.2">
      <c r="A56" s="306" t="s">
        <v>436</v>
      </c>
      <c r="B56" s="772" t="s">
        <v>437</v>
      </c>
      <c r="C56" s="772"/>
      <c r="D56" s="772"/>
      <c r="E56" s="772"/>
      <c r="F56" s="307">
        <f>SUM(F57+F58+F59+F60+F63+F74)</f>
        <v>170870</v>
      </c>
      <c r="G56" s="307">
        <f>SUM(G57+G58+G59+G60+G63+G74)</f>
        <v>100</v>
      </c>
      <c r="H56" s="307">
        <f>SUM(H57+H58+H59+H60+H63+H74)</f>
        <v>0</v>
      </c>
      <c r="I56" s="307">
        <f t="shared" si="0"/>
        <v>170970</v>
      </c>
    </row>
    <row r="57" spans="1:9" x14ac:dyDescent="0.2">
      <c r="A57" s="282"/>
      <c r="B57" s="282" t="s">
        <v>438</v>
      </c>
      <c r="C57" s="773" t="s">
        <v>439</v>
      </c>
      <c r="D57" s="773"/>
      <c r="E57" s="773"/>
      <c r="F57" s="283">
        <v>0</v>
      </c>
      <c r="G57" s="283">
        <v>0</v>
      </c>
      <c r="H57" s="283">
        <v>0</v>
      </c>
      <c r="I57" s="305">
        <f t="shared" si="0"/>
        <v>0</v>
      </c>
    </row>
    <row r="58" spans="1:9" x14ac:dyDescent="0.2">
      <c r="A58" s="282"/>
      <c r="B58" s="282" t="s">
        <v>440</v>
      </c>
      <c r="C58" s="773" t="s">
        <v>441</v>
      </c>
      <c r="D58" s="773"/>
      <c r="E58" s="773"/>
      <c r="F58" s="283">
        <v>0</v>
      </c>
      <c r="G58" s="283">
        <v>0</v>
      </c>
      <c r="H58" s="283">
        <v>0</v>
      </c>
      <c r="I58" s="305">
        <f t="shared" si="0"/>
        <v>0</v>
      </c>
    </row>
    <row r="59" spans="1:9" x14ac:dyDescent="0.2">
      <c r="A59" s="282"/>
      <c r="B59" s="282" t="s">
        <v>442</v>
      </c>
      <c r="C59" s="773" t="s">
        <v>443</v>
      </c>
      <c r="D59" s="773"/>
      <c r="E59" s="773"/>
      <c r="F59" s="283">
        <v>0</v>
      </c>
      <c r="G59" s="283">
        <v>0</v>
      </c>
      <c r="H59" s="283">
        <v>0</v>
      </c>
      <c r="I59" s="305">
        <f t="shared" si="0"/>
        <v>0</v>
      </c>
    </row>
    <row r="60" spans="1:9" x14ac:dyDescent="0.2">
      <c r="A60" s="282"/>
      <c r="B60" s="282" t="s">
        <v>444</v>
      </c>
      <c r="C60" s="773" t="s">
        <v>445</v>
      </c>
      <c r="D60" s="773"/>
      <c r="E60" s="773"/>
      <c r="F60" s="283">
        <f>SUM(F61:F62)</f>
        <v>26500</v>
      </c>
      <c r="G60" s="283">
        <f>SUM(G61:G62)</f>
        <v>0</v>
      </c>
      <c r="H60" s="283">
        <v>0</v>
      </c>
      <c r="I60" s="305">
        <f t="shared" si="0"/>
        <v>26500</v>
      </c>
    </row>
    <row r="61" spans="1:9" x14ac:dyDescent="0.2">
      <c r="A61" s="292"/>
      <c r="B61" s="292"/>
      <c r="C61" s="291"/>
      <c r="D61" s="291"/>
      <c r="E61" s="291" t="s">
        <v>446</v>
      </c>
      <c r="F61" s="293">
        <v>25500</v>
      </c>
      <c r="G61" s="293">
        <v>0</v>
      </c>
      <c r="H61" s="293">
        <v>0</v>
      </c>
      <c r="I61" s="295">
        <f t="shared" si="0"/>
        <v>25500</v>
      </c>
    </row>
    <row r="62" spans="1:9" x14ac:dyDescent="0.2">
      <c r="A62" s="292"/>
      <c r="B62" s="292"/>
      <c r="C62" s="291"/>
      <c r="D62" s="291"/>
      <c r="E62" s="291" t="s">
        <v>447</v>
      </c>
      <c r="F62" s="293">
        <v>1000</v>
      </c>
      <c r="G62" s="293">
        <v>0</v>
      </c>
      <c r="H62" s="293">
        <v>0</v>
      </c>
      <c r="I62" s="295">
        <f t="shared" si="0"/>
        <v>1000</v>
      </c>
    </row>
    <row r="63" spans="1:9" x14ac:dyDescent="0.2">
      <c r="A63" s="282"/>
      <c r="B63" s="282" t="s">
        <v>448</v>
      </c>
      <c r="C63" s="773" t="s">
        <v>449</v>
      </c>
      <c r="D63" s="773"/>
      <c r="E63" s="773"/>
      <c r="F63" s="283">
        <f>SUM(F64+F67+F68+F69+F71)</f>
        <v>142670</v>
      </c>
      <c r="G63" s="283">
        <f>SUM(G64+G67+G68+G69+G71)</f>
        <v>0</v>
      </c>
      <c r="H63" s="283">
        <v>0</v>
      </c>
      <c r="I63" s="305">
        <f t="shared" si="0"/>
        <v>142670</v>
      </c>
    </row>
    <row r="64" spans="1:9" x14ac:dyDescent="0.2">
      <c r="A64" s="289"/>
      <c r="B64" s="289"/>
      <c r="C64" s="289" t="s">
        <v>450</v>
      </c>
      <c r="D64" s="289" t="s">
        <v>451</v>
      </c>
      <c r="E64" s="289"/>
      <c r="F64" s="290">
        <f>SUM(F65:F66)</f>
        <v>122470</v>
      </c>
      <c r="G64" s="290">
        <f>SUM(G65:G66)</f>
        <v>0</v>
      </c>
      <c r="H64" s="290">
        <v>0</v>
      </c>
      <c r="I64" s="303">
        <f t="shared" si="0"/>
        <v>122470</v>
      </c>
    </row>
    <row r="65" spans="1:9" x14ac:dyDescent="0.2">
      <c r="A65" s="292"/>
      <c r="B65" s="292"/>
      <c r="C65" s="291"/>
      <c r="D65" s="291"/>
      <c r="E65" s="291" t="s">
        <v>452</v>
      </c>
      <c r="F65" s="293">
        <f>120000+1970</f>
        <v>121970</v>
      </c>
      <c r="G65" s="293">
        <v>0</v>
      </c>
      <c r="H65" s="293">
        <v>0</v>
      </c>
      <c r="I65" s="295">
        <f t="shared" si="0"/>
        <v>121970</v>
      </c>
    </row>
    <row r="66" spans="1:9" x14ac:dyDescent="0.2">
      <c r="A66" s="292"/>
      <c r="B66" s="292"/>
      <c r="C66" s="291"/>
      <c r="D66" s="291"/>
      <c r="E66" s="291" t="s">
        <v>453</v>
      </c>
      <c r="F66" s="293">
        <v>500</v>
      </c>
      <c r="G66" s="293">
        <v>0</v>
      </c>
      <c r="H66" s="293">
        <v>0</v>
      </c>
      <c r="I66" s="295">
        <f t="shared" si="0"/>
        <v>500</v>
      </c>
    </row>
    <row r="67" spans="1:9" x14ac:dyDescent="0.2">
      <c r="A67" s="289"/>
      <c r="B67" s="289"/>
      <c r="C67" s="289" t="s">
        <v>454</v>
      </c>
      <c r="D67" s="289" t="s">
        <v>455</v>
      </c>
      <c r="E67" s="289"/>
      <c r="F67" s="290">
        <v>0</v>
      </c>
      <c r="G67" s="290">
        <v>0</v>
      </c>
      <c r="H67" s="290">
        <v>0</v>
      </c>
      <c r="I67" s="303">
        <f t="shared" si="0"/>
        <v>0</v>
      </c>
    </row>
    <row r="68" spans="1:9" x14ac:dyDescent="0.2">
      <c r="A68" s="289"/>
      <c r="B68" s="289"/>
      <c r="C68" s="289" t="s">
        <v>456</v>
      </c>
      <c r="D68" s="289" t="s">
        <v>457</v>
      </c>
      <c r="E68" s="289"/>
      <c r="F68" s="290">
        <v>0</v>
      </c>
      <c r="G68" s="290">
        <v>0</v>
      </c>
      <c r="H68" s="290">
        <v>0</v>
      </c>
      <c r="I68" s="303">
        <f t="shared" si="0"/>
        <v>0</v>
      </c>
    </row>
    <row r="69" spans="1:9" x14ac:dyDescent="0.2">
      <c r="A69" s="289"/>
      <c r="B69" s="289"/>
      <c r="C69" s="289" t="s">
        <v>458</v>
      </c>
      <c r="D69" s="289" t="s">
        <v>459</v>
      </c>
      <c r="E69" s="289"/>
      <c r="F69" s="290">
        <f>SUM(F70)</f>
        <v>20000</v>
      </c>
      <c r="G69" s="290">
        <f>SUM(G70:G70)</f>
        <v>0</v>
      </c>
      <c r="H69" s="290">
        <v>0</v>
      </c>
      <c r="I69" s="303">
        <f t="shared" si="0"/>
        <v>20000</v>
      </c>
    </row>
    <row r="70" spans="1:9" x14ac:dyDescent="0.2">
      <c r="A70" s="292"/>
      <c r="B70" s="292"/>
      <c r="C70" s="292"/>
      <c r="D70" s="291"/>
      <c r="E70" s="291" t="s">
        <v>460</v>
      </c>
      <c r="F70" s="293">
        <v>20000</v>
      </c>
      <c r="G70" s="293">
        <v>0</v>
      </c>
      <c r="H70" s="293">
        <v>0</v>
      </c>
      <c r="I70" s="295">
        <f t="shared" si="0"/>
        <v>20000</v>
      </c>
    </row>
    <row r="71" spans="1:9" x14ac:dyDescent="0.2">
      <c r="A71" s="289"/>
      <c r="B71" s="289"/>
      <c r="C71" s="289" t="s">
        <v>461</v>
      </c>
      <c r="D71" s="289" t="s">
        <v>462</v>
      </c>
      <c r="E71" s="289"/>
      <c r="F71" s="290">
        <f>SUM(F72:F73)</f>
        <v>200</v>
      </c>
      <c r="G71" s="290">
        <v>0</v>
      </c>
      <c r="H71" s="290">
        <v>0</v>
      </c>
      <c r="I71" s="303">
        <f t="shared" si="0"/>
        <v>200</v>
      </c>
    </row>
    <row r="72" spans="1:9" x14ac:dyDescent="0.2">
      <c r="A72" s="292"/>
      <c r="B72" s="292"/>
      <c r="C72" s="292"/>
      <c r="D72" s="291"/>
      <c r="E72" s="291" t="s">
        <v>463</v>
      </c>
      <c r="F72" s="293">
        <v>200</v>
      </c>
      <c r="G72" s="293">
        <v>0</v>
      </c>
      <c r="H72" s="293">
        <v>0</v>
      </c>
      <c r="I72" s="295">
        <f t="shared" ref="I72:I169" si="1">SUM(F72:H72)</f>
        <v>200</v>
      </c>
    </row>
    <row r="73" spans="1:9" x14ac:dyDescent="0.2">
      <c r="A73" s="292"/>
      <c r="B73" s="292"/>
      <c r="C73" s="292"/>
      <c r="D73" s="291"/>
      <c r="E73" s="291" t="s">
        <v>464</v>
      </c>
      <c r="F73" s="293">
        <v>0</v>
      </c>
      <c r="G73" s="293">
        <v>0</v>
      </c>
      <c r="H73" s="293">
        <v>0</v>
      </c>
      <c r="I73" s="295">
        <f t="shared" si="1"/>
        <v>0</v>
      </c>
    </row>
    <row r="74" spans="1:9" x14ac:dyDescent="0.2">
      <c r="A74" s="282"/>
      <c r="B74" s="282" t="s">
        <v>465</v>
      </c>
      <c r="C74" s="773" t="s">
        <v>466</v>
      </c>
      <c r="D74" s="773"/>
      <c r="E74" s="773"/>
      <c r="F74" s="283">
        <f>SUM(F75:F83)</f>
        <v>1700</v>
      </c>
      <c r="G74" s="283">
        <f>SUM(G75:G83)</f>
        <v>100</v>
      </c>
      <c r="H74" s="283">
        <f>SUM(H75:H83)</f>
        <v>0</v>
      </c>
      <c r="I74" s="305">
        <f t="shared" si="1"/>
        <v>1800</v>
      </c>
    </row>
    <row r="75" spans="1:9" x14ac:dyDescent="0.2">
      <c r="A75" s="298"/>
      <c r="B75" s="298"/>
      <c r="C75" s="298"/>
      <c r="D75" s="291"/>
      <c r="E75" s="291" t="s">
        <v>467</v>
      </c>
      <c r="F75" s="293">
        <v>0</v>
      </c>
      <c r="G75" s="293">
        <v>0</v>
      </c>
      <c r="H75" s="293">
        <v>0</v>
      </c>
      <c r="I75" s="295">
        <f t="shared" si="1"/>
        <v>0</v>
      </c>
    </row>
    <row r="76" spans="1:9" x14ac:dyDescent="0.2">
      <c r="A76" s="292"/>
      <c r="B76" s="292"/>
      <c r="C76" s="292"/>
      <c r="D76" s="291"/>
      <c r="E76" s="291" t="s">
        <v>468</v>
      </c>
      <c r="F76" s="293">
        <v>0</v>
      </c>
      <c r="G76" s="293">
        <v>100</v>
      </c>
      <c r="H76" s="293">
        <v>0</v>
      </c>
      <c r="I76" s="295">
        <f t="shared" si="1"/>
        <v>100</v>
      </c>
    </row>
    <row r="77" spans="1:9" x14ac:dyDescent="0.2">
      <c r="A77" s="298"/>
      <c r="B77" s="298"/>
      <c r="C77" s="298"/>
      <c r="D77" s="291"/>
      <c r="E77" s="291" t="s">
        <v>469</v>
      </c>
      <c r="F77" s="293">
        <v>0</v>
      </c>
      <c r="G77" s="293">
        <v>0</v>
      </c>
      <c r="H77" s="293">
        <v>0</v>
      </c>
      <c r="I77" s="295">
        <f t="shared" si="1"/>
        <v>0</v>
      </c>
    </row>
    <row r="78" spans="1:9" x14ac:dyDescent="0.2">
      <c r="A78" s="298"/>
      <c r="B78" s="298"/>
      <c r="C78" s="298"/>
      <c r="D78" s="291"/>
      <c r="E78" s="291" t="s">
        <v>470</v>
      </c>
      <c r="F78" s="293">
        <v>0</v>
      </c>
      <c r="G78" s="293">
        <v>0</v>
      </c>
      <c r="H78" s="293">
        <v>0</v>
      </c>
      <c r="I78" s="295">
        <f t="shared" si="1"/>
        <v>0</v>
      </c>
    </row>
    <row r="79" spans="1:9" x14ac:dyDescent="0.2">
      <c r="A79" s="298"/>
      <c r="B79" s="298"/>
      <c r="C79" s="298"/>
      <c r="D79" s="291"/>
      <c r="E79" s="291" t="s">
        <v>471</v>
      </c>
      <c r="F79" s="293">
        <v>0</v>
      </c>
      <c r="G79" s="293">
        <v>0</v>
      </c>
      <c r="H79" s="293">
        <v>0</v>
      </c>
      <c r="I79" s="295">
        <f t="shared" si="1"/>
        <v>0</v>
      </c>
    </row>
    <row r="80" spans="1:9" x14ac:dyDescent="0.2">
      <c r="A80" s="298"/>
      <c r="B80" s="298"/>
      <c r="C80" s="298"/>
      <c r="D80" s="291"/>
      <c r="E80" s="291" t="s">
        <v>472</v>
      </c>
      <c r="F80" s="293">
        <v>0</v>
      </c>
      <c r="G80" s="293">
        <v>0</v>
      </c>
      <c r="H80" s="293">
        <v>0</v>
      </c>
      <c r="I80" s="295">
        <f t="shared" si="1"/>
        <v>0</v>
      </c>
    </row>
    <row r="81" spans="1:9" ht="40.5" customHeight="1" x14ac:dyDescent="0.2">
      <c r="A81" s="292"/>
      <c r="B81" s="292"/>
      <c r="C81" s="292"/>
      <c r="D81" s="292"/>
      <c r="E81" s="635" t="s">
        <v>473</v>
      </c>
      <c r="F81" s="293">
        <v>200</v>
      </c>
      <c r="G81" s="293">
        <v>0</v>
      </c>
      <c r="H81" s="293">
        <v>0</v>
      </c>
      <c r="I81" s="295">
        <f t="shared" si="1"/>
        <v>200</v>
      </c>
    </row>
    <row r="82" spans="1:9" x14ac:dyDescent="0.2">
      <c r="A82" s="298"/>
      <c r="B82" s="298"/>
      <c r="C82" s="298"/>
      <c r="D82" s="298"/>
      <c r="E82" s="291" t="s">
        <v>474</v>
      </c>
      <c r="F82" s="293">
        <v>0</v>
      </c>
      <c r="G82" s="293">
        <v>0</v>
      </c>
      <c r="H82" s="293">
        <v>0</v>
      </c>
      <c r="I82" s="295">
        <f t="shared" si="1"/>
        <v>0</v>
      </c>
    </row>
    <row r="83" spans="1:9" x14ac:dyDescent="0.2">
      <c r="A83" s="292"/>
      <c r="B83" s="292"/>
      <c r="C83" s="292"/>
      <c r="D83" s="292"/>
      <c r="E83" s="297" t="s">
        <v>475</v>
      </c>
      <c r="F83" s="293">
        <v>1500</v>
      </c>
      <c r="G83" s="293">
        <v>0</v>
      </c>
      <c r="H83" s="293">
        <v>0</v>
      </c>
      <c r="I83" s="295">
        <f t="shared" si="1"/>
        <v>1500</v>
      </c>
    </row>
    <row r="84" spans="1:9" s="308" customFormat="1" x14ac:dyDescent="0.2">
      <c r="A84" s="306" t="s">
        <v>476</v>
      </c>
      <c r="B84" s="772" t="s">
        <v>477</v>
      </c>
      <c r="C84" s="772"/>
      <c r="D84" s="772"/>
      <c r="E84" s="772"/>
      <c r="F84" s="307">
        <f>SUM(F85+F86+F89+F91+F98+F99+F100+F101+F105+F106+F107)</f>
        <v>406892</v>
      </c>
      <c r="G84" s="307">
        <f>SUM(G85+G86+G89+G91+G98+G99+G100+G101+G105+G106+G107)</f>
        <v>9330</v>
      </c>
      <c r="H84" s="307">
        <f>SUM(H85+H86+H89+H91+H98+H99+H100+H101+H105+H106+H107)</f>
        <v>8143</v>
      </c>
      <c r="I84" s="307">
        <f t="shared" si="1"/>
        <v>424365</v>
      </c>
    </row>
    <row r="85" spans="1:9" x14ac:dyDescent="0.2">
      <c r="A85" s="289"/>
      <c r="B85" s="289"/>
      <c r="C85" s="289" t="s">
        <v>478</v>
      </c>
      <c r="D85" s="289" t="s">
        <v>1014</v>
      </c>
      <c r="E85" s="289"/>
      <c r="F85" s="290">
        <v>8037</v>
      </c>
      <c r="G85" s="290">
        <v>0</v>
      </c>
      <c r="H85" s="290">
        <v>0</v>
      </c>
      <c r="I85" s="303">
        <f t="shared" si="1"/>
        <v>8037</v>
      </c>
    </row>
    <row r="86" spans="1:9" x14ac:dyDescent="0.2">
      <c r="A86" s="289"/>
      <c r="B86" s="289"/>
      <c r="C86" s="289" t="s">
        <v>479</v>
      </c>
      <c r="D86" s="289" t="s">
        <v>575</v>
      </c>
      <c r="E86" s="289"/>
      <c r="F86" s="290">
        <v>83692</v>
      </c>
      <c r="G86" s="290">
        <v>1716</v>
      </c>
      <c r="H86" s="290">
        <v>108</v>
      </c>
      <c r="I86" s="303">
        <f t="shared" si="1"/>
        <v>85516</v>
      </c>
    </row>
    <row r="87" spans="1:9" x14ac:dyDescent="0.2">
      <c r="A87" s="292"/>
      <c r="B87" s="292"/>
      <c r="C87" s="291" t="s">
        <v>21</v>
      </c>
      <c r="D87" s="291"/>
      <c r="E87" s="291" t="s">
        <v>480</v>
      </c>
      <c r="F87" s="293">
        <v>10878</v>
      </c>
      <c r="G87" s="293">
        <v>0</v>
      </c>
      <c r="H87" s="293">
        <v>108</v>
      </c>
      <c r="I87" s="295">
        <f t="shared" si="1"/>
        <v>10986</v>
      </c>
    </row>
    <row r="88" spans="1:9" x14ac:dyDescent="0.2">
      <c r="A88" s="292"/>
      <c r="B88" s="292"/>
      <c r="C88" s="291"/>
      <c r="D88" s="291"/>
      <c r="E88" s="291" t="s">
        <v>1052</v>
      </c>
      <c r="F88" s="293">
        <v>0</v>
      </c>
      <c r="G88" s="293">
        <v>0</v>
      </c>
      <c r="H88" s="293">
        <v>0</v>
      </c>
      <c r="I88" s="295">
        <f>SUM(F88:H88)</f>
        <v>0</v>
      </c>
    </row>
    <row r="89" spans="1:9" x14ac:dyDescent="0.2">
      <c r="A89" s="289"/>
      <c r="B89" s="289"/>
      <c r="C89" s="289" t="s">
        <v>481</v>
      </c>
      <c r="D89" s="289" t="s">
        <v>482</v>
      </c>
      <c r="E89" s="289"/>
      <c r="F89" s="290">
        <v>3884</v>
      </c>
      <c r="G89" s="290">
        <v>6951</v>
      </c>
      <c r="H89" s="290">
        <v>0</v>
      </c>
      <c r="I89" s="303">
        <f t="shared" si="1"/>
        <v>10835</v>
      </c>
    </row>
    <row r="90" spans="1:9" x14ac:dyDescent="0.2">
      <c r="A90" s="292"/>
      <c r="B90" s="292"/>
      <c r="C90" s="291" t="s">
        <v>21</v>
      </c>
      <c r="D90" s="291"/>
      <c r="E90" s="291" t="s">
        <v>68</v>
      </c>
      <c r="F90" s="293">
        <v>2824</v>
      </c>
      <c r="G90" s="293">
        <v>4651</v>
      </c>
      <c r="H90" s="293">
        <v>0</v>
      </c>
      <c r="I90" s="295">
        <f t="shared" si="1"/>
        <v>7475</v>
      </c>
    </row>
    <row r="91" spans="1:9" x14ac:dyDescent="0.2">
      <c r="A91" s="289"/>
      <c r="B91" s="289"/>
      <c r="C91" s="289" t="s">
        <v>483</v>
      </c>
      <c r="D91" s="289" t="s">
        <v>484</v>
      </c>
      <c r="E91" s="289"/>
      <c r="F91" s="290">
        <v>695</v>
      </c>
      <c r="G91" s="290">
        <v>0</v>
      </c>
      <c r="H91" s="290">
        <v>0</v>
      </c>
      <c r="I91" s="303">
        <f t="shared" si="1"/>
        <v>695</v>
      </c>
    </row>
    <row r="92" spans="1:9" x14ac:dyDescent="0.2">
      <c r="A92" s="292"/>
      <c r="B92" s="292"/>
      <c r="C92" s="291" t="s">
        <v>21</v>
      </c>
      <c r="D92" s="291"/>
      <c r="E92" s="291" t="s">
        <v>485</v>
      </c>
      <c r="F92" s="293">
        <v>0</v>
      </c>
      <c r="G92" s="293">
        <v>0</v>
      </c>
      <c r="H92" s="293">
        <v>0</v>
      </c>
      <c r="I92" s="295">
        <f t="shared" si="1"/>
        <v>0</v>
      </c>
    </row>
    <row r="93" spans="1:9" x14ac:dyDescent="0.2">
      <c r="A93" s="292"/>
      <c r="B93" s="292"/>
      <c r="C93" s="291"/>
      <c r="D93" s="291"/>
      <c r="E93" s="291" t="s">
        <v>1015</v>
      </c>
      <c r="F93" s="293">
        <v>0</v>
      </c>
      <c r="G93" s="293">
        <v>0</v>
      </c>
      <c r="H93" s="293">
        <v>0</v>
      </c>
      <c r="I93" s="295">
        <f>SUM(F93:H93)</f>
        <v>0</v>
      </c>
    </row>
    <row r="94" spans="1:9" x14ac:dyDescent="0.2">
      <c r="A94" s="292"/>
      <c r="B94" s="292"/>
      <c r="C94" s="291"/>
      <c r="D94" s="291"/>
      <c r="E94" s="291" t="s">
        <v>486</v>
      </c>
      <c r="F94" s="293">
        <v>695</v>
      </c>
      <c r="G94" s="293">
        <v>0</v>
      </c>
      <c r="H94" s="293">
        <v>0</v>
      </c>
      <c r="I94" s="295">
        <f>SUM(F94:H94)</f>
        <v>695</v>
      </c>
    </row>
    <row r="95" spans="1:9" x14ac:dyDescent="0.2">
      <c r="A95" s="292"/>
      <c r="B95" s="292"/>
      <c r="C95" s="291"/>
      <c r="D95" s="291"/>
      <c r="E95" s="291" t="s">
        <v>1017</v>
      </c>
      <c r="F95" s="293">
        <v>0</v>
      </c>
      <c r="G95" s="293">
        <v>0</v>
      </c>
      <c r="H95" s="293">
        <v>0</v>
      </c>
      <c r="I95" s="295">
        <f>SUM(F95:H95)</f>
        <v>0</v>
      </c>
    </row>
    <row r="96" spans="1:9" x14ac:dyDescent="0.2">
      <c r="A96" s="292"/>
      <c r="B96" s="292"/>
      <c r="C96" s="291"/>
      <c r="D96" s="291"/>
      <c r="E96" s="291" t="s">
        <v>1016</v>
      </c>
      <c r="F96" s="293">
        <v>0</v>
      </c>
      <c r="G96" s="293">
        <v>0</v>
      </c>
      <c r="H96" s="293">
        <v>0</v>
      </c>
      <c r="I96" s="295">
        <f>SUM(F96:H96)</f>
        <v>0</v>
      </c>
    </row>
    <row r="97" spans="1:9" x14ac:dyDescent="0.2">
      <c r="A97" s="292"/>
      <c r="B97" s="292"/>
      <c r="C97" s="291"/>
      <c r="D97" s="291"/>
      <c r="E97" s="291" t="s">
        <v>1018</v>
      </c>
      <c r="F97" s="293">
        <v>0</v>
      </c>
      <c r="G97" s="293">
        <v>0</v>
      </c>
      <c r="H97" s="293">
        <v>0</v>
      </c>
      <c r="I97" s="295">
        <f t="shared" si="1"/>
        <v>0</v>
      </c>
    </row>
    <row r="98" spans="1:9" x14ac:dyDescent="0.2">
      <c r="A98" s="289"/>
      <c r="B98" s="289"/>
      <c r="C98" s="289" t="s">
        <v>487</v>
      </c>
      <c r="D98" s="289" t="s">
        <v>488</v>
      </c>
      <c r="E98" s="289"/>
      <c r="F98" s="290">
        <v>3876</v>
      </c>
      <c r="G98" s="290">
        <v>0</v>
      </c>
      <c r="H98" s="290">
        <f>6868-561</f>
        <v>6307</v>
      </c>
      <c r="I98" s="303">
        <f t="shared" si="1"/>
        <v>10183</v>
      </c>
    </row>
    <row r="99" spans="1:9" x14ac:dyDescent="0.2">
      <c r="A99" s="289"/>
      <c r="B99" s="289"/>
      <c r="C99" s="289" t="s">
        <v>489</v>
      </c>
      <c r="D99" s="289" t="s">
        <v>490</v>
      </c>
      <c r="E99" s="289"/>
      <c r="F99" s="290">
        <v>21363</v>
      </c>
      <c r="G99" s="290">
        <v>648</v>
      </c>
      <c r="H99" s="290">
        <f>1854-151</f>
        <v>1703</v>
      </c>
      <c r="I99" s="303">
        <f t="shared" si="1"/>
        <v>23714</v>
      </c>
    </row>
    <row r="100" spans="1:9" x14ac:dyDescent="0.2">
      <c r="A100" s="289"/>
      <c r="B100" s="289"/>
      <c r="C100" s="289" t="s">
        <v>491</v>
      </c>
      <c r="D100" s="289" t="s">
        <v>492</v>
      </c>
      <c r="E100" s="289"/>
      <c r="F100" s="290">
        <v>284628</v>
      </c>
      <c r="G100" s="290">
        <v>0</v>
      </c>
      <c r="H100" s="290">
        <v>0</v>
      </c>
      <c r="I100" s="303">
        <f t="shared" si="1"/>
        <v>284628</v>
      </c>
    </row>
    <row r="101" spans="1:9" x14ac:dyDescent="0.2">
      <c r="A101" s="289"/>
      <c r="B101" s="289"/>
      <c r="C101" s="289" t="s">
        <v>493</v>
      </c>
      <c r="D101" s="289" t="s">
        <v>1019</v>
      </c>
      <c r="E101" s="289"/>
      <c r="F101" s="290">
        <v>447</v>
      </c>
      <c r="G101" s="290">
        <v>15</v>
      </c>
      <c r="H101" s="290">
        <v>25</v>
      </c>
      <c r="I101" s="303">
        <f t="shared" si="1"/>
        <v>487</v>
      </c>
    </row>
    <row r="102" spans="1:9" x14ac:dyDescent="0.2">
      <c r="A102" s="289"/>
      <c r="B102" s="289"/>
      <c r="C102" s="291" t="s">
        <v>21</v>
      </c>
      <c r="D102" s="291"/>
      <c r="E102" s="291" t="s">
        <v>68</v>
      </c>
      <c r="F102" s="293">
        <v>48</v>
      </c>
      <c r="G102" s="293">
        <v>0</v>
      </c>
      <c r="H102" s="293">
        <v>0</v>
      </c>
      <c r="I102" s="295">
        <f t="shared" si="1"/>
        <v>48</v>
      </c>
    </row>
    <row r="103" spans="1:9" x14ac:dyDescent="0.2">
      <c r="A103" s="289"/>
      <c r="B103" s="289"/>
      <c r="C103" s="289"/>
      <c r="D103" s="289"/>
      <c r="E103" s="291" t="s">
        <v>1020</v>
      </c>
      <c r="F103" s="293">
        <v>0</v>
      </c>
      <c r="G103" s="293">
        <v>0</v>
      </c>
      <c r="H103" s="293">
        <v>0</v>
      </c>
      <c r="I103" s="295">
        <f>SUM(F103:H103)</f>
        <v>0</v>
      </c>
    </row>
    <row r="104" spans="1:9" x14ac:dyDescent="0.2">
      <c r="A104" s="289"/>
      <c r="B104" s="289"/>
      <c r="C104" s="289"/>
      <c r="D104" s="289"/>
      <c r="E104" s="291" t="s">
        <v>1021</v>
      </c>
      <c r="F104" s="293">
        <v>0</v>
      </c>
      <c r="G104" s="293">
        <v>0</v>
      </c>
      <c r="H104" s="293">
        <v>0</v>
      </c>
      <c r="I104" s="295">
        <f>SUM(F104:H104)</f>
        <v>0</v>
      </c>
    </row>
    <row r="105" spans="1:9" x14ac:dyDescent="0.2">
      <c r="A105" s="289"/>
      <c r="B105" s="289"/>
      <c r="C105" s="289" t="s">
        <v>494</v>
      </c>
      <c r="D105" s="289" t="s">
        <v>495</v>
      </c>
      <c r="E105" s="289"/>
      <c r="F105" s="290">
        <v>0</v>
      </c>
      <c r="G105" s="290">
        <v>0</v>
      </c>
      <c r="H105" s="290">
        <v>0</v>
      </c>
      <c r="I105" s="303">
        <f t="shared" si="1"/>
        <v>0</v>
      </c>
    </row>
    <row r="106" spans="1:9" x14ac:dyDescent="0.2">
      <c r="A106" s="289"/>
      <c r="B106" s="289"/>
      <c r="C106" s="289" t="s">
        <v>496</v>
      </c>
      <c r="D106" s="289" t="s">
        <v>1022</v>
      </c>
      <c r="E106" s="289"/>
      <c r="F106" s="290">
        <v>0</v>
      </c>
      <c r="G106" s="290">
        <v>0</v>
      </c>
      <c r="H106" s="290">
        <v>0</v>
      </c>
      <c r="I106" s="303">
        <f t="shared" si="1"/>
        <v>0</v>
      </c>
    </row>
    <row r="107" spans="1:9" ht="22.5" customHeight="1" x14ac:dyDescent="0.2">
      <c r="A107" s="289"/>
      <c r="B107" s="289"/>
      <c r="C107" s="289" t="s">
        <v>1023</v>
      </c>
      <c r="D107" s="782" t="s">
        <v>1024</v>
      </c>
      <c r="E107" s="782"/>
      <c r="F107" s="290">
        <v>270</v>
      </c>
      <c r="G107" s="290">
        <v>0</v>
      </c>
      <c r="H107" s="290">
        <v>0</v>
      </c>
      <c r="I107" s="303">
        <f t="shared" si="1"/>
        <v>270</v>
      </c>
    </row>
    <row r="108" spans="1:9" ht="45.75" customHeight="1" x14ac:dyDescent="0.2">
      <c r="A108" s="294"/>
      <c r="B108" s="294"/>
      <c r="C108" s="759" t="s">
        <v>21</v>
      </c>
      <c r="D108" s="635" t="s">
        <v>725</v>
      </c>
      <c r="E108" s="635" t="s">
        <v>1053</v>
      </c>
      <c r="F108" s="293">
        <v>0</v>
      </c>
      <c r="G108" s="293">
        <v>0</v>
      </c>
      <c r="H108" s="293">
        <v>0</v>
      </c>
      <c r="I108" s="295">
        <f t="shared" si="1"/>
        <v>0</v>
      </c>
    </row>
    <row r="109" spans="1:9" ht="13.5" customHeight="1" x14ac:dyDescent="0.2">
      <c r="A109" s="292"/>
      <c r="B109" s="292"/>
      <c r="C109" s="292"/>
      <c r="D109" s="291" t="s">
        <v>725</v>
      </c>
      <c r="E109" s="299" t="s">
        <v>497</v>
      </c>
      <c r="F109" s="293">
        <v>0</v>
      </c>
      <c r="G109" s="293">
        <v>0</v>
      </c>
      <c r="H109" s="293">
        <v>0</v>
      </c>
      <c r="I109" s="295">
        <f t="shared" si="1"/>
        <v>0</v>
      </c>
    </row>
    <row r="110" spans="1:9" s="308" customFormat="1" x14ac:dyDescent="0.2">
      <c r="A110" s="306" t="s">
        <v>498</v>
      </c>
      <c r="B110" s="772" t="s">
        <v>499</v>
      </c>
      <c r="C110" s="772"/>
      <c r="D110" s="772"/>
      <c r="E110" s="772"/>
      <c r="F110" s="307">
        <f>SUM(F111+F112+F114+F115+F116)</f>
        <v>43272</v>
      </c>
      <c r="G110" s="307">
        <f>SUM(G111+G112+G114+G115+G116)</f>
        <v>0</v>
      </c>
      <c r="H110" s="307">
        <f>SUM(H111+H112+H114+H115+H116)</f>
        <v>0</v>
      </c>
      <c r="I110" s="307">
        <f t="shared" si="1"/>
        <v>43272</v>
      </c>
    </row>
    <row r="111" spans="1:9" x14ac:dyDescent="0.2">
      <c r="A111" s="282"/>
      <c r="B111" s="282" t="s">
        <v>500</v>
      </c>
      <c r="C111" s="773" t="s">
        <v>576</v>
      </c>
      <c r="D111" s="773"/>
      <c r="E111" s="773"/>
      <c r="F111" s="283">
        <v>0</v>
      </c>
      <c r="G111" s="283">
        <v>0</v>
      </c>
      <c r="H111" s="283">
        <v>0</v>
      </c>
      <c r="I111" s="305">
        <f t="shared" si="1"/>
        <v>0</v>
      </c>
    </row>
    <row r="112" spans="1:9" x14ac:dyDescent="0.2">
      <c r="A112" s="282"/>
      <c r="B112" s="282" t="s">
        <v>501</v>
      </c>
      <c r="C112" s="773" t="s">
        <v>502</v>
      </c>
      <c r="D112" s="773"/>
      <c r="E112" s="773"/>
      <c r="F112" s="283">
        <f>16000+10000+17272</f>
        <v>43272</v>
      </c>
      <c r="G112" s="283">
        <v>0</v>
      </c>
      <c r="H112" s="283">
        <v>0</v>
      </c>
      <c r="I112" s="305">
        <f t="shared" si="1"/>
        <v>43272</v>
      </c>
    </row>
    <row r="113" spans="1:9" x14ac:dyDescent="0.2">
      <c r="A113" s="292"/>
      <c r="B113" s="292"/>
      <c r="C113" s="291" t="s">
        <v>21</v>
      </c>
      <c r="D113" s="291" t="s">
        <v>725</v>
      </c>
      <c r="E113" s="291" t="s">
        <v>503</v>
      </c>
      <c r="F113" s="293"/>
      <c r="G113" s="293">
        <v>0</v>
      </c>
      <c r="H113" s="293">
        <v>0</v>
      </c>
      <c r="I113" s="295">
        <f t="shared" si="1"/>
        <v>0</v>
      </c>
    </row>
    <row r="114" spans="1:9" x14ac:dyDescent="0.2">
      <c r="A114" s="282"/>
      <c r="B114" s="282" t="s">
        <v>504</v>
      </c>
      <c r="C114" s="773" t="s">
        <v>505</v>
      </c>
      <c r="D114" s="773"/>
      <c r="E114" s="773"/>
      <c r="F114" s="283">
        <v>0</v>
      </c>
      <c r="G114" s="283">
        <v>0</v>
      </c>
      <c r="H114" s="283">
        <v>0</v>
      </c>
      <c r="I114" s="305">
        <f t="shared" si="1"/>
        <v>0</v>
      </c>
    </row>
    <row r="115" spans="1:9" x14ac:dyDescent="0.2">
      <c r="A115" s="282"/>
      <c r="B115" s="282" t="s">
        <v>506</v>
      </c>
      <c r="C115" s="773" t="s">
        <v>507</v>
      </c>
      <c r="D115" s="773"/>
      <c r="E115" s="773"/>
      <c r="F115" s="283">
        <v>0</v>
      </c>
      <c r="G115" s="283">
        <v>0</v>
      </c>
      <c r="H115" s="283">
        <v>0</v>
      </c>
      <c r="I115" s="305">
        <f t="shared" si="1"/>
        <v>0</v>
      </c>
    </row>
    <row r="116" spans="1:9" x14ac:dyDescent="0.2">
      <c r="A116" s="282"/>
      <c r="B116" s="282" t="s">
        <v>508</v>
      </c>
      <c r="C116" s="773" t="s">
        <v>509</v>
      </c>
      <c r="D116" s="773"/>
      <c r="E116" s="773"/>
      <c r="F116" s="283">
        <v>0</v>
      </c>
      <c r="G116" s="283">
        <v>0</v>
      </c>
      <c r="H116" s="283">
        <v>0</v>
      </c>
      <c r="I116" s="305">
        <f t="shared" si="1"/>
        <v>0</v>
      </c>
    </row>
    <row r="117" spans="1:9" s="308" customFormat="1" x14ac:dyDescent="0.2">
      <c r="A117" s="306" t="s">
        <v>510</v>
      </c>
      <c r="B117" s="772" t="s">
        <v>511</v>
      </c>
      <c r="C117" s="772"/>
      <c r="D117" s="772"/>
      <c r="E117" s="772"/>
      <c r="F117" s="307">
        <f>SUM(F118+F119+F120+F121+F131)</f>
        <v>21668</v>
      </c>
      <c r="G117" s="307">
        <f>SUM(G118+G119+G120+G121+G131)</f>
        <v>0</v>
      </c>
      <c r="H117" s="307">
        <f>SUM(H118+H119+H120+H121+H131)</f>
        <v>0</v>
      </c>
      <c r="I117" s="307">
        <f t="shared" si="1"/>
        <v>21668</v>
      </c>
    </row>
    <row r="118" spans="1:9" x14ac:dyDescent="0.2">
      <c r="A118" s="282"/>
      <c r="B118" s="282" t="s">
        <v>512</v>
      </c>
      <c r="C118" s="773" t="s">
        <v>513</v>
      </c>
      <c r="D118" s="773"/>
      <c r="E118" s="773"/>
      <c r="F118" s="283">
        <v>0</v>
      </c>
      <c r="G118" s="283">
        <v>0</v>
      </c>
      <c r="H118" s="283">
        <v>0</v>
      </c>
      <c r="I118" s="305">
        <f t="shared" si="1"/>
        <v>0</v>
      </c>
    </row>
    <row r="119" spans="1:9" x14ac:dyDescent="0.2">
      <c r="A119" s="282"/>
      <c r="B119" s="282" t="s">
        <v>514</v>
      </c>
      <c r="C119" s="773" t="s">
        <v>1026</v>
      </c>
      <c r="D119" s="773"/>
      <c r="E119" s="773"/>
      <c r="F119" s="283">
        <v>0</v>
      </c>
      <c r="G119" s="283">
        <v>0</v>
      </c>
      <c r="H119" s="283">
        <v>0</v>
      </c>
      <c r="I119" s="305">
        <f t="shared" si="1"/>
        <v>0</v>
      </c>
    </row>
    <row r="120" spans="1:9" ht="26.25" customHeight="1" x14ac:dyDescent="0.2">
      <c r="A120" s="282"/>
      <c r="B120" s="282" t="s">
        <v>524</v>
      </c>
      <c r="C120" s="775" t="s">
        <v>1027</v>
      </c>
      <c r="D120" s="775"/>
      <c r="E120" s="775"/>
      <c r="F120" s="283">
        <v>0</v>
      </c>
      <c r="G120" s="283">
        <v>0</v>
      </c>
      <c r="H120" s="283">
        <v>0</v>
      </c>
      <c r="I120" s="305">
        <f t="shared" si="1"/>
        <v>0</v>
      </c>
    </row>
    <row r="121" spans="1:9" x14ac:dyDescent="0.2">
      <c r="A121" s="282"/>
      <c r="B121" s="282" t="s">
        <v>1025</v>
      </c>
      <c r="C121" s="773" t="s">
        <v>523</v>
      </c>
      <c r="D121" s="773"/>
      <c r="E121" s="773"/>
      <c r="F121" s="283">
        <f>SUM(F122:F130)</f>
        <v>21668</v>
      </c>
      <c r="G121" s="283">
        <v>0</v>
      </c>
      <c r="H121" s="283">
        <v>0</v>
      </c>
      <c r="I121" s="305">
        <f t="shared" si="1"/>
        <v>21668</v>
      </c>
    </row>
    <row r="122" spans="1:9" x14ac:dyDescent="0.2">
      <c r="A122" s="294"/>
      <c r="B122" s="294"/>
      <c r="C122" s="291" t="s">
        <v>21</v>
      </c>
      <c r="D122" s="291" t="s">
        <v>308</v>
      </c>
      <c r="E122" s="291" t="s">
        <v>335</v>
      </c>
      <c r="F122" s="293">
        <v>0</v>
      </c>
      <c r="G122" s="293">
        <v>0</v>
      </c>
      <c r="H122" s="293">
        <v>0</v>
      </c>
      <c r="I122" s="295">
        <f t="shared" si="1"/>
        <v>0</v>
      </c>
    </row>
    <row r="123" spans="1:9" x14ac:dyDescent="0.2">
      <c r="A123" s="294"/>
      <c r="B123" s="294"/>
      <c r="C123" s="291"/>
      <c r="D123" s="291" t="s">
        <v>310</v>
      </c>
      <c r="E123" s="291" t="s">
        <v>1054</v>
      </c>
      <c r="F123" s="293">
        <v>7000</v>
      </c>
      <c r="G123" s="293">
        <v>0</v>
      </c>
      <c r="H123" s="293">
        <v>0</v>
      </c>
      <c r="I123" s="295">
        <f t="shared" si="1"/>
        <v>7000</v>
      </c>
    </row>
    <row r="124" spans="1:9" x14ac:dyDescent="0.2">
      <c r="A124" s="294"/>
      <c r="B124" s="294"/>
      <c r="C124" s="291"/>
      <c r="D124" s="291" t="s">
        <v>312</v>
      </c>
      <c r="E124" s="291" t="s">
        <v>336</v>
      </c>
      <c r="F124" s="293">
        <v>0</v>
      </c>
      <c r="G124" s="293">
        <v>0</v>
      </c>
      <c r="H124" s="293">
        <v>0</v>
      </c>
      <c r="I124" s="295">
        <f t="shared" si="1"/>
        <v>0</v>
      </c>
    </row>
    <row r="125" spans="1:9" x14ac:dyDescent="0.2">
      <c r="A125" s="294"/>
      <c r="B125" s="294"/>
      <c r="C125" s="291"/>
      <c r="D125" s="291" t="s">
        <v>314</v>
      </c>
      <c r="E125" s="291" t="s">
        <v>337</v>
      </c>
      <c r="F125" s="293">
        <v>0</v>
      </c>
      <c r="G125" s="293">
        <v>0</v>
      </c>
      <c r="H125" s="293">
        <v>0</v>
      </c>
      <c r="I125" s="295">
        <f t="shared" si="1"/>
        <v>0</v>
      </c>
    </row>
    <row r="126" spans="1:9" x14ac:dyDescent="0.2">
      <c r="A126" s="294"/>
      <c r="B126" s="294"/>
      <c r="C126" s="291"/>
      <c r="D126" s="291" t="s">
        <v>316</v>
      </c>
      <c r="E126" s="291" t="s">
        <v>338</v>
      </c>
      <c r="F126" s="293">
        <v>0</v>
      </c>
      <c r="G126" s="293">
        <v>0</v>
      </c>
      <c r="H126" s="293">
        <v>0</v>
      </c>
      <c r="I126" s="295">
        <f t="shared" si="1"/>
        <v>0</v>
      </c>
    </row>
    <row r="127" spans="1:9" x14ac:dyDescent="0.2">
      <c r="A127" s="294"/>
      <c r="B127" s="294"/>
      <c r="C127" s="291"/>
      <c r="D127" s="291" t="s">
        <v>318</v>
      </c>
      <c r="E127" s="291" t="s">
        <v>917</v>
      </c>
      <c r="F127" s="293">
        <v>0</v>
      </c>
      <c r="G127" s="293">
        <v>0</v>
      </c>
      <c r="H127" s="293">
        <v>0</v>
      </c>
      <c r="I127" s="295">
        <f t="shared" si="1"/>
        <v>0</v>
      </c>
    </row>
    <row r="128" spans="1:9" x14ac:dyDescent="0.2">
      <c r="A128" s="294"/>
      <c r="B128" s="294"/>
      <c r="C128" s="291"/>
      <c r="D128" s="291" t="s">
        <v>320</v>
      </c>
      <c r="E128" s="291" t="s">
        <v>916</v>
      </c>
      <c r="F128" s="760">
        <v>0</v>
      </c>
      <c r="G128" s="293">
        <v>0</v>
      </c>
      <c r="H128" s="293">
        <v>0</v>
      </c>
      <c r="I128" s="295">
        <f t="shared" si="1"/>
        <v>0</v>
      </c>
    </row>
    <row r="129" spans="1:9" x14ac:dyDescent="0.2">
      <c r="A129" s="294"/>
      <c r="B129" s="294"/>
      <c r="C129" s="291"/>
      <c r="D129" s="291" t="s">
        <v>322</v>
      </c>
      <c r="E129" s="291" t="s">
        <v>341</v>
      </c>
      <c r="F129" s="293">
        <v>14668</v>
      </c>
      <c r="G129" s="293">
        <v>0</v>
      </c>
      <c r="H129" s="293">
        <v>0</v>
      </c>
      <c r="I129" s="295">
        <f>SUM(F129:H129)</f>
        <v>14668</v>
      </c>
    </row>
    <row r="130" spans="1:9" x14ac:dyDescent="0.2">
      <c r="A130" s="294"/>
      <c r="B130" s="294"/>
      <c r="C130" s="291"/>
      <c r="D130" s="291" t="s">
        <v>324</v>
      </c>
      <c r="E130" s="291" t="s">
        <v>1055</v>
      </c>
      <c r="F130" s="293">
        <v>0</v>
      </c>
      <c r="G130" s="293">
        <v>0</v>
      </c>
      <c r="H130" s="293">
        <v>0</v>
      </c>
      <c r="I130" s="295">
        <f t="shared" si="1"/>
        <v>0</v>
      </c>
    </row>
    <row r="131" spans="1:9" x14ac:dyDescent="0.2">
      <c r="A131" s="282"/>
      <c r="B131" s="282" t="s">
        <v>1028</v>
      </c>
      <c r="C131" s="773" t="s">
        <v>525</v>
      </c>
      <c r="D131" s="773"/>
      <c r="E131" s="773"/>
      <c r="F131" s="283">
        <v>0</v>
      </c>
      <c r="G131" s="283">
        <v>0</v>
      </c>
      <c r="H131" s="283">
        <v>0</v>
      </c>
      <c r="I131" s="305">
        <f t="shared" si="1"/>
        <v>0</v>
      </c>
    </row>
    <row r="132" spans="1:9" s="308" customFormat="1" x14ac:dyDescent="0.2">
      <c r="A132" s="306" t="s">
        <v>526</v>
      </c>
      <c r="B132" s="772" t="s">
        <v>527</v>
      </c>
      <c r="C132" s="772"/>
      <c r="D132" s="772"/>
      <c r="E132" s="772"/>
      <c r="F132" s="307">
        <f>SUM(F133+F134+F135+F136+F146)</f>
        <v>216458</v>
      </c>
      <c r="G132" s="307">
        <f>SUM(G133+G134+G135+G136+G146)</f>
        <v>0</v>
      </c>
      <c r="H132" s="307">
        <f>SUM(H133+H134+H135+H136+H146)</f>
        <v>0</v>
      </c>
      <c r="I132" s="307">
        <f t="shared" si="1"/>
        <v>216458</v>
      </c>
    </row>
    <row r="133" spans="1:9" x14ac:dyDescent="0.2">
      <c r="A133" s="282"/>
      <c r="B133" s="282" t="s">
        <v>528</v>
      </c>
      <c r="C133" s="773" t="s">
        <v>529</v>
      </c>
      <c r="D133" s="773"/>
      <c r="E133" s="773"/>
      <c r="F133" s="283">
        <v>0</v>
      </c>
      <c r="G133" s="283">
        <v>0</v>
      </c>
      <c r="H133" s="283">
        <v>0</v>
      </c>
      <c r="I133" s="305">
        <f t="shared" si="1"/>
        <v>0</v>
      </c>
    </row>
    <row r="134" spans="1:9" x14ac:dyDescent="0.2">
      <c r="A134" s="282"/>
      <c r="B134" s="282" t="s">
        <v>530</v>
      </c>
      <c r="C134" s="773" t="s">
        <v>1029</v>
      </c>
      <c r="D134" s="773"/>
      <c r="E134" s="773"/>
      <c r="F134" s="283">
        <v>0</v>
      </c>
      <c r="G134" s="283">
        <v>0</v>
      </c>
      <c r="H134" s="283">
        <v>0</v>
      </c>
      <c r="I134" s="305">
        <f t="shared" si="1"/>
        <v>0</v>
      </c>
    </row>
    <row r="135" spans="1:9" ht="25.5" customHeight="1" x14ac:dyDescent="0.2">
      <c r="A135" s="282"/>
      <c r="B135" s="282" t="s">
        <v>532</v>
      </c>
      <c r="C135" s="775" t="s">
        <v>1030</v>
      </c>
      <c r="D135" s="775"/>
      <c r="E135" s="775"/>
      <c r="F135" s="283">
        <v>0</v>
      </c>
      <c r="G135" s="283">
        <v>0</v>
      </c>
      <c r="H135" s="283">
        <v>0</v>
      </c>
      <c r="I135" s="305">
        <f t="shared" si="1"/>
        <v>0</v>
      </c>
    </row>
    <row r="136" spans="1:9" x14ac:dyDescent="0.2">
      <c r="A136" s="294"/>
      <c r="B136" s="282" t="s">
        <v>1031</v>
      </c>
      <c r="C136" s="773" t="s">
        <v>531</v>
      </c>
      <c r="D136" s="773"/>
      <c r="E136" s="773"/>
      <c r="F136" s="283">
        <f>SUM(F137:F145)</f>
        <v>40540</v>
      </c>
      <c r="G136" s="283">
        <f>SUM(G137:G145)</f>
        <v>0</v>
      </c>
      <c r="H136" s="283">
        <f>SUM(H137:H145)</f>
        <v>0</v>
      </c>
      <c r="I136" s="305">
        <f t="shared" si="1"/>
        <v>40540</v>
      </c>
    </row>
    <row r="137" spans="1:9" x14ac:dyDescent="0.2">
      <c r="A137" s="294"/>
      <c r="B137" s="294"/>
      <c r="C137" s="291" t="s">
        <v>21</v>
      </c>
      <c r="D137" s="291" t="s">
        <v>308</v>
      </c>
      <c r="E137" s="291" t="s">
        <v>335</v>
      </c>
      <c r="F137" s="293">
        <v>0</v>
      </c>
      <c r="G137" s="293">
        <v>0</v>
      </c>
      <c r="H137" s="293">
        <v>0</v>
      </c>
      <c r="I137" s="295">
        <f t="shared" ref="I137:I143" si="2">SUM(F137:H137)</f>
        <v>0</v>
      </c>
    </row>
    <row r="138" spans="1:9" x14ac:dyDescent="0.2">
      <c r="A138" s="294"/>
      <c r="B138" s="294"/>
      <c r="C138" s="291"/>
      <c r="D138" s="291" t="s">
        <v>310</v>
      </c>
      <c r="E138" s="291" t="s">
        <v>1054</v>
      </c>
      <c r="F138" s="293">
        <v>40540</v>
      </c>
      <c r="G138" s="293">
        <v>0</v>
      </c>
      <c r="H138" s="293">
        <v>0</v>
      </c>
      <c r="I138" s="295">
        <f t="shared" si="2"/>
        <v>40540</v>
      </c>
    </row>
    <row r="139" spans="1:9" x14ac:dyDescent="0.2">
      <c r="A139" s="294"/>
      <c r="B139" s="294"/>
      <c r="C139" s="291"/>
      <c r="D139" s="291" t="s">
        <v>312</v>
      </c>
      <c r="E139" s="291" t="s">
        <v>336</v>
      </c>
      <c r="F139" s="293">
        <v>0</v>
      </c>
      <c r="G139" s="293">
        <v>0</v>
      </c>
      <c r="H139" s="293">
        <v>0</v>
      </c>
      <c r="I139" s="295">
        <f t="shared" si="2"/>
        <v>0</v>
      </c>
    </row>
    <row r="140" spans="1:9" x14ac:dyDescent="0.2">
      <c r="A140" s="294"/>
      <c r="B140" s="294"/>
      <c r="C140" s="291"/>
      <c r="D140" s="291" t="s">
        <v>314</v>
      </c>
      <c r="E140" s="291" t="s">
        <v>337</v>
      </c>
      <c r="F140" s="293">
        <v>0</v>
      </c>
      <c r="G140" s="293">
        <v>0</v>
      </c>
      <c r="H140" s="293">
        <v>0</v>
      </c>
      <c r="I140" s="295">
        <f t="shared" si="2"/>
        <v>0</v>
      </c>
    </row>
    <row r="141" spans="1:9" x14ac:dyDescent="0.2">
      <c r="A141" s="294"/>
      <c r="B141" s="294"/>
      <c r="C141" s="291"/>
      <c r="D141" s="291" t="s">
        <v>316</v>
      </c>
      <c r="E141" s="291" t="s">
        <v>338</v>
      </c>
      <c r="F141" s="293">
        <v>0</v>
      </c>
      <c r="G141" s="293">
        <v>0</v>
      </c>
      <c r="H141" s="293">
        <v>0</v>
      </c>
      <c r="I141" s="295">
        <f t="shared" si="2"/>
        <v>0</v>
      </c>
    </row>
    <row r="142" spans="1:9" x14ac:dyDescent="0.2">
      <c r="A142" s="294"/>
      <c r="B142" s="294"/>
      <c r="C142" s="291"/>
      <c r="D142" s="291" t="s">
        <v>318</v>
      </c>
      <c r="E142" s="291" t="s">
        <v>917</v>
      </c>
      <c r="F142" s="293">
        <v>0</v>
      </c>
      <c r="G142" s="293">
        <v>0</v>
      </c>
      <c r="H142" s="293">
        <v>0</v>
      </c>
      <c r="I142" s="295">
        <f t="shared" si="2"/>
        <v>0</v>
      </c>
    </row>
    <row r="143" spans="1:9" x14ac:dyDescent="0.2">
      <c r="A143" s="294"/>
      <c r="B143" s="294"/>
      <c r="C143" s="291"/>
      <c r="D143" s="291" t="s">
        <v>320</v>
      </c>
      <c r="E143" s="291" t="s">
        <v>916</v>
      </c>
      <c r="F143" s="760">
        <v>0</v>
      </c>
      <c r="G143" s="293">
        <v>0</v>
      </c>
      <c r="H143" s="293">
        <v>0</v>
      </c>
      <c r="I143" s="295">
        <f t="shared" si="2"/>
        <v>0</v>
      </c>
    </row>
    <row r="144" spans="1:9" x14ac:dyDescent="0.2">
      <c r="A144" s="294"/>
      <c r="B144" s="294"/>
      <c r="C144" s="291"/>
      <c r="D144" s="291" t="s">
        <v>322</v>
      </c>
      <c r="E144" s="291" t="s">
        <v>341</v>
      </c>
      <c r="F144" s="293">
        <v>0</v>
      </c>
      <c r="G144" s="293">
        <v>0</v>
      </c>
      <c r="H144" s="293">
        <v>0</v>
      </c>
      <c r="I144" s="295">
        <f>SUM(F144:H144)</f>
        <v>0</v>
      </c>
    </row>
    <row r="145" spans="1:9" x14ac:dyDescent="0.2">
      <c r="A145" s="294"/>
      <c r="B145" s="294"/>
      <c r="C145" s="291"/>
      <c r="D145" s="291" t="s">
        <v>324</v>
      </c>
      <c r="E145" s="291" t="s">
        <v>1055</v>
      </c>
      <c r="F145" s="293">
        <v>0</v>
      </c>
      <c r="G145" s="293">
        <v>0</v>
      </c>
      <c r="H145" s="293">
        <v>0</v>
      </c>
      <c r="I145" s="295">
        <f>SUM(F145:H145)</f>
        <v>0</v>
      </c>
    </row>
    <row r="146" spans="1:9" x14ac:dyDescent="0.2">
      <c r="A146" s="294"/>
      <c r="B146" s="282" t="s">
        <v>1032</v>
      </c>
      <c r="C146" s="773" t="s">
        <v>533</v>
      </c>
      <c r="D146" s="773"/>
      <c r="E146" s="773"/>
      <c r="F146" s="283">
        <f>SUM(F147:F157)</f>
        <v>175918</v>
      </c>
      <c r="G146" s="283">
        <f>SUM(G147:G157)</f>
        <v>0</v>
      </c>
      <c r="H146" s="283">
        <f>SUM(H147:H157)</f>
        <v>0</v>
      </c>
      <c r="I146" s="305">
        <f t="shared" si="1"/>
        <v>175918</v>
      </c>
    </row>
    <row r="147" spans="1:9" x14ac:dyDescent="0.2">
      <c r="A147" s="294"/>
      <c r="B147" s="294"/>
      <c r="C147" s="291" t="s">
        <v>21</v>
      </c>
      <c r="D147" s="291" t="s">
        <v>308</v>
      </c>
      <c r="E147" s="291" t="s">
        <v>335</v>
      </c>
      <c r="F147" s="293">
        <v>0</v>
      </c>
      <c r="G147" s="293">
        <v>0</v>
      </c>
      <c r="H147" s="293">
        <v>0</v>
      </c>
      <c r="I147" s="295">
        <f t="shared" si="1"/>
        <v>0</v>
      </c>
    </row>
    <row r="148" spans="1:9" x14ac:dyDescent="0.2">
      <c r="A148" s="294"/>
      <c r="B148" s="294"/>
      <c r="C148" s="291"/>
      <c r="D148" s="291" t="s">
        <v>310</v>
      </c>
      <c r="E148" s="291" t="s">
        <v>1054</v>
      </c>
      <c r="F148" s="293">
        <v>0</v>
      </c>
      <c r="G148" s="293">
        <v>0</v>
      </c>
      <c r="H148" s="293">
        <v>0</v>
      </c>
      <c r="I148" s="295">
        <f t="shared" si="1"/>
        <v>0</v>
      </c>
    </row>
    <row r="149" spans="1:9" x14ac:dyDescent="0.2">
      <c r="A149" s="294"/>
      <c r="B149" s="294"/>
      <c r="C149" s="291"/>
      <c r="D149" s="291" t="s">
        <v>312</v>
      </c>
      <c r="E149" s="291" t="s">
        <v>336</v>
      </c>
      <c r="F149" s="293">
        <v>0</v>
      </c>
      <c r="G149" s="293">
        <v>0</v>
      </c>
      <c r="H149" s="293">
        <v>0</v>
      </c>
      <c r="I149" s="295">
        <f t="shared" si="1"/>
        <v>0</v>
      </c>
    </row>
    <row r="150" spans="1:9" x14ac:dyDescent="0.2">
      <c r="A150" s="294"/>
      <c r="B150" s="294"/>
      <c r="C150" s="291"/>
      <c r="D150" s="291" t="s">
        <v>314</v>
      </c>
      <c r="E150" s="291" t="s">
        <v>337</v>
      </c>
      <c r="F150" s="293">
        <v>0</v>
      </c>
      <c r="G150" s="293">
        <v>0</v>
      </c>
      <c r="H150" s="293">
        <v>0</v>
      </c>
      <c r="I150" s="295">
        <f t="shared" si="1"/>
        <v>0</v>
      </c>
    </row>
    <row r="151" spans="1:9" x14ac:dyDescent="0.2">
      <c r="A151" s="294"/>
      <c r="B151" s="294"/>
      <c r="C151" s="291"/>
      <c r="D151" s="291" t="s">
        <v>316</v>
      </c>
      <c r="E151" s="291" t="s">
        <v>338</v>
      </c>
      <c r="F151" s="293">
        <v>0</v>
      </c>
      <c r="G151" s="293">
        <v>0</v>
      </c>
      <c r="H151" s="293">
        <v>0</v>
      </c>
      <c r="I151" s="295">
        <f t="shared" si="1"/>
        <v>0</v>
      </c>
    </row>
    <row r="152" spans="1:9" x14ac:dyDescent="0.2">
      <c r="A152" s="294"/>
      <c r="B152" s="294"/>
      <c r="C152" s="291"/>
      <c r="D152" s="291" t="s">
        <v>318</v>
      </c>
      <c r="E152" s="291" t="s">
        <v>917</v>
      </c>
      <c r="F152" s="293">
        <v>0</v>
      </c>
      <c r="G152" s="293">
        <v>0</v>
      </c>
      <c r="H152" s="293">
        <v>0</v>
      </c>
      <c r="I152" s="295">
        <f t="shared" si="1"/>
        <v>0</v>
      </c>
    </row>
    <row r="153" spans="1:9" x14ac:dyDescent="0.2">
      <c r="A153" s="294"/>
      <c r="B153" s="294"/>
      <c r="C153" s="291"/>
      <c r="D153" s="291" t="s">
        <v>320</v>
      </c>
      <c r="E153" s="291" t="s">
        <v>916</v>
      </c>
      <c r="F153" s="760">
        <v>3517</v>
      </c>
      <c r="G153" s="293">
        <v>0</v>
      </c>
      <c r="H153" s="293">
        <v>0</v>
      </c>
      <c r="I153" s="295">
        <f t="shared" si="1"/>
        <v>3517</v>
      </c>
    </row>
    <row r="154" spans="1:9" x14ac:dyDescent="0.2">
      <c r="A154" s="294"/>
      <c r="B154" s="294"/>
      <c r="C154" s="291"/>
      <c r="D154" s="291" t="s">
        <v>322</v>
      </c>
      <c r="E154" s="291" t="s">
        <v>341</v>
      </c>
      <c r="F154" s="293">
        <v>172401</v>
      </c>
      <c r="G154" s="293">
        <v>0</v>
      </c>
      <c r="H154" s="293">
        <v>0</v>
      </c>
      <c r="I154" s="295">
        <f>SUM(F154:H154)</f>
        <v>172401</v>
      </c>
    </row>
    <row r="155" spans="1:9" x14ac:dyDescent="0.2">
      <c r="A155" s="294"/>
      <c r="B155" s="294"/>
      <c r="C155" s="291"/>
      <c r="D155" s="291" t="s">
        <v>324</v>
      </c>
      <c r="E155" s="291" t="s">
        <v>342</v>
      </c>
      <c r="F155" s="293">
        <v>0</v>
      </c>
      <c r="G155" s="293">
        <v>0</v>
      </c>
      <c r="H155" s="293">
        <v>0</v>
      </c>
      <c r="I155" s="295">
        <f>SUM(F155:H155)</f>
        <v>0</v>
      </c>
    </row>
    <row r="156" spans="1:9" x14ac:dyDescent="0.2">
      <c r="A156" s="294"/>
      <c r="B156" s="294"/>
      <c r="C156" s="291"/>
      <c r="D156" s="291" t="s">
        <v>326</v>
      </c>
      <c r="E156" s="291" t="s">
        <v>343</v>
      </c>
      <c r="F156" s="293">
        <v>0</v>
      </c>
      <c r="G156" s="293">
        <v>0</v>
      </c>
      <c r="H156" s="293">
        <v>0</v>
      </c>
      <c r="I156" s="295">
        <f>SUM(F156:H156)</f>
        <v>0</v>
      </c>
    </row>
    <row r="157" spans="1:9" x14ac:dyDescent="0.2">
      <c r="A157" s="294"/>
      <c r="B157" s="294"/>
      <c r="C157" s="291"/>
      <c r="D157" s="291" t="s">
        <v>1056</v>
      </c>
      <c r="E157" s="291" t="s">
        <v>344</v>
      </c>
      <c r="F157" s="293">
        <v>0</v>
      </c>
      <c r="G157" s="293">
        <v>0</v>
      </c>
      <c r="H157" s="293">
        <v>0</v>
      </c>
      <c r="I157" s="295">
        <f>SUM(F157:H157)</f>
        <v>0</v>
      </c>
    </row>
    <row r="158" spans="1:9" s="308" customFormat="1" x14ac:dyDescent="0.2">
      <c r="A158" s="306" t="s">
        <v>534</v>
      </c>
      <c r="B158" s="772" t="s">
        <v>535</v>
      </c>
      <c r="C158" s="772"/>
      <c r="D158" s="772"/>
      <c r="E158" s="772"/>
      <c r="F158" s="307">
        <f>SUM(F159+F182+F183+F184)</f>
        <v>3569</v>
      </c>
      <c r="G158" s="307">
        <f>SUM(G159+G182+G183+G184)</f>
        <v>0</v>
      </c>
      <c r="H158" s="307">
        <f>SUM(H159+H182+H183+H184)</f>
        <v>1281</v>
      </c>
      <c r="I158" s="307">
        <f>SUM(I159+I182+I183+I184)</f>
        <v>4850</v>
      </c>
    </row>
    <row r="159" spans="1:9" x14ac:dyDescent="0.2">
      <c r="A159" s="294"/>
      <c r="B159" s="282" t="s">
        <v>536</v>
      </c>
      <c r="C159" s="773" t="s">
        <v>537</v>
      </c>
      <c r="D159" s="773"/>
      <c r="E159" s="773"/>
      <c r="F159" s="283">
        <f>SUM(F160+F164+F169+F174+F175+F176+F177+F178+F179)</f>
        <v>3569</v>
      </c>
      <c r="G159" s="283">
        <f>SUM(G160+G164+G169+G174+G175+G176+G177+G178+G179)</f>
        <v>0</v>
      </c>
      <c r="H159" s="283">
        <f>SUM(H160+H164+H169+H174+H175+H176+H177+H178+H179)</f>
        <v>1281</v>
      </c>
      <c r="I159" s="305">
        <f t="shared" si="1"/>
        <v>4850</v>
      </c>
    </row>
    <row r="160" spans="1:9" x14ac:dyDescent="0.2">
      <c r="A160" s="289"/>
      <c r="B160" s="289"/>
      <c r="C160" s="289" t="s">
        <v>538</v>
      </c>
      <c r="D160" s="289" t="s">
        <v>539</v>
      </c>
      <c r="E160" s="289"/>
      <c r="F160" s="290">
        <f>SUM(F161:F163)</f>
        <v>0</v>
      </c>
      <c r="G160" s="290">
        <f>SUM(G161:G163)</f>
        <v>0</v>
      </c>
      <c r="H160" s="290">
        <f>SUM(H161:H163)</f>
        <v>0</v>
      </c>
      <c r="I160" s="303">
        <f t="shared" si="1"/>
        <v>0</v>
      </c>
    </row>
    <row r="161" spans="1:9" x14ac:dyDescent="0.2">
      <c r="A161" s="284"/>
      <c r="B161" s="284"/>
      <c r="C161" s="284"/>
      <c r="D161" s="284" t="s">
        <v>540</v>
      </c>
      <c r="E161" s="284" t="s">
        <v>1033</v>
      </c>
      <c r="F161" s="285"/>
      <c r="G161" s="285">
        <v>0</v>
      </c>
      <c r="H161" s="285">
        <v>0</v>
      </c>
      <c r="I161" s="304">
        <f t="shared" si="1"/>
        <v>0</v>
      </c>
    </row>
    <row r="162" spans="1:9" x14ac:dyDescent="0.2">
      <c r="A162" s="284"/>
      <c r="B162" s="284"/>
      <c r="C162" s="284"/>
      <c r="D162" s="284" t="s">
        <v>541</v>
      </c>
      <c r="E162" s="284" t="s">
        <v>542</v>
      </c>
      <c r="F162" s="285">
        <v>0</v>
      </c>
      <c r="G162" s="285">
        <v>0</v>
      </c>
      <c r="H162" s="285">
        <v>0</v>
      </c>
      <c r="I162" s="304">
        <f t="shared" si="1"/>
        <v>0</v>
      </c>
    </row>
    <row r="163" spans="1:9" x14ac:dyDescent="0.2">
      <c r="A163" s="284"/>
      <c r="B163" s="284"/>
      <c r="C163" s="284"/>
      <c r="D163" s="284" t="s">
        <v>543</v>
      </c>
      <c r="E163" s="284" t="s">
        <v>1034</v>
      </c>
      <c r="F163" s="285">
        <v>0</v>
      </c>
      <c r="G163" s="285">
        <v>0</v>
      </c>
      <c r="H163" s="285">
        <v>0</v>
      </c>
      <c r="I163" s="304">
        <f t="shared" si="1"/>
        <v>0</v>
      </c>
    </row>
    <row r="164" spans="1:9" x14ac:dyDescent="0.2">
      <c r="A164" s="289"/>
      <c r="B164" s="289"/>
      <c r="C164" s="289" t="s">
        <v>544</v>
      </c>
      <c r="D164" s="289" t="s">
        <v>545</v>
      </c>
      <c r="E164" s="289"/>
      <c r="F164" s="290">
        <f>SUM(F165:F168)</f>
        <v>0</v>
      </c>
      <c r="G164" s="290">
        <f>SUM(G165:G168)</f>
        <v>0</v>
      </c>
      <c r="H164" s="290">
        <f>SUM(H165:H168)</f>
        <v>0</v>
      </c>
      <c r="I164" s="303">
        <f t="shared" si="1"/>
        <v>0</v>
      </c>
    </row>
    <row r="165" spans="1:9" x14ac:dyDescent="0.2">
      <c r="A165" s="289"/>
      <c r="B165" s="289"/>
      <c r="C165" s="289"/>
      <c r="D165" s="284" t="s">
        <v>1035</v>
      </c>
      <c r="E165" s="284" t="s">
        <v>1036</v>
      </c>
      <c r="F165" s="290">
        <v>0</v>
      </c>
      <c r="G165" s="290">
        <v>0</v>
      </c>
      <c r="H165" s="290">
        <v>0</v>
      </c>
      <c r="I165" s="303">
        <f t="shared" si="1"/>
        <v>0</v>
      </c>
    </row>
    <row r="166" spans="1:9" x14ac:dyDescent="0.2">
      <c r="A166" s="289"/>
      <c r="B166" s="289"/>
      <c r="C166" s="289"/>
      <c r="D166" s="284" t="s">
        <v>1037</v>
      </c>
      <c r="E166" s="284" t="s">
        <v>1038</v>
      </c>
      <c r="F166" s="290">
        <v>0</v>
      </c>
      <c r="G166" s="290">
        <v>0</v>
      </c>
      <c r="H166" s="290">
        <v>0</v>
      </c>
      <c r="I166" s="303">
        <f t="shared" si="1"/>
        <v>0</v>
      </c>
    </row>
    <row r="167" spans="1:9" x14ac:dyDescent="0.2">
      <c r="A167" s="289"/>
      <c r="B167" s="289"/>
      <c r="C167" s="289"/>
      <c r="D167" s="284" t="s">
        <v>1039</v>
      </c>
      <c r="E167" s="284" t="s">
        <v>1040</v>
      </c>
      <c r="F167" s="290">
        <v>0</v>
      </c>
      <c r="G167" s="290">
        <v>0</v>
      </c>
      <c r="H167" s="290">
        <v>0</v>
      </c>
      <c r="I167" s="303">
        <f t="shared" si="1"/>
        <v>0</v>
      </c>
    </row>
    <row r="168" spans="1:9" x14ac:dyDescent="0.2">
      <c r="A168" s="289"/>
      <c r="B168" s="289"/>
      <c r="C168" s="289"/>
      <c r="D168" s="284" t="s">
        <v>1041</v>
      </c>
      <c r="E168" s="284" t="s">
        <v>1042</v>
      </c>
      <c r="F168" s="290">
        <v>0</v>
      </c>
      <c r="G168" s="290">
        <v>0</v>
      </c>
      <c r="H168" s="290">
        <v>0</v>
      </c>
      <c r="I168" s="303">
        <f t="shared" si="1"/>
        <v>0</v>
      </c>
    </row>
    <row r="169" spans="1:9" x14ac:dyDescent="0.2">
      <c r="A169" s="289"/>
      <c r="B169" s="289"/>
      <c r="C169" s="289" t="s">
        <v>546</v>
      </c>
      <c r="D169" s="289" t="s">
        <v>547</v>
      </c>
      <c r="E169" s="289"/>
      <c r="F169" s="290">
        <f>SUM(F170,F173)</f>
        <v>3569</v>
      </c>
      <c r="G169" s="290">
        <f>SUM(G170,G173)</f>
        <v>0</v>
      </c>
      <c r="H169" s="290">
        <f>SUM(H170,H173)</f>
        <v>1281</v>
      </c>
      <c r="I169" s="303">
        <f t="shared" si="1"/>
        <v>4850</v>
      </c>
    </row>
    <row r="170" spans="1:9" x14ac:dyDescent="0.2">
      <c r="A170" s="284"/>
      <c r="B170" s="284"/>
      <c r="C170" s="284"/>
      <c r="D170" s="284" t="s">
        <v>548</v>
      </c>
      <c r="E170" s="284" t="s">
        <v>549</v>
      </c>
      <c r="F170" s="285">
        <f>SUM(F171:F172)</f>
        <v>3569</v>
      </c>
      <c r="G170" s="285">
        <f>SUM(G171:G172)</f>
        <v>0</v>
      </c>
      <c r="H170" s="285">
        <f>SUM(H171:H172)</f>
        <v>1281</v>
      </c>
      <c r="I170" s="304">
        <f t="shared" ref="I170:I184" si="3">SUM(F170:H170)</f>
        <v>4850</v>
      </c>
    </row>
    <row r="171" spans="1:9" s="676" customFormat="1" x14ac:dyDescent="0.2">
      <c r="A171" s="286"/>
      <c r="B171" s="286"/>
      <c r="C171" s="286"/>
      <c r="D171" s="286"/>
      <c r="E171" s="675" t="s">
        <v>121</v>
      </c>
      <c r="F171" s="287">
        <v>3569</v>
      </c>
      <c r="G171" s="287">
        <v>0</v>
      </c>
      <c r="H171" s="287">
        <v>1281</v>
      </c>
      <c r="I171" s="288">
        <f t="shared" si="3"/>
        <v>4850</v>
      </c>
    </row>
    <row r="172" spans="1:9" s="676" customFormat="1" x14ac:dyDescent="0.2">
      <c r="A172" s="286"/>
      <c r="B172" s="286"/>
      <c r="C172" s="286"/>
      <c r="D172" s="286"/>
      <c r="E172" s="675" t="s">
        <v>122</v>
      </c>
      <c r="F172" s="287">
        <v>0</v>
      </c>
      <c r="G172" s="287">
        <v>0</v>
      </c>
      <c r="H172" s="287">
        <v>0</v>
      </c>
      <c r="I172" s="288">
        <f t="shared" si="3"/>
        <v>0</v>
      </c>
    </row>
    <row r="173" spans="1:9" x14ac:dyDescent="0.2">
      <c r="A173" s="284"/>
      <c r="B173" s="284"/>
      <c r="C173" s="284"/>
      <c r="D173" s="284" t="s">
        <v>550</v>
      </c>
      <c r="E173" s="284" t="s">
        <v>551</v>
      </c>
      <c r="F173" s="285">
        <v>0</v>
      </c>
      <c r="G173" s="285">
        <v>0</v>
      </c>
      <c r="H173" s="285">
        <v>0</v>
      </c>
      <c r="I173" s="304">
        <f t="shared" si="3"/>
        <v>0</v>
      </c>
    </row>
    <row r="174" spans="1:9" x14ac:dyDescent="0.2">
      <c r="A174" s="289"/>
      <c r="B174" s="289"/>
      <c r="C174" s="289" t="s">
        <v>552</v>
      </c>
      <c r="D174" s="289" t="s">
        <v>553</v>
      </c>
      <c r="E174" s="289"/>
      <c r="F174" s="290">
        <v>0</v>
      </c>
      <c r="G174" s="290">
        <v>0</v>
      </c>
      <c r="H174" s="290">
        <v>0</v>
      </c>
      <c r="I174" s="303">
        <f t="shared" si="3"/>
        <v>0</v>
      </c>
    </row>
    <row r="175" spans="1:9" x14ac:dyDescent="0.2">
      <c r="A175" s="289"/>
      <c r="B175" s="289"/>
      <c r="C175" s="289" t="s">
        <v>554</v>
      </c>
      <c r="D175" s="289" t="s">
        <v>555</v>
      </c>
      <c r="E175" s="289"/>
      <c r="F175" s="290">
        <v>0</v>
      </c>
      <c r="G175" s="290">
        <v>0</v>
      </c>
      <c r="H175" s="290">
        <v>0</v>
      </c>
      <c r="I175" s="303">
        <f t="shared" si="3"/>
        <v>0</v>
      </c>
    </row>
    <row r="176" spans="1:9" x14ac:dyDescent="0.2">
      <c r="A176" s="289"/>
      <c r="B176" s="289"/>
      <c r="C176" s="289" t="s">
        <v>556</v>
      </c>
      <c r="D176" s="289" t="s">
        <v>557</v>
      </c>
      <c r="E176" s="289"/>
      <c r="F176" s="290">
        <v>0</v>
      </c>
      <c r="G176" s="290">
        <v>0</v>
      </c>
      <c r="H176" s="290">
        <v>0</v>
      </c>
      <c r="I176" s="303">
        <f t="shared" si="3"/>
        <v>0</v>
      </c>
    </row>
    <row r="177" spans="1:9" x14ac:dyDescent="0.2">
      <c r="A177" s="289"/>
      <c r="B177" s="289"/>
      <c r="C177" s="289" t="s">
        <v>558</v>
      </c>
      <c r="D177" s="289" t="s">
        <v>1043</v>
      </c>
      <c r="E177" s="289"/>
      <c r="F177" s="290">
        <v>0</v>
      </c>
      <c r="G177" s="290">
        <v>0</v>
      </c>
      <c r="H177" s="290">
        <v>0</v>
      </c>
      <c r="I177" s="303">
        <f t="shared" si="3"/>
        <v>0</v>
      </c>
    </row>
    <row r="178" spans="1:9" x14ac:dyDescent="0.2">
      <c r="A178" s="289"/>
      <c r="B178" s="289"/>
      <c r="C178" s="289" t="s">
        <v>559</v>
      </c>
      <c r="D178" s="289" t="s">
        <v>560</v>
      </c>
      <c r="E178" s="289"/>
      <c r="F178" s="290">
        <v>0</v>
      </c>
      <c r="G178" s="290">
        <v>0</v>
      </c>
      <c r="H178" s="290">
        <v>0</v>
      </c>
      <c r="I178" s="303">
        <f t="shared" si="3"/>
        <v>0</v>
      </c>
    </row>
    <row r="179" spans="1:9" x14ac:dyDescent="0.2">
      <c r="A179" s="289"/>
      <c r="B179" s="289"/>
      <c r="C179" s="289" t="s">
        <v>1044</v>
      </c>
      <c r="D179" s="289" t="s">
        <v>1045</v>
      </c>
      <c r="E179" s="289"/>
      <c r="F179" s="290">
        <v>0</v>
      </c>
      <c r="G179" s="290">
        <v>0</v>
      </c>
      <c r="H179" s="290">
        <v>0</v>
      </c>
      <c r="I179" s="303">
        <f t="shared" si="3"/>
        <v>0</v>
      </c>
    </row>
    <row r="180" spans="1:9" x14ac:dyDescent="0.2">
      <c r="A180" s="289"/>
      <c r="B180" s="289"/>
      <c r="C180" s="289"/>
      <c r="D180" s="284" t="s">
        <v>1046</v>
      </c>
      <c r="E180" s="284" t="s">
        <v>1047</v>
      </c>
      <c r="F180" s="287">
        <v>0</v>
      </c>
      <c r="G180" s="287">
        <v>0</v>
      </c>
      <c r="H180" s="287">
        <v>0</v>
      </c>
      <c r="I180" s="303">
        <f t="shared" si="3"/>
        <v>0</v>
      </c>
    </row>
    <row r="181" spans="1:9" x14ac:dyDescent="0.2">
      <c r="A181" s="289"/>
      <c r="B181" s="289"/>
      <c r="C181" s="289"/>
      <c r="D181" s="284" t="s">
        <v>1048</v>
      </c>
      <c r="E181" s="284" t="s">
        <v>1049</v>
      </c>
      <c r="F181" s="287">
        <v>0</v>
      </c>
      <c r="G181" s="287">
        <v>0</v>
      </c>
      <c r="H181" s="287">
        <v>0</v>
      </c>
      <c r="I181" s="303">
        <f t="shared" si="3"/>
        <v>0</v>
      </c>
    </row>
    <row r="182" spans="1:9" x14ac:dyDescent="0.2">
      <c r="A182" s="294"/>
      <c r="B182" s="282" t="s">
        <v>561</v>
      </c>
      <c r="C182" s="773" t="s">
        <v>562</v>
      </c>
      <c r="D182" s="773"/>
      <c r="E182" s="773"/>
      <c r="F182" s="283">
        <v>0</v>
      </c>
      <c r="G182" s="283">
        <v>0</v>
      </c>
      <c r="H182" s="283">
        <v>0</v>
      </c>
      <c r="I182" s="305">
        <f t="shared" si="3"/>
        <v>0</v>
      </c>
    </row>
    <row r="183" spans="1:9" x14ac:dyDescent="0.2">
      <c r="A183" s="294"/>
      <c r="B183" s="282" t="s">
        <v>563</v>
      </c>
      <c r="C183" s="773" t="s">
        <v>564</v>
      </c>
      <c r="D183" s="773"/>
      <c r="E183" s="773"/>
      <c r="F183" s="283">
        <v>0</v>
      </c>
      <c r="G183" s="283">
        <v>0</v>
      </c>
      <c r="H183" s="283">
        <v>0</v>
      </c>
      <c r="I183" s="305">
        <f>SUM(F183:H183)</f>
        <v>0</v>
      </c>
    </row>
    <row r="184" spans="1:9" x14ac:dyDescent="0.2">
      <c r="A184" s="294"/>
      <c r="B184" s="282" t="s">
        <v>1050</v>
      </c>
      <c r="C184" s="773" t="s">
        <v>1051</v>
      </c>
      <c r="D184" s="773"/>
      <c r="E184" s="773"/>
      <c r="F184" s="283">
        <v>0</v>
      </c>
      <c r="G184" s="283">
        <v>0</v>
      </c>
      <c r="H184" s="283">
        <v>0</v>
      </c>
      <c r="I184" s="305">
        <f t="shared" si="3"/>
        <v>0</v>
      </c>
    </row>
    <row r="185" spans="1:9" x14ac:dyDescent="0.2">
      <c r="A185" s="294"/>
      <c r="B185" s="294"/>
      <c r="C185" s="294"/>
      <c r="D185" s="294"/>
      <c r="E185" s="294"/>
      <c r="F185" s="281"/>
      <c r="G185" s="280"/>
      <c r="H185" s="280"/>
      <c r="I185" s="281"/>
    </row>
    <row r="186" spans="1:9" s="302" customFormat="1" ht="15.75" x14ac:dyDescent="0.25">
      <c r="A186" s="774" t="s">
        <v>724</v>
      </c>
      <c r="B186" s="774"/>
      <c r="C186" s="774"/>
      <c r="D186" s="774"/>
      <c r="E186" s="774"/>
      <c r="F186" s="301">
        <f>SUM(F158+F132+F117+F110+F84+F56+F40+F7)</f>
        <v>2566759</v>
      </c>
      <c r="G186" s="301">
        <f>SUM(G158+G132+G117+G110+G84+G56+G40+G7)</f>
        <v>9430</v>
      </c>
      <c r="H186" s="301">
        <f>SUM(H158+H132+H117+H110+H84+H56+H40+H7)</f>
        <v>9424</v>
      </c>
      <c r="I186" s="301">
        <f>SUM(F186:H186)</f>
        <v>2585613</v>
      </c>
    </row>
  </sheetData>
  <mergeCells count="50">
    <mergeCell ref="F1:I1"/>
    <mergeCell ref="B6:E6"/>
    <mergeCell ref="A2:I2"/>
    <mergeCell ref="C146:E146"/>
    <mergeCell ref="C58:E58"/>
    <mergeCell ref="C59:E59"/>
    <mergeCell ref="C60:E60"/>
    <mergeCell ref="C63:E63"/>
    <mergeCell ref="C74:E74"/>
    <mergeCell ref="C41:E41"/>
    <mergeCell ref="D107:E107"/>
    <mergeCell ref="B110:E110"/>
    <mergeCell ref="C44:E44"/>
    <mergeCell ref="C45:E45"/>
    <mergeCell ref="B56:E56"/>
    <mergeCell ref="C57:E57"/>
    <mergeCell ref="A186:E186"/>
    <mergeCell ref="C118:E118"/>
    <mergeCell ref="C121:E121"/>
    <mergeCell ref="C131:E131"/>
    <mergeCell ref="B132:E132"/>
    <mergeCell ref="C133:E133"/>
    <mergeCell ref="C136:E136"/>
    <mergeCell ref="C182:E182"/>
    <mergeCell ref="C184:E184"/>
    <mergeCell ref="C159:E159"/>
    <mergeCell ref="C119:E119"/>
    <mergeCell ref="C120:E120"/>
    <mergeCell ref="C183:E183"/>
    <mergeCell ref="B158:E158"/>
    <mergeCell ref="C135:E135"/>
    <mergeCell ref="C42:E42"/>
    <mergeCell ref="C43:E43"/>
    <mergeCell ref="C134:E134"/>
    <mergeCell ref="B84:E84"/>
    <mergeCell ref="C111:E111"/>
    <mergeCell ref="C112:E112"/>
    <mergeCell ref="C114:E114"/>
    <mergeCell ref="C115:E115"/>
    <mergeCell ref="C116:E116"/>
    <mergeCell ref="B117:E117"/>
    <mergeCell ref="A5:E5"/>
    <mergeCell ref="B7:E7"/>
    <mergeCell ref="C8:E8"/>
    <mergeCell ref="C15:E15"/>
    <mergeCell ref="B40:E40"/>
    <mergeCell ref="C16:E16"/>
    <mergeCell ref="C17:E17"/>
    <mergeCell ref="C28:E28"/>
    <mergeCell ref="C29:E29"/>
  </mergeCells>
  <phoneticPr fontId="54" type="noConversion"/>
  <printOptions horizontalCentered="1"/>
  <pageMargins left="0.51181102362204722" right="0.51181102362204722" top="0.47244094488188981" bottom="0.47244094488188981" header="0.31496062992125984" footer="0.31496062992125984"/>
  <pageSetup paperSize="9" scale="69" orientation="portrait" r:id="rId1"/>
  <rowBreaks count="1" manualBreakCount="1"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5"/>
  <sheetViews>
    <sheetView workbookViewId="0">
      <selection activeCell="I2" sqref="I2"/>
    </sheetView>
  </sheetViews>
  <sheetFormatPr defaultColWidth="8.85546875" defaultRowHeight="15.75" x14ac:dyDescent="0.2"/>
  <cols>
    <col min="1" max="1" width="4.140625" style="182" bestFit="1" customWidth="1"/>
    <col min="2" max="2" width="14.5703125" style="174" customWidth="1"/>
    <col min="3" max="9" width="16.7109375" style="174" customWidth="1"/>
    <col min="10" max="10" width="13.85546875" style="174" bestFit="1" customWidth="1"/>
    <col min="11" max="11" width="14.28515625" style="174" bestFit="1" customWidth="1"/>
    <col min="12" max="16384" width="8.85546875" style="174"/>
  </cols>
  <sheetData>
    <row r="1" spans="1:9" x14ac:dyDescent="0.2">
      <c r="I1" s="700" t="s">
        <v>1093</v>
      </c>
    </row>
    <row r="3" spans="1:9" ht="40.5" customHeight="1" x14ac:dyDescent="0.2">
      <c r="A3" s="1044" t="s">
        <v>280</v>
      </c>
      <c r="B3" s="1045"/>
      <c r="C3" s="1045"/>
      <c r="D3" s="1045"/>
      <c r="E3" s="1045"/>
      <c r="F3" s="1045"/>
      <c r="G3" s="1045"/>
      <c r="H3" s="1045"/>
      <c r="I3" s="1045"/>
    </row>
    <row r="4" spans="1:9" ht="16.5" thickBot="1" x14ac:dyDescent="0.25">
      <c r="B4" s="175"/>
      <c r="C4" s="175"/>
      <c r="D4" s="175"/>
      <c r="E4" s="175"/>
      <c r="F4" s="175"/>
      <c r="G4" s="175"/>
      <c r="H4" s="175"/>
      <c r="I4" s="175"/>
    </row>
    <row r="5" spans="1:9" x14ac:dyDescent="0.2">
      <c r="A5" s="1050" t="s">
        <v>716</v>
      </c>
      <c r="B5" s="1046" t="s">
        <v>688</v>
      </c>
      <c r="C5" s="1046" t="s">
        <v>695</v>
      </c>
      <c r="D5" s="1046"/>
      <c r="E5" s="1046"/>
      <c r="F5" s="1046"/>
      <c r="G5" s="1046"/>
      <c r="H5" s="1046"/>
      <c r="I5" s="1048" t="s">
        <v>704</v>
      </c>
    </row>
    <row r="6" spans="1:9" s="176" customFormat="1" ht="102.75" customHeight="1" x14ac:dyDescent="0.2">
      <c r="A6" s="1051"/>
      <c r="B6" s="1047"/>
      <c r="C6" s="177" t="s">
        <v>690</v>
      </c>
      <c r="D6" s="177" t="s">
        <v>692</v>
      </c>
      <c r="E6" s="177" t="s">
        <v>705</v>
      </c>
      <c r="F6" s="177" t="s">
        <v>693</v>
      </c>
      <c r="G6" s="177" t="s">
        <v>689</v>
      </c>
      <c r="H6" s="177" t="s">
        <v>694</v>
      </c>
      <c r="I6" s="1049"/>
    </row>
    <row r="7" spans="1:9" s="182" customFormat="1" ht="12" x14ac:dyDescent="0.2">
      <c r="A7" s="1051"/>
      <c r="B7" s="184" t="s">
        <v>710</v>
      </c>
      <c r="C7" s="183" t="s">
        <v>711</v>
      </c>
      <c r="D7" s="183" t="s">
        <v>712</v>
      </c>
      <c r="E7" s="183" t="s">
        <v>713</v>
      </c>
      <c r="F7" s="183" t="s">
        <v>714</v>
      </c>
      <c r="G7" s="183" t="s">
        <v>715</v>
      </c>
      <c r="H7" s="183" t="s">
        <v>718</v>
      </c>
      <c r="I7" s="186" t="s">
        <v>719</v>
      </c>
    </row>
    <row r="8" spans="1:9" x14ac:dyDescent="0.2">
      <c r="A8" s="180">
        <v>1</v>
      </c>
      <c r="B8" s="185" t="s">
        <v>727</v>
      </c>
      <c r="C8" s="602">
        <v>148970</v>
      </c>
      <c r="D8" s="602">
        <f>16695+10000+17272</f>
        <v>43967</v>
      </c>
      <c r="E8" s="181">
        <v>487</v>
      </c>
      <c r="F8" s="181">
        <v>0</v>
      </c>
      <c r="G8" s="764">
        <v>11983</v>
      </c>
      <c r="H8" s="181">
        <v>0</v>
      </c>
      <c r="I8" s="178">
        <f t="shared" ref="I8:I15" si="0">SUM(C8:H8)</f>
        <v>205407</v>
      </c>
    </row>
    <row r="9" spans="1:9" x14ac:dyDescent="0.2">
      <c r="A9" s="180">
        <v>2</v>
      </c>
      <c r="B9" s="185" t="s">
        <v>728</v>
      </c>
      <c r="C9" s="179">
        <v>128500</v>
      </c>
      <c r="D9" s="181">
        <v>20000</v>
      </c>
      <c r="E9" s="181">
        <v>3000</v>
      </c>
      <c r="F9" s="181">
        <v>1000</v>
      </c>
      <c r="G9" s="179">
        <v>9500</v>
      </c>
      <c r="H9" s="181">
        <v>0</v>
      </c>
      <c r="I9" s="178">
        <f t="shared" si="0"/>
        <v>162000</v>
      </c>
    </row>
    <row r="10" spans="1:9" x14ac:dyDescent="0.2">
      <c r="A10" s="180">
        <v>3</v>
      </c>
      <c r="B10" s="185" t="s">
        <v>729</v>
      </c>
      <c r="C10" s="179">
        <v>124800</v>
      </c>
      <c r="D10" s="181">
        <v>18000</v>
      </c>
      <c r="E10" s="181">
        <v>2800</v>
      </c>
      <c r="F10" s="181">
        <v>1000</v>
      </c>
      <c r="G10" s="179">
        <v>8000</v>
      </c>
      <c r="H10" s="181">
        <v>0</v>
      </c>
      <c r="I10" s="178">
        <f t="shared" si="0"/>
        <v>154600</v>
      </c>
    </row>
    <row r="11" spans="1:9" x14ac:dyDescent="0.2">
      <c r="A11" s="180">
        <v>4</v>
      </c>
      <c r="B11" s="185" t="s">
        <v>730</v>
      </c>
      <c r="C11" s="179">
        <v>125000</v>
      </c>
      <c r="D11" s="181">
        <v>16000</v>
      </c>
      <c r="E11" s="181">
        <v>2600</v>
      </c>
      <c r="F11" s="181">
        <v>800</v>
      </c>
      <c r="G11" s="179">
        <v>8000</v>
      </c>
      <c r="H11" s="181">
        <v>0</v>
      </c>
      <c r="I11" s="178">
        <f t="shared" si="0"/>
        <v>152400</v>
      </c>
    </row>
    <row r="12" spans="1:9" x14ac:dyDescent="0.2">
      <c r="A12" s="180">
        <v>5</v>
      </c>
      <c r="B12" s="185" t="s">
        <v>731</v>
      </c>
      <c r="C12" s="179">
        <v>125940</v>
      </c>
      <c r="D12" s="632">
        <v>6000</v>
      </c>
      <c r="E12" s="181">
        <v>2610</v>
      </c>
      <c r="F12" s="181">
        <v>200</v>
      </c>
      <c r="G12" s="179">
        <v>4000</v>
      </c>
      <c r="H12" s="181">
        <v>0</v>
      </c>
      <c r="I12" s="178">
        <f t="shared" si="0"/>
        <v>138750</v>
      </c>
    </row>
    <row r="13" spans="1:9" x14ac:dyDescent="0.2">
      <c r="A13" s="180">
        <v>6</v>
      </c>
      <c r="B13" s="185" t="s">
        <v>732</v>
      </c>
      <c r="C13" s="179">
        <v>127035</v>
      </c>
      <c r="D13" s="632">
        <v>6000</v>
      </c>
      <c r="E13" s="181">
        <v>2640</v>
      </c>
      <c r="F13" s="181">
        <v>100</v>
      </c>
      <c r="G13" s="179">
        <v>3800</v>
      </c>
      <c r="H13" s="181">
        <v>0</v>
      </c>
      <c r="I13" s="178">
        <f t="shared" si="0"/>
        <v>139575</v>
      </c>
    </row>
    <row r="14" spans="1:9" x14ac:dyDescent="0.2">
      <c r="A14" s="180">
        <v>7</v>
      </c>
      <c r="B14" s="185" t="s">
        <v>733</v>
      </c>
      <c r="C14" s="179">
        <v>128585</v>
      </c>
      <c r="D14" s="632">
        <v>6000</v>
      </c>
      <c r="E14" s="181">
        <v>2660</v>
      </c>
      <c r="F14" s="181">
        <v>100</v>
      </c>
      <c r="G14" s="179">
        <v>3500</v>
      </c>
      <c r="H14" s="181">
        <v>0</v>
      </c>
      <c r="I14" s="178">
        <f t="shared" si="0"/>
        <v>140845</v>
      </c>
    </row>
    <row r="15" spans="1:9" x14ac:dyDescent="0.2">
      <c r="A15" s="180">
        <v>8</v>
      </c>
      <c r="B15" s="185" t="s">
        <v>734</v>
      </c>
      <c r="C15" s="179">
        <v>130615</v>
      </c>
      <c r="D15" s="632">
        <v>6000</v>
      </c>
      <c r="E15" s="181">
        <v>2710</v>
      </c>
      <c r="F15" s="181">
        <v>100</v>
      </c>
      <c r="G15" s="179">
        <v>3400</v>
      </c>
      <c r="H15" s="181">
        <v>0</v>
      </c>
      <c r="I15" s="178">
        <f t="shared" si="0"/>
        <v>142825</v>
      </c>
    </row>
  </sheetData>
  <mergeCells count="5">
    <mergeCell ref="A3:I3"/>
    <mergeCell ref="B5:B6"/>
    <mergeCell ref="I5:I6"/>
    <mergeCell ref="A5:A7"/>
    <mergeCell ref="C5:H5"/>
  </mergeCells>
  <phoneticPr fontId="0" type="noConversion"/>
  <printOptions horizontalCentered="1" verticalCentered="1"/>
  <pageMargins left="0.59055118110236227" right="0.59055118110236227" top="0.70866141732283472" bottom="0.70866141732283472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2"/>
  <sheetViews>
    <sheetView tabSelected="1" zoomScaleNormal="100" workbookViewId="0">
      <selection activeCell="L2" sqref="L2"/>
    </sheetView>
  </sheetViews>
  <sheetFormatPr defaultRowHeight="12.75" x14ac:dyDescent="0.2"/>
  <cols>
    <col min="1" max="1" width="5.140625" style="75" bestFit="1" customWidth="1"/>
    <col min="2" max="2" width="8.85546875" style="65" customWidth="1"/>
    <col min="3" max="3" width="65" style="65" customWidth="1"/>
    <col min="4" max="4" width="9.7109375" style="65" bestFit="1" customWidth="1"/>
    <col min="5" max="5" width="10.42578125" style="65" bestFit="1" customWidth="1"/>
    <col min="6" max="6" width="14.42578125" style="65" bestFit="1" customWidth="1"/>
    <col min="7" max="7" width="9.7109375" style="65" bestFit="1" customWidth="1"/>
    <col min="8" max="8" width="11.28515625" style="65" customWidth="1"/>
    <col min="9" max="9" width="9.5703125" style="65" customWidth="1"/>
    <col min="10" max="10" width="11.28515625" style="65" customWidth="1"/>
    <col min="11" max="11" width="14.42578125" style="65" bestFit="1" customWidth="1"/>
    <col min="12" max="12" width="15.140625" style="65" customWidth="1"/>
    <col min="13" max="13" width="9.140625" style="65"/>
    <col min="14" max="14" width="12.42578125" style="65" bestFit="1" customWidth="1"/>
    <col min="15" max="16384" width="9.140625" style="65"/>
  </cols>
  <sheetData>
    <row r="1" spans="1:14" ht="15" x14ac:dyDescent="0.2">
      <c r="I1" s="673"/>
      <c r="L1" s="674" t="s">
        <v>1094</v>
      </c>
    </row>
    <row r="2" spans="1:14" s="51" customFormat="1" ht="15.75" x14ac:dyDescent="0.25">
      <c r="A2" s="1061" t="s">
        <v>888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50"/>
    </row>
    <row r="3" spans="1:14" s="51" customFormat="1" ht="15.75" x14ac:dyDescent="0.25">
      <c r="A3" s="1062" t="s">
        <v>913</v>
      </c>
      <c r="B3" s="1062"/>
      <c r="C3" s="1062"/>
      <c r="D3" s="1062"/>
      <c r="E3" s="1062"/>
      <c r="F3" s="1062"/>
      <c r="G3" s="1062"/>
      <c r="H3" s="1062"/>
      <c r="I3" s="1062"/>
      <c r="J3" s="1062"/>
      <c r="K3" s="1062"/>
      <c r="L3" s="52"/>
    </row>
    <row r="4" spans="1:14" ht="13.5" thickBot="1" x14ac:dyDescent="0.25"/>
    <row r="5" spans="1:14" s="58" customFormat="1" ht="40.5" customHeight="1" x14ac:dyDescent="0.2">
      <c r="A5" s="1063" t="s">
        <v>735</v>
      </c>
      <c r="B5" s="1063"/>
      <c r="C5" s="1064"/>
      <c r="D5" s="1065" t="s">
        <v>726</v>
      </c>
      <c r="E5" s="1063"/>
      <c r="F5" s="1066"/>
      <c r="G5" s="1067" t="s">
        <v>886</v>
      </c>
      <c r="H5" s="1068"/>
      <c r="I5" s="1068"/>
      <c r="J5" s="1069"/>
      <c r="K5" s="1070"/>
      <c r="L5" s="1054" t="s">
        <v>624</v>
      </c>
      <c r="N5" s="58" t="s">
        <v>781</v>
      </c>
    </row>
    <row r="6" spans="1:14" s="58" customFormat="1" ht="25.5" x14ac:dyDescent="0.2">
      <c r="A6" s="1058" t="s">
        <v>736</v>
      </c>
      <c r="B6" s="1059"/>
      <c r="C6" s="53" t="s">
        <v>737</v>
      </c>
      <c r="D6" s="54" t="s">
        <v>738</v>
      </c>
      <c r="E6" s="56" t="s">
        <v>739</v>
      </c>
      <c r="F6" s="57" t="s">
        <v>780</v>
      </c>
      <c r="G6" s="54" t="s">
        <v>741</v>
      </c>
      <c r="H6" s="55" t="s">
        <v>757</v>
      </c>
      <c r="I6" s="55" t="s">
        <v>742</v>
      </c>
      <c r="J6" s="55" t="s">
        <v>757</v>
      </c>
      <c r="K6" s="57" t="s">
        <v>740</v>
      </c>
      <c r="L6" s="1055"/>
    </row>
    <row r="7" spans="1:14" s="173" customFormat="1" ht="12" customHeight="1" x14ac:dyDescent="0.2">
      <c r="A7" s="1060" t="s">
        <v>710</v>
      </c>
      <c r="B7" s="1060"/>
      <c r="C7" s="168" t="s">
        <v>711</v>
      </c>
      <c r="D7" s="169" t="s">
        <v>712</v>
      </c>
      <c r="E7" s="170" t="s">
        <v>713</v>
      </c>
      <c r="F7" s="171" t="s">
        <v>714</v>
      </c>
      <c r="G7" s="169" t="s">
        <v>715</v>
      </c>
      <c r="H7" s="172" t="s">
        <v>718</v>
      </c>
      <c r="I7" s="172" t="s">
        <v>719</v>
      </c>
      <c r="J7" s="172" t="s">
        <v>654</v>
      </c>
      <c r="K7" s="171" t="s">
        <v>655</v>
      </c>
      <c r="L7" s="669" t="s">
        <v>656</v>
      </c>
    </row>
    <row r="8" spans="1:14" s="222" customFormat="1" ht="28.5" customHeight="1" x14ac:dyDescent="0.2">
      <c r="A8" s="226" t="s">
        <v>764</v>
      </c>
      <c r="B8" s="227"/>
      <c r="C8" s="228" t="s">
        <v>778</v>
      </c>
      <c r="D8" s="229"/>
      <c r="E8" s="230"/>
      <c r="F8" s="231">
        <f>F9+F10+F15+F16+F17</f>
        <v>203895184</v>
      </c>
      <c r="G8" s="229"/>
      <c r="H8" s="232"/>
      <c r="I8" s="232"/>
      <c r="J8" s="230"/>
      <c r="K8" s="231"/>
      <c r="L8" s="670">
        <f t="shared" ref="L8:L14" si="0">F8+K8</f>
        <v>203895184</v>
      </c>
      <c r="M8" s="221"/>
      <c r="N8" s="703">
        <f>SUM(N9:N17)</f>
        <v>203895184</v>
      </c>
    </row>
    <row r="9" spans="1:14" s="218" customFormat="1" ht="21.75" customHeight="1" x14ac:dyDescent="0.2">
      <c r="A9" s="210"/>
      <c r="B9" s="211" t="s">
        <v>890</v>
      </c>
      <c r="C9" s="212" t="s">
        <v>758</v>
      </c>
      <c r="D9" s="603">
        <v>26.89</v>
      </c>
      <c r="E9" s="214">
        <v>4580000</v>
      </c>
      <c r="F9" s="215">
        <f>D9*E9</f>
        <v>123156200</v>
      </c>
      <c r="G9" s="213"/>
      <c r="H9" s="216"/>
      <c r="I9" s="216"/>
      <c r="J9" s="214"/>
      <c r="K9" s="215"/>
      <c r="L9" s="671">
        <f t="shared" si="0"/>
        <v>123156200</v>
      </c>
      <c r="M9" s="217"/>
      <c r="N9" s="224">
        <f>SUM(L9)</f>
        <v>123156200</v>
      </c>
    </row>
    <row r="10" spans="1:14" s="218" customFormat="1" ht="19.5" customHeight="1" x14ac:dyDescent="0.2">
      <c r="A10" s="210"/>
      <c r="B10" s="211" t="s">
        <v>891</v>
      </c>
      <c r="C10" s="212" t="s">
        <v>250</v>
      </c>
      <c r="D10" s="213"/>
      <c r="E10" s="214"/>
      <c r="F10" s="215">
        <f>SUM(F11:F14)</f>
        <v>63413420</v>
      </c>
      <c r="G10" s="213"/>
      <c r="H10" s="216"/>
      <c r="I10" s="216"/>
      <c r="J10" s="214"/>
      <c r="K10" s="215"/>
      <c r="L10" s="671">
        <f t="shared" si="0"/>
        <v>63413420</v>
      </c>
      <c r="M10" s="217"/>
      <c r="N10" s="224">
        <f>SUM(L11:L14)</f>
        <v>63413420</v>
      </c>
    </row>
    <row r="11" spans="1:14" x14ac:dyDescent="0.2">
      <c r="A11" s="59"/>
      <c r="B11" s="208" t="s">
        <v>892</v>
      </c>
      <c r="C11" s="209" t="s">
        <v>759</v>
      </c>
      <c r="D11" s="60"/>
      <c r="E11" s="61"/>
      <c r="F11" s="62">
        <v>18213050</v>
      </c>
      <c r="G11" s="60"/>
      <c r="H11" s="63"/>
      <c r="I11" s="63"/>
      <c r="J11" s="61"/>
      <c r="K11" s="62"/>
      <c r="L11" s="672">
        <f t="shared" si="0"/>
        <v>18213050</v>
      </c>
      <c r="M11" s="64"/>
      <c r="N11" s="224"/>
    </row>
    <row r="12" spans="1:14" x14ac:dyDescent="0.2">
      <c r="A12" s="59"/>
      <c r="B12" s="208" t="s">
        <v>893</v>
      </c>
      <c r="C12" s="209" t="s">
        <v>760</v>
      </c>
      <c r="D12" s="60"/>
      <c r="E12" s="61"/>
      <c r="F12" s="62">
        <v>30048000</v>
      </c>
      <c r="G12" s="60"/>
      <c r="H12" s="63"/>
      <c r="I12" s="63"/>
      <c r="J12" s="61"/>
      <c r="K12" s="62"/>
      <c r="L12" s="672">
        <f t="shared" si="0"/>
        <v>30048000</v>
      </c>
      <c r="M12" s="64"/>
      <c r="N12" s="224"/>
    </row>
    <row r="13" spans="1:14" x14ac:dyDescent="0.2">
      <c r="A13" s="59"/>
      <c r="B13" s="208" t="s">
        <v>894</v>
      </c>
      <c r="C13" s="209" t="s">
        <v>761</v>
      </c>
      <c r="D13" s="60"/>
      <c r="E13" s="61"/>
      <c r="F13" s="62">
        <v>100000</v>
      </c>
      <c r="G13" s="60"/>
      <c r="H13" s="63"/>
      <c r="I13" s="63"/>
      <c r="J13" s="61"/>
      <c r="K13" s="62"/>
      <c r="L13" s="672">
        <f t="shared" si="0"/>
        <v>100000</v>
      </c>
      <c r="M13" s="64"/>
      <c r="N13" s="224"/>
    </row>
    <row r="14" spans="1:14" x14ac:dyDescent="0.2">
      <c r="A14" s="59"/>
      <c r="B14" s="208" t="s">
        <v>895</v>
      </c>
      <c r="C14" s="209" t="s">
        <v>762</v>
      </c>
      <c r="D14" s="60"/>
      <c r="E14" s="61"/>
      <c r="F14" s="62">
        <v>15052370</v>
      </c>
      <c r="G14" s="60"/>
      <c r="H14" s="63"/>
      <c r="I14" s="63"/>
      <c r="J14" s="61"/>
      <c r="K14" s="62"/>
      <c r="L14" s="672">
        <f t="shared" si="0"/>
        <v>15052370</v>
      </c>
      <c r="M14" s="64"/>
      <c r="N14" s="224"/>
    </row>
    <row r="15" spans="1:14" s="218" customFormat="1" x14ac:dyDescent="0.2">
      <c r="A15" s="210"/>
      <c r="B15" s="211" t="s">
        <v>896</v>
      </c>
      <c r="C15" s="219" t="s">
        <v>251</v>
      </c>
      <c r="D15" s="213"/>
      <c r="E15" s="214"/>
      <c r="F15" s="215">
        <v>16560564</v>
      </c>
      <c r="G15" s="213"/>
      <c r="H15" s="216"/>
      <c r="I15" s="216"/>
      <c r="J15" s="214"/>
      <c r="K15" s="215"/>
      <c r="L15" s="671">
        <f>F15+K15</f>
        <v>16560564</v>
      </c>
      <c r="M15" s="217"/>
      <c r="N15" s="224">
        <f>SUM(L15)</f>
        <v>16560564</v>
      </c>
    </row>
    <row r="16" spans="1:14" s="218" customFormat="1" x14ac:dyDescent="0.2">
      <c r="A16" s="210"/>
      <c r="B16" s="211" t="s">
        <v>897</v>
      </c>
      <c r="C16" s="219" t="s">
        <v>214</v>
      </c>
      <c r="D16" s="213">
        <v>300</v>
      </c>
      <c r="E16" s="214">
        <v>2550</v>
      </c>
      <c r="F16" s="215">
        <f>D16*E16</f>
        <v>765000</v>
      </c>
      <c r="G16" s="213"/>
      <c r="H16" s="216"/>
      <c r="I16" s="216"/>
      <c r="J16" s="214"/>
      <c r="K16" s="215"/>
      <c r="L16" s="671">
        <f>F16+K16</f>
        <v>765000</v>
      </c>
      <c r="M16" s="217"/>
      <c r="N16" s="224">
        <f>SUM(L16)</f>
        <v>765000</v>
      </c>
    </row>
    <row r="17" spans="1:14" s="218" customFormat="1" x14ac:dyDescent="0.2">
      <c r="A17" s="210"/>
      <c r="B17" s="211" t="s">
        <v>898</v>
      </c>
      <c r="C17" s="219" t="s">
        <v>889</v>
      </c>
      <c r="D17" s="213"/>
      <c r="E17" s="214"/>
      <c r="F17" s="215"/>
      <c r="G17" s="213"/>
      <c r="H17" s="216"/>
      <c r="I17" s="216"/>
      <c r="J17" s="214"/>
      <c r="K17" s="215"/>
      <c r="L17" s="671">
        <f>F17+K17</f>
        <v>0</v>
      </c>
      <c r="M17" s="217"/>
      <c r="N17" s="224">
        <f>SUM(L17)</f>
        <v>0</v>
      </c>
    </row>
    <row r="18" spans="1:14" ht="25.5" x14ac:dyDescent="0.2">
      <c r="A18" s="226" t="s">
        <v>763</v>
      </c>
      <c r="B18" s="233"/>
      <c r="C18" s="228" t="s">
        <v>252</v>
      </c>
      <c r="D18" s="234"/>
      <c r="E18" s="235"/>
      <c r="F18" s="236"/>
      <c r="G18" s="234"/>
      <c r="H18" s="237"/>
      <c r="I18" s="237"/>
      <c r="J18" s="235"/>
      <c r="K18" s="236">
        <f>K19+K23+K24+K25</f>
        <v>130224433.33333333</v>
      </c>
      <c r="L18" s="667">
        <f>F18+K18</f>
        <v>130224433.33333333</v>
      </c>
      <c r="M18" s="64"/>
      <c r="N18" s="702">
        <f>SUM(N23:N25,N19)</f>
        <v>130224433.33333333</v>
      </c>
    </row>
    <row r="19" spans="1:14" s="218" customFormat="1" ht="25.5" x14ac:dyDescent="0.2">
      <c r="A19" s="223"/>
      <c r="B19" s="211" t="s">
        <v>765</v>
      </c>
      <c r="C19" s="212" t="s">
        <v>253</v>
      </c>
      <c r="D19" s="213"/>
      <c r="E19" s="214"/>
      <c r="F19" s="215"/>
      <c r="G19" s="213"/>
      <c r="H19" s="216"/>
      <c r="I19" s="216"/>
      <c r="J19" s="214"/>
      <c r="K19" s="215">
        <f>SUM(K20:K22)</f>
        <v>110979100</v>
      </c>
      <c r="L19" s="671">
        <f>SUM(K19,F19)</f>
        <v>110979100</v>
      </c>
      <c r="M19" s="217"/>
      <c r="N19" s="224">
        <f>SUM(L20:L22)</f>
        <v>110979100</v>
      </c>
    </row>
    <row r="20" spans="1:14" x14ac:dyDescent="0.2">
      <c r="A20" s="59"/>
      <c r="B20" s="208" t="s">
        <v>768</v>
      </c>
      <c r="C20" s="209" t="s">
        <v>767</v>
      </c>
      <c r="D20" s="60"/>
      <c r="E20" s="61"/>
      <c r="F20" s="62"/>
      <c r="G20" s="60">
        <v>20</v>
      </c>
      <c r="H20" s="63">
        <v>4152000</v>
      </c>
      <c r="I20" s="606">
        <v>18.899999999999999</v>
      </c>
      <c r="J20" s="61">
        <v>4152000</v>
      </c>
      <c r="K20" s="62">
        <f>(G20/12*8*H20)+(I20/12*4*J20)</f>
        <v>81517600</v>
      </c>
      <c r="L20" s="672">
        <f t="shared" ref="L20:L31" si="1">F20+K20</f>
        <v>81517600</v>
      </c>
      <c r="M20" s="64"/>
      <c r="N20" s="224"/>
    </row>
    <row r="21" spans="1:14" x14ac:dyDescent="0.2">
      <c r="A21" s="59"/>
      <c r="B21" s="208" t="s">
        <v>769</v>
      </c>
      <c r="C21" s="209" t="s">
        <v>254</v>
      </c>
      <c r="D21" s="60"/>
      <c r="E21" s="61"/>
      <c r="F21" s="62"/>
      <c r="G21" s="60">
        <v>16</v>
      </c>
      <c r="H21" s="63">
        <v>1800000</v>
      </c>
      <c r="I21" s="63">
        <v>16</v>
      </c>
      <c r="J21" s="61">
        <v>1800000</v>
      </c>
      <c r="K21" s="62">
        <f>(G21/12*8*H21)+(I21/12*4*J21)</f>
        <v>28800000</v>
      </c>
      <c r="L21" s="672">
        <f t="shared" si="1"/>
        <v>28800000</v>
      </c>
      <c r="M21" s="64"/>
      <c r="N21" s="224"/>
    </row>
    <row r="22" spans="1:14" x14ac:dyDescent="0.2">
      <c r="A22" s="59"/>
      <c r="B22" s="208" t="s">
        <v>255</v>
      </c>
      <c r="C22" s="209" t="s">
        <v>899</v>
      </c>
      <c r="D22" s="60"/>
      <c r="E22" s="61"/>
      <c r="F22" s="62"/>
      <c r="G22" s="60"/>
      <c r="H22" s="63"/>
      <c r="I22" s="606">
        <v>18.899999999999999</v>
      </c>
      <c r="J22" s="61">
        <v>35000</v>
      </c>
      <c r="K22" s="62">
        <f>I22*J22</f>
        <v>661500</v>
      </c>
      <c r="L22" s="672">
        <f t="shared" si="1"/>
        <v>661500</v>
      </c>
      <c r="M22" s="64"/>
      <c r="N22" s="224"/>
    </row>
    <row r="23" spans="1:14" s="218" customFormat="1" ht="18" customHeight="1" x14ac:dyDescent="0.2">
      <c r="A23" s="210"/>
      <c r="B23" s="211" t="s">
        <v>770</v>
      </c>
      <c r="C23" s="219" t="s">
        <v>771</v>
      </c>
      <c r="D23" s="225"/>
      <c r="E23" s="220"/>
      <c r="F23" s="215"/>
      <c r="G23" s="605">
        <v>222</v>
      </c>
      <c r="H23" s="216">
        <v>70000</v>
      </c>
      <c r="I23" s="607">
        <v>205</v>
      </c>
      <c r="J23" s="214">
        <v>70000</v>
      </c>
      <c r="K23" s="215">
        <f>(G23/12*8*H23)+(I23/12*4*J23)</f>
        <v>15143333.333333332</v>
      </c>
      <c r="L23" s="671">
        <f t="shared" si="1"/>
        <v>15143333.333333332</v>
      </c>
      <c r="M23" s="217"/>
      <c r="N23" s="224">
        <f>SUM(L23)</f>
        <v>15143333.333333332</v>
      </c>
    </row>
    <row r="24" spans="1:14" s="218" customFormat="1" ht="18" customHeight="1" x14ac:dyDescent="0.2">
      <c r="A24" s="210"/>
      <c r="B24" s="211" t="s">
        <v>900</v>
      </c>
      <c r="C24" s="219" t="s">
        <v>901</v>
      </c>
      <c r="D24" s="704"/>
      <c r="E24" s="705"/>
      <c r="F24" s="215"/>
      <c r="G24" s="605"/>
      <c r="H24" s="216"/>
      <c r="I24" s="607"/>
      <c r="J24" s="214"/>
      <c r="K24" s="215"/>
      <c r="L24" s="671">
        <f>F24+K24</f>
        <v>0</v>
      </c>
      <c r="M24" s="217"/>
      <c r="N24" s="224">
        <f>SUM(L24)</f>
        <v>0</v>
      </c>
    </row>
    <row r="25" spans="1:14" s="218" customFormat="1" ht="26.25" customHeight="1" x14ac:dyDescent="0.2">
      <c r="A25" s="210"/>
      <c r="B25" s="211" t="s">
        <v>902</v>
      </c>
      <c r="C25" s="212" t="s">
        <v>903</v>
      </c>
      <c r="D25" s="225"/>
      <c r="E25" s="220"/>
      <c r="F25" s="215"/>
      <c r="G25" s="605"/>
      <c r="H25" s="216"/>
      <c r="I25" s="607"/>
      <c r="J25" s="214"/>
      <c r="K25" s="215">
        <f>SUM(K26:K27)</f>
        <v>4102000</v>
      </c>
      <c r="L25" s="671">
        <f>F25+K25</f>
        <v>4102000</v>
      </c>
      <c r="M25" s="217"/>
      <c r="N25" s="224">
        <f>SUM(L26:L27)</f>
        <v>4102000</v>
      </c>
    </row>
    <row r="26" spans="1:14" x14ac:dyDescent="0.2">
      <c r="A26" s="59"/>
      <c r="B26" s="208" t="s">
        <v>904</v>
      </c>
      <c r="C26" s="209" t="s">
        <v>905</v>
      </c>
      <c r="D26" s="60"/>
      <c r="E26" s="61"/>
      <c r="F26" s="62"/>
      <c r="G26" s="60"/>
      <c r="H26" s="63"/>
      <c r="I26" s="63">
        <v>8</v>
      </c>
      <c r="J26" s="61">
        <v>352000</v>
      </c>
      <c r="K26" s="62">
        <f>I26*J26</f>
        <v>2816000</v>
      </c>
      <c r="L26" s="672">
        <f>SUM(K26)</f>
        <v>2816000</v>
      </c>
      <c r="M26" s="64"/>
      <c r="N26" s="224"/>
    </row>
    <row r="27" spans="1:14" x14ac:dyDescent="0.2">
      <c r="A27" s="59"/>
      <c r="B27" s="208" t="s">
        <v>906</v>
      </c>
      <c r="C27" s="209" t="s">
        <v>907</v>
      </c>
      <c r="D27" s="60"/>
      <c r="E27" s="61"/>
      <c r="F27" s="62"/>
      <c r="G27" s="60"/>
      <c r="H27" s="63"/>
      <c r="I27" s="63">
        <v>1</v>
      </c>
      <c r="J27" s="61">
        <v>1286000</v>
      </c>
      <c r="K27" s="62">
        <f>I27*J27</f>
        <v>1286000</v>
      </c>
      <c r="L27" s="672">
        <f>SUM(K27)</f>
        <v>1286000</v>
      </c>
      <c r="M27" s="64"/>
      <c r="N27" s="224"/>
    </row>
    <row r="28" spans="1:14" s="218" customFormat="1" ht="25.5" x14ac:dyDescent="0.2">
      <c r="A28" s="226" t="s">
        <v>772</v>
      </c>
      <c r="B28" s="239"/>
      <c r="C28" s="228" t="s">
        <v>256</v>
      </c>
      <c r="D28" s="240"/>
      <c r="E28" s="241"/>
      <c r="F28" s="236">
        <f>SUM(F29:F31,F34)</f>
        <v>182287681</v>
      </c>
      <c r="G28" s="242"/>
      <c r="H28" s="238"/>
      <c r="I28" s="243"/>
      <c r="J28" s="241"/>
      <c r="K28" s="236">
        <f>SUM(K29:K31,K34)</f>
        <v>0</v>
      </c>
      <c r="L28" s="667">
        <f t="shared" si="1"/>
        <v>182287681</v>
      </c>
      <c r="M28" s="217"/>
      <c r="N28" s="702">
        <f>SUM(N29:N31)+N34</f>
        <v>182287681</v>
      </c>
    </row>
    <row r="29" spans="1:14" s="218" customFormat="1" ht="18" customHeight="1" x14ac:dyDescent="0.2">
      <c r="A29" s="210"/>
      <c r="B29" s="211" t="s">
        <v>773</v>
      </c>
      <c r="C29" s="219" t="s">
        <v>908</v>
      </c>
      <c r="D29" s="225"/>
      <c r="E29" s="220"/>
      <c r="F29" s="215">
        <f>35436000+1721000</f>
        <v>37157000</v>
      </c>
      <c r="G29" s="605"/>
      <c r="H29" s="216"/>
      <c r="I29" s="607"/>
      <c r="J29" s="214"/>
      <c r="K29" s="215"/>
      <c r="L29" s="671">
        <f t="shared" si="1"/>
        <v>37157000</v>
      </c>
      <c r="M29" s="217"/>
      <c r="N29" s="224">
        <f>SUM(L29)</f>
        <v>37157000</v>
      </c>
    </row>
    <row r="30" spans="1:14" s="218" customFormat="1" ht="18" customHeight="1" x14ac:dyDescent="0.2">
      <c r="A30" s="210"/>
      <c r="B30" s="211" t="s">
        <v>774</v>
      </c>
      <c r="C30" s="219" t="s">
        <v>909</v>
      </c>
      <c r="D30" s="225"/>
      <c r="E30" s="220"/>
      <c r="F30" s="215">
        <v>77155970</v>
      </c>
      <c r="G30" s="605"/>
      <c r="H30" s="216"/>
      <c r="I30" s="607"/>
      <c r="J30" s="214"/>
      <c r="K30" s="215"/>
      <c r="L30" s="671">
        <f t="shared" si="1"/>
        <v>77155970</v>
      </c>
      <c r="M30" s="217"/>
      <c r="N30" s="224">
        <f>SUM(L30)</f>
        <v>77155970</v>
      </c>
    </row>
    <row r="31" spans="1:14" s="218" customFormat="1" ht="18" customHeight="1" x14ac:dyDescent="0.2">
      <c r="A31" s="210"/>
      <c r="B31" s="211" t="s">
        <v>775</v>
      </c>
      <c r="C31" s="219" t="s">
        <v>776</v>
      </c>
      <c r="D31" s="225"/>
      <c r="E31" s="220"/>
      <c r="F31" s="215">
        <f>SUM(F32:F33)</f>
        <v>7275900</v>
      </c>
      <c r="G31" s="605"/>
      <c r="H31" s="216"/>
      <c r="I31" s="607"/>
      <c r="J31" s="214"/>
      <c r="K31" s="215"/>
      <c r="L31" s="671">
        <f t="shared" si="1"/>
        <v>7275900</v>
      </c>
      <c r="M31" s="217"/>
      <c r="N31" s="224">
        <f>SUM(L32:L33)</f>
        <v>7275900</v>
      </c>
    </row>
    <row r="32" spans="1:14" x14ac:dyDescent="0.2">
      <c r="A32" s="59"/>
      <c r="B32" s="71" t="s">
        <v>257</v>
      </c>
      <c r="C32" s="209" t="s">
        <v>746</v>
      </c>
      <c r="D32" s="60"/>
      <c r="E32" s="61"/>
      <c r="F32" s="62">
        <v>3637950</v>
      </c>
      <c r="G32" s="68"/>
      <c r="H32" s="63"/>
      <c r="I32" s="67"/>
      <c r="J32" s="61"/>
      <c r="K32" s="62"/>
      <c r="L32" s="672">
        <f t="shared" ref="L32:L39" si="2">F32+K32</f>
        <v>3637950</v>
      </c>
      <c r="M32" s="64"/>
      <c r="N32" s="64"/>
    </row>
    <row r="33" spans="1:14" x14ac:dyDescent="0.2">
      <c r="A33" s="59"/>
      <c r="B33" s="71" t="s">
        <v>258</v>
      </c>
      <c r="C33" s="209" t="s">
        <v>777</v>
      </c>
      <c r="D33" s="60"/>
      <c r="E33" s="61"/>
      <c r="F33" s="62">
        <v>3637950</v>
      </c>
      <c r="G33" s="68"/>
      <c r="H33" s="63"/>
      <c r="I33" s="67"/>
      <c r="J33" s="61"/>
      <c r="K33" s="62"/>
      <c r="L33" s="672">
        <f t="shared" si="2"/>
        <v>3637950</v>
      </c>
      <c r="M33" s="64"/>
      <c r="N33" s="64"/>
    </row>
    <row r="34" spans="1:14" s="218" customFormat="1" ht="18" customHeight="1" x14ac:dyDescent="0.2">
      <c r="A34" s="210"/>
      <c r="B34" s="211" t="s">
        <v>259</v>
      </c>
      <c r="C34" s="219" t="s">
        <v>260</v>
      </c>
      <c r="D34" s="225"/>
      <c r="E34" s="220"/>
      <c r="F34" s="215">
        <f>SUM(F35:F36)</f>
        <v>60698811</v>
      </c>
      <c r="G34" s="605"/>
      <c r="H34" s="216"/>
      <c r="I34" s="607"/>
      <c r="J34" s="214"/>
      <c r="K34" s="215">
        <f>SUM(K35:K36)</f>
        <v>0</v>
      </c>
      <c r="L34" s="671">
        <f t="shared" si="2"/>
        <v>60698811</v>
      </c>
      <c r="M34" s="217"/>
      <c r="N34" s="224">
        <f>SUM(L35:L36)</f>
        <v>60698811</v>
      </c>
    </row>
    <row r="35" spans="1:14" ht="16.5" customHeight="1" x14ac:dyDescent="0.2">
      <c r="A35" s="59"/>
      <c r="B35" s="71" t="s">
        <v>911</v>
      </c>
      <c r="C35" s="608" t="s">
        <v>910</v>
      </c>
      <c r="D35" s="609">
        <v>13.61</v>
      </c>
      <c r="E35" s="66">
        <v>1632000</v>
      </c>
      <c r="F35" s="62">
        <f>E35*D35</f>
        <v>22211520</v>
      </c>
      <c r="G35" s="604"/>
      <c r="H35" s="63"/>
      <c r="I35" s="606"/>
      <c r="J35" s="61"/>
      <c r="K35" s="62"/>
      <c r="L35" s="701">
        <f t="shared" si="2"/>
        <v>22211520</v>
      </c>
      <c r="M35" s="64"/>
      <c r="N35" s="224"/>
    </row>
    <row r="36" spans="1:14" x14ac:dyDescent="0.2">
      <c r="A36" s="59"/>
      <c r="B36" s="71" t="s">
        <v>261</v>
      </c>
      <c r="C36" s="608" t="s">
        <v>262</v>
      </c>
      <c r="D36" s="609"/>
      <c r="E36" s="61"/>
      <c r="F36" s="62">
        <v>38487291</v>
      </c>
      <c r="G36" s="60"/>
      <c r="H36" s="63"/>
      <c r="I36" s="63"/>
      <c r="J36" s="61"/>
      <c r="K36" s="62"/>
      <c r="L36" s="701">
        <f t="shared" si="2"/>
        <v>38487291</v>
      </c>
      <c r="M36" s="64"/>
      <c r="N36" s="64"/>
    </row>
    <row r="37" spans="1:14" s="218" customFormat="1" x14ac:dyDescent="0.2">
      <c r="A37" s="226" t="s">
        <v>779</v>
      </c>
      <c r="B37" s="239"/>
      <c r="C37" s="228" t="s">
        <v>755</v>
      </c>
      <c r="D37" s="240"/>
      <c r="E37" s="241"/>
      <c r="F37" s="236">
        <f>SUM(F39)</f>
        <v>10499400</v>
      </c>
      <c r="G37" s="242"/>
      <c r="H37" s="238"/>
      <c r="I37" s="243"/>
      <c r="J37" s="241"/>
      <c r="K37" s="236"/>
      <c r="L37" s="667">
        <f t="shared" si="2"/>
        <v>10499400</v>
      </c>
      <c r="M37" s="217"/>
      <c r="N37" s="702">
        <f>SUM(L39)</f>
        <v>10499400</v>
      </c>
    </row>
    <row r="38" spans="1:14" s="218" customFormat="1" ht="18" customHeight="1" x14ac:dyDescent="0.2">
      <c r="A38" s="210"/>
      <c r="B38" s="211" t="s">
        <v>914</v>
      </c>
      <c r="C38" s="219" t="s">
        <v>915</v>
      </c>
      <c r="D38" s="225"/>
      <c r="E38" s="220"/>
      <c r="F38" s="215"/>
      <c r="G38" s="605"/>
      <c r="H38" s="216"/>
      <c r="I38" s="607"/>
      <c r="J38" s="214"/>
      <c r="K38" s="215"/>
      <c r="L38" s="671"/>
      <c r="M38" s="217"/>
      <c r="N38" s="224"/>
    </row>
    <row r="39" spans="1:14" ht="25.5" x14ac:dyDescent="0.2">
      <c r="A39" s="59"/>
      <c r="B39" s="71" t="s">
        <v>912</v>
      </c>
      <c r="C39" s="608" t="s">
        <v>263</v>
      </c>
      <c r="D39" s="60">
        <v>9210</v>
      </c>
      <c r="E39" s="61">
        <v>1140</v>
      </c>
      <c r="F39" s="62">
        <f>D39*E39</f>
        <v>10499400</v>
      </c>
      <c r="G39" s="70"/>
      <c r="H39" s="69"/>
      <c r="I39" s="67"/>
      <c r="J39" s="66"/>
      <c r="K39" s="62"/>
      <c r="L39" s="672">
        <f t="shared" si="2"/>
        <v>10499400</v>
      </c>
      <c r="M39" s="64"/>
      <c r="N39" s="64"/>
    </row>
    <row r="40" spans="1:14" s="74" customFormat="1" ht="15" x14ac:dyDescent="0.25">
      <c r="A40" s="1056" t="s">
        <v>782</v>
      </c>
      <c r="B40" s="1056"/>
      <c r="C40" s="1057"/>
      <c r="D40" s="244" t="s">
        <v>743</v>
      </c>
      <c r="E40" s="245" t="s">
        <v>743</v>
      </c>
      <c r="F40" s="246">
        <f>SUM(F37,F28,F18,F8)</f>
        <v>396682265</v>
      </c>
      <c r="G40" s="244" t="s">
        <v>743</v>
      </c>
      <c r="H40" s="247" t="s">
        <v>743</v>
      </c>
      <c r="I40" s="247" t="s">
        <v>743</v>
      </c>
      <c r="J40" s="245" t="s">
        <v>743</v>
      </c>
      <c r="K40" s="246">
        <f>SUM(K37,K28,K18,K8)</f>
        <v>130224433.33333333</v>
      </c>
      <c r="L40" s="668">
        <f>SUM(L37,L28,L18,L8)</f>
        <v>526906698.33333331</v>
      </c>
      <c r="M40" s="72"/>
      <c r="N40" s="73">
        <f>SUM(N37,N28,N18,N8)</f>
        <v>526906698.33333331</v>
      </c>
    </row>
    <row r="41" spans="1:14" ht="15" customHeight="1" x14ac:dyDescent="0.2"/>
    <row r="42" spans="1:14" s="74" customFormat="1" ht="16.5" x14ac:dyDescent="0.25">
      <c r="A42" s="1052" t="s">
        <v>264</v>
      </c>
      <c r="B42" s="1052"/>
      <c r="C42" s="1053"/>
      <c r="D42" s="610" t="s">
        <v>743</v>
      </c>
      <c r="E42" s="611" t="s">
        <v>743</v>
      </c>
      <c r="F42" s="612">
        <f>SUM(F40)</f>
        <v>396682265</v>
      </c>
      <c r="G42" s="610" t="s">
        <v>743</v>
      </c>
      <c r="H42" s="613" t="s">
        <v>743</v>
      </c>
      <c r="I42" s="613" t="s">
        <v>743</v>
      </c>
      <c r="J42" s="611" t="s">
        <v>743</v>
      </c>
      <c r="K42" s="612">
        <f>SUM(K40)</f>
        <v>130224433.33333333</v>
      </c>
      <c r="L42" s="666">
        <f>SUM(K42+F42)</f>
        <v>526906698.33333331</v>
      </c>
      <c r="M42" s="72"/>
      <c r="N42" s="73">
        <f>SUM(N40)</f>
        <v>526906698.33333331</v>
      </c>
    </row>
  </sheetData>
  <mergeCells count="10">
    <mergeCell ref="A2:K2"/>
    <mergeCell ref="A3:K3"/>
    <mergeCell ref="A5:C5"/>
    <mergeCell ref="D5:F5"/>
    <mergeCell ref="G5:K5"/>
    <mergeCell ref="A42:C42"/>
    <mergeCell ref="L5:L6"/>
    <mergeCell ref="A40:C40"/>
    <mergeCell ref="A6:B6"/>
    <mergeCell ref="A7:B7"/>
  </mergeCells>
  <phoneticPr fontId="0" type="noConversion"/>
  <printOptions horizontalCentered="1" verticalCentered="1"/>
  <pageMargins left="0.19685039370078741" right="0.19685039370078741" top="0.51181102362204722" bottom="0.51181102362204722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57"/>
  <sheetViews>
    <sheetView zoomScaleNormal="100" workbookViewId="0">
      <selection activeCell="A5" sqref="A5:E5"/>
    </sheetView>
  </sheetViews>
  <sheetFormatPr defaultRowHeight="12.75" x14ac:dyDescent="0.2"/>
  <cols>
    <col min="1" max="1" width="6.140625" customWidth="1"/>
    <col min="5" max="5" width="40.42578125" customWidth="1"/>
    <col min="6" max="6" width="13.5703125" customWidth="1"/>
    <col min="7" max="7" width="13.140625" customWidth="1"/>
    <col min="8" max="8" width="14.85546875" customWidth="1"/>
    <col min="9" max="9" width="12.5703125" customWidth="1"/>
  </cols>
  <sheetData>
    <row r="1" spans="1:9" s="4" customFormat="1" x14ac:dyDescent="0.2">
      <c r="A1" s="800" t="s">
        <v>1085</v>
      </c>
      <c r="B1" s="801"/>
      <c r="C1" s="801"/>
      <c r="D1" s="801"/>
      <c r="E1" s="801"/>
      <c r="F1" s="801"/>
      <c r="G1" s="801"/>
      <c r="H1" s="801"/>
      <c r="I1" s="801"/>
    </row>
    <row r="2" spans="1:9" s="4" customFormat="1" ht="9.75" customHeight="1" x14ac:dyDescent="0.2">
      <c r="A2" s="706"/>
      <c r="B2" s="707"/>
      <c r="C2" s="707"/>
      <c r="D2" s="707"/>
      <c r="E2" s="707"/>
      <c r="F2" s="707"/>
      <c r="G2" s="707"/>
      <c r="H2" s="707"/>
      <c r="I2" s="707"/>
    </row>
    <row r="3" spans="1:9" s="4" customFormat="1" ht="16.5" x14ac:dyDescent="0.2">
      <c r="A3" s="808" t="s">
        <v>918</v>
      </c>
      <c r="B3" s="808"/>
      <c r="C3" s="808"/>
      <c r="D3" s="808"/>
      <c r="E3" s="808"/>
      <c r="F3" s="808"/>
      <c r="G3" s="808"/>
      <c r="H3" s="808"/>
      <c r="I3" s="808"/>
    </row>
    <row r="4" spans="1:9" s="4" customFormat="1" x14ac:dyDescent="0.2">
      <c r="A4" s="706"/>
      <c r="B4" s="707"/>
      <c r="C4" s="707"/>
      <c r="D4" s="707"/>
      <c r="E4" s="707"/>
      <c r="F4" s="707"/>
      <c r="G4" s="707"/>
      <c r="H4" s="707"/>
      <c r="I4" s="707"/>
    </row>
    <row r="5" spans="1:9" ht="36" customHeight="1" x14ac:dyDescent="0.2">
      <c r="A5" s="802" t="s">
        <v>1</v>
      </c>
      <c r="B5" s="803"/>
      <c r="C5" s="803"/>
      <c r="D5" s="803"/>
      <c r="E5" s="804"/>
      <c r="F5" s="708" t="s">
        <v>2</v>
      </c>
      <c r="G5" s="708" t="s">
        <v>3</v>
      </c>
      <c r="H5" s="708" t="s">
        <v>886</v>
      </c>
      <c r="I5" s="708" t="s">
        <v>623</v>
      </c>
    </row>
    <row r="6" spans="1:9" s="636" customFormat="1" ht="15" x14ac:dyDescent="0.2">
      <c r="A6" s="709" t="s">
        <v>710</v>
      </c>
      <c r="B6" s="805" t="s">
        <v>711</v>
      </c>
      <c r="C6" s="806"/>
      <c r="D6" s="806"/>
      <c r="E6" s="807"/>
      <c r="F6" s="710" t="s">
        <v>712</v>
      </c>
      <c r="G6" s="710" t="s">
        <v>713</v>
      </c>
      <c r="H6" s="710" t="s">
        <v>714</v>
      </c>
      <c r="I6" s="710" t="s">
        <v>715</v>
      </c>
    </row>
    <row r="7" spans="1:9" s="300" customFormat="1" ht="13.5" customHeight="1" x14ac:dyDescent="0.2">
      <c r="A7" s="711" t="s">
        <v>4</v>
      </c>
      <c r="B7" s="797" t="s">
        <v>582</v>
      </c>
      <c r="C7" s="797"/>
      <c r="D7" s="797"/>
      <c r="E7" s="797"/>
      <c r="F7" s="712">
        <f>SUM(F8+F18)</f>
        <v>161421</v>
      </c>
      <c r="G7" s="712">
        <f>SUM(G8+G18)</f>
        <v>73934</v>
      </c>
      <c r="H7" s="712">
        <f>SUM(H8+H18)</f>
        <v>116283</v>
      </c>
      <c r="I7" s="712">
        <f>SUM(F7:H7)</f>
        <v>351638</v>
      </c>
    </row>
    <row r="8" spans="1:9" hidden="1" x14ac:dyDescent="0.2">
      <c r="A8" s="713"/>
      <c r="B8" s="713" t="s">
        <v>5</v>
      </c>
      <c r="C8" s="783" t="s">
        <v>6</v>
      </c>
      <c r="D8" s="783"/>
      <c r="E8" s="783"/>
      <c r="F8" s="714">
        <f>SUM(F9:F16)</f>
        <v>140454</v>
      </c>
      <c r="G8" s="714">
        <f>SUM(G9:G16)</f>
        <v>73734</v>
      </c>
      <c r="H8" s="714">
        <f>SUM(H9:H16)</f>
        <v>115833</v>
      </c>
      <c r="I8" s="715">
        <f>SUM(F8:H8)</f>
        <v>330021</v>
      </c>
    </row>
    <row r="9" spans="1:9" hidden="1" x14ac:dyDescent="0.2">
      <c r="A9" s="716"/>
      <c r="B9" s="716"/>
      <c r="C9" s="716"/>
      <c r="D9" s="716" t="s">
        <v>7</v>
      </c>
      <c r="E9" s="716" t="s">
        <v>8</v>
      </c>
      <c r="F9" s="717">
        <f>199487-75649</f>
        <v>123838</v>
      </c>
      <c r="G9" s="717">
        <f>66563</f>
        <v>66563</v>
      </c>
      <c r="H9" s="717">
        <v>114872</v>
      </c>
      <c r="I9" s="715">
        <f t="shared" ref="I9:I17" si="0">SUM(F9:H9)</f>
        <v>305273</v>
      </c>
    </row>
    <row r="10" spans="1:9" hidden="1" x14ac:dyDescent="0.2">
      <c r="A10" s="716"/>
      <c r="B10" s="716"/>
      <c r="C10" s="716"/>
      <c r="D10" s="716" t="s">
        <v>930</v>
      </c>
      <c r="E10" s="716" t="s">
        <v>931</v>
      </c>
      <c r="F10" s="717"/>
      <c r="G10" s="717">
        <v>464</v>
      </c>
      <c r="H10" s="717"/>
      <c r="I10" s="715">
        <f t="shared" si="0"/>
        <v>464</v>
      </c>
    </row>
    <row r="11" spans="1:9" hidden="1" x14ac:dyDescent="0.2">
      <c r="A11" s="716"/>
      <c r="B11" s="716"/>
      <c r="C11" s="716"/>
      <c r="D11" s="716" t="s">
        <v>9</v>
      </c>
      <c r="E11" s="716" t="s">
        <v>10</v>
      </c>
      <c r="F11" s="717">
        <v>9785</v>
      </c>
      <c r="G11" s="717"/>
      <c r="H11" s="717"/>
      <c r="I11" s="715">
        <f t="shared" si="0"/>
        <v>9785</v>
      </c>
    </row>
    <row r="12" spans="1:9" hidden="1" x14ac:dyDescent="0.2">
      <c r="A12" s="716"/>
      <c r="B12" s="716"/>
      <c r="C12" s="716"/>
      <c r="D12" s="716" t="s">
        <v>11</v>
      </c>
      <c r="E12" s="716" t="s">
        <v>12</v>
      </c>
      <c r="F12" s="717">
        <v>784</v>
      </c>
      <c r="G12" s="717">
        <v>681</v>
      </c>
      <c r="H12" s="717"/>
      <c r="I12" s="715">
        <f t="shared" si="0"/>
        <v>1465</v>
      </c>
    </row>
    <row r="13" spans="1:9" hidden="1" x14ac:dyDescent="0.2">
      <c r="A13" s="716"/>
      <c r="B13" s="716"/>
      <c r="C13" s="716"/>
      <c r="D13" s="716" t="s">
        <v>13</v>
      </c>
      <c r="E13" s="716" t="s">
        <v>14</v>
      </c>
      <c r="F13" s="717"/>
      <c r="G13" s="717">
        <v>5200</v>
      </c>
      <c r="H13" s="717"/>
      <c r="I13" s="715">
        <f t="shared" si="0"/>
        <v>5200</v>
      </c>
    </row>
    <row r="14" spans="1:9" hidden="1" x14ac:dyDescent="0.2">
      <c r="A14" s="716"/>
      <c r="B14" s="716"/>
      <c r="C14" s="716"/>
      <c r="D14" s="716" t="s">
        <v>15</v>
      </c>
      <c r="E14" s="716" t="s">
        <v>16</v>
      </c>
      <c r="F14" s="717">
        <v>48</v>
      </c>
      <c r="G14" s="717">
        <v>100</v>
      </c>
      <c r="H14" s="717">
        <v>250</v>
      </c>
      <c r="I14" s="715">
        <f t="shared" si="0"/>
        <v>398</v>
      </c>
    </row>
    <row r="15" spans="1:9" hidden="1" x14ac:dyDescent="0.2">
      <c r="A15" s="716"/>
      <c r="B15" s="716"/>
      <c r="C15" s="716"/>
      <c r="D15" s="716" t="s">
        <v>17</v>
      </c>
      <c r="E15" s="716" t="s">
        <v>18</v>
      </c>
      <c r="F15" s="717">
        <v>658</v>
      </c>
      <c r="G15" s="717">
        <v>626</v>
      </c>
      <c r="H15" s="717">
        <v>561</v>
      </c>
      <c r="I15" s="715">
        <f t="shared" si="0"/>
        <v>1845</v>
      </c>
    </row>
    <row r="16" spans="1:9" hidden="1" x14ac:dyDescent="0.2">
      <c r="A16" s="716"/>
      <c r="B16" s="716"/>
      <c r="C16" s="716"/>
      <c r="D16" s="716" t="s">
        <v>19</v>
      </c>
      <c r="E16" s="716" t="s">
        <v>20</v>
      </c>
      <c r="F16" s="717">
        <v>5341</v>
      </c>
      <c r="G16" s="717">
        <v>100</v>
      </c>
      <c r="H16" s="717">
        <v>150</v>
      </c>
      <c r="I16" s="715">
        <f t="shared" si="0"/>
        <v>5591</v>
      </c>
    </row>
    <row r="17" spans="1:9" hidden="1" x14ac:dyDescent="0.2">
      <c r="A17" s="718"/>
      <c r="B17" s="718"/>
      <c r="C17" s="719"/>
      <c r="D17" s="720" t="s">
        <v>21</v>
      </c>
      <c r="E17" s="720" t="s">
        <v>22</v>
      </c>
      <c r="F17" s="721">
        <v>108</v>
      </c>
      <c r="G17" s="721"/>
      <c r="H17" s="721"/>
      <c r="I17" s="721">
        <f t="shared" si="0"/>
        <v>108</v>
      </c>
    </row>
    <row r="18" spans="1:9" hidden="1" x14ac:dyDescent="0.2">
      <c r="A18" s="713"/>
      <c r="B18" s="713" t="s">
        <v>23</v>
      </c>
      <c r="C18" s="783" t="s">
        <v>24</v>
      </c>
      <c r="D18" s="783"/>
      <c r="E18" s="783"/>
      <c r="F18" s="714">
        <f>SUM(F19:F21)</f>
        <v>20967</v>
      </c>
      <c r="G18" s="714">
        <f>SUM(G19:G21)</f>
        <v>200</v>
      </c>
      <c r="H18" s="714">
        <f>SUM(H19:H21)</f>
        <v>450</v>
      </c>
      <c r="I18" s="715">
        <f t="shared" ref="I18:I28" si="1">SUM(F18:H18)</f>
        <v>21617</v>
      </c>
    </row>
    <row r="19" spans="1:9" hidden="1" x14ac:dyDescent="0.2">
      <c r="A19" s="722"/>
      <c r="B19" s="722"/>
      <c r="C19" s="722" t="s">
        <v>25</v>
      </c>
      <c r="D19" s="722" t="s">
        <v>26</v>
      </c>
      <c r="E19" s="722"/>
      <c r="F19" s="723">
        <v>20648</v>
      </c>
      <c r="G19" s="723">
        <f>20648-20648</f>
        <v>0</v>
      </c>
      <c r="H19" s="723"/>
      <c r="I19" s="715">
        <f t="shared" si="1"/>
        <v>20648</v>
      </c>
    </row>
    <row r="20" spans="1:9" ht="23.25" hidden="1" customHeight="1" x14ac:dyDescent="0.2">
      <c r="A20" s="722"/>
      <c r="B20" s="722"/>
      <c r="C20" s="722" t="s">
        <v>27</v>
      </c>
      <c r="D20" s="798" t="s">
        <v>28</v>
      </c>
      <c r="E20" s="799"/>
      <c r="F20" s="723">
        <v>192</v>
      </c>
      <c r="G20" s="723"/>
      <c r="H20" s="723">
        <v>450</v>
      </c>
      <c r="I20" s="715">
        <f t="shared" si="1"/>
        <v>642</v>
      </c>
    </row>
    <row r="21" spans="1:9" ht="15" hidden="1" customHeight="1" x14ac:dyDescent="0.2">
      <c r="A21" s="722"/>
      <c r="B21" s="722"/>
      <c r="C21" s="722" t="s">
        <v>29</v>
      </c>
      <c r="D21" s="787" t="s">
        <v>30</v>
      </c>
      <c r="E21" s="788"/>
      <c r="F21" s="723">
        <v>127</v>
      </c>
      <c r="G21" s="723">
        <v>200</v>
      </c>
      <c r="H21" s="723"/>
      <c r="I21" s="715">
        <f t="shared" si="1"/>
        <v>327</v>
      </c>
    </row>
    <row r="22" spans="1:9" s="300" customFormat="1" ht="12.75" customHeight="1" x14ac:dyDescent="0.2">
      <c r="A22" s="711" t="s">
        <v>31</v>
      </c>
      <c r="B22" s="797" t="s">
        <v>32</v>
      </c>
      <c r="C22" s="797"/>
      <c r="D22" s="797"/>
      <c r="E22" s="797"/>
      <c r="F22" s="712">
        <f>SUM(F23:F27)</f>
        <v>39863</v>
      </c>
      <c r="G22" s="712">
        <f>SUM(G23:G27)</f>
        <v>20094</v>
      </c>
      <c r="H22" s="712">
        <f>SUM(H23:H27)-198</f>
        <v>32465</v>
      </c>
      <c r="I22" s="712">
        <f t="shared" si="1"/>
        <v>92422</v>
      </c>
    </row>
    <row r="23" spans="1:9" hidden="1" x14ac:dyDescent="0.2">
      <c r="A23" s="716"/>
      <c r="B23" s="716"/>
      <c r="C23" s="716"/>
      <c r="D23" s="724" t="s">
        <v>21</v>
      </c>
      <c r="E23" s="724" t="s">
        <v>33</v>
      </c>
      <c r="F23" s="717">
        <f>42021-10213+5467</f>
        <v>37275</v>
      </c>
      <c r="G23" s="717">
        <f>23767-5467</f>
        <v>18300</v>
      </c>
      <c r="H23" s="717">
        <v>31575</v>
      </c>
      <c r="I23" s="725">
        <f t="shared" si="1"/>
        <v>87150</v>
      </c>
    </row>
    <row r="24" spans="1:9" hidden="1" x14ac:dyDescent="0.2">
      <c r="A24" s="716"/>
      <c r="B24" s="716"/>
      <c r="C24" s="716"/>
      <c r="D24" s="724"/>
      <c r="E24" s="724" t="s">
        <v>34</v>
      </c>
      <c r="F24" s="717">
        <v>2411</v>
      </c>
      <c r="G24" s="717">
        <v>1447</v>
      </c>
      <c r="H24" s="717">
        <v>1061</v>
      </c>
      <c r="I24" s="725">
        <f t="shared" si="1"/>
        <v>4919</v>
      </c>
    </row>
    <row r="25" spans="1:9" hidden="1" x14ac:dyDescent="0.2">
      <c r="A25" s="716"/>
      <c r="B25" s="716"/>
      <c r="C25" s="716"/>
      <c r="D25" s="724"/>
      <c r="E25" s="724" t="s">
        <v>35</v>
      </c>
      <c r="F25" s="717">
        <v>73</v>
      </c>
      <c r="G25" s="717">
        <v>102</v>
      </c>
      <c r="H25" s="717"/>
      <c r="I25" s="725">
        <f t="shared" si="1"/>
        <v>175</v>
      </c>
    </row>
    <row r="26" spans="1:9" hidden="1" x14ac:dyDescent="0.2">
      <c r="A26" s="716"/>
      <c r="B26" s="716"/>
      <c r="C26" s="716"/>
      <c r="D26" s="724"/>
      <c r="E26" s="724" t="s">
        <v>36</v>
      </c>
      <c r="F26" s="717">
        <v>66</v>
      </c>
      <c r="G26" s="717">
        <v>154</v>
      </c>
      <c r="H26" s="717">
        <v>16</v>
      </c>
      <c r="I26" s="725">
        <f t="shared" si="1"/>
        <v>236</v>
      </c>
    </row>
    <row r="27" spans="1:9" hidden="1" x14ac:dyDescent="0.2">
      <c r="A27" s="716"/>
      <c r="B27" s="716"/>
      <c r="C27" s="716"/>
      <c r="D27" s="724"/>
      <c r="E27" s="724" t="s">
        <v>37</v>
      </c>
      <c r="F27" s="717">
        <v>38</v>
      </c>
      <c r="G27" s="717">
        <v>91</v>
      </c>
      <c r="H27" s="717">
        <v>11</v>
      </c>
      <c r="I27" s="725">
        <f t="shared" si="1"/>
        <v>140</v>
      </c>
    </row>
    <row r="28" spans="1:9" s="300" customFormat="1" ht="12" customHeight="1" x14ac:dyDescent="0.2">
      <c r="A28" s="711" t="s">
        <v>38</v>
      </c>
      <c r="B28" s="797" t="s">
        <v>39</v>
      </c>
      <c r="C28" s="797"/>
      <c r="D28" s="797"/>
      <c r="E28" s="797"/>
      <c r="F28" s="712">
        <f>SUM(F52+F49+F35+F32+F29)</f>
        <v>528247</v>
      </c>
      <c r="G28" s="712">
        <f>SUM(G52+G49+G35+G32+G29)</f>
        <v>27625</v>
      </c>
      <c r="H28" s="712">
        <f>SUM(H52+H49+H35+H32+H29)</f>
        <v>48487</v>
      </c>
      <c r="I28" s="712">
        <f t="shared" si="1"/>
        <v>604359</v>
      </c>
    </row>
    <row r="29" spans="1:9" hidden="1" x14ac:dyDescent="0.2">
      <c r="A29" s="713"/>
      <c r="B29" s="713" t="s">
        <v>40</v>
      </c>
      <c r="C29" s="783" t="s">
        <v>41</v>
      </c>
      <c r="D29" s="783"/>
      <c r="E29" s="783"/>
      <c r="F29" s="728">
        <f>SUM(F30:F31)</f>
        <v>79065</v>
      </c>
      <c r="G29" s="728">
        <f>SUM(G30:G31)</f>
        <v>2176</v>
      </c>
      <c r="H29" s="728">
        <f>SUM(H30:H31)</f>
        <v>3026</v>
      </c>
      <c r="I29" s="728">
        <f>SUM(I30:I31)</f>
        <v>84267</v>
      </c>
    </row>
    <row r="30" spans="1:9" hidden="1" x14ac:dyDescent="0.2">
      <c r="A30" s="722"/>
      <c r="B30" s="722"/>
      <c r="C30" s="722" t="s">
        <v>42</v>
      </c>
      <c r="D30" s="722" t="s">
        <v>43</v>
      </c>
      <c r="E30" s="722"/>
      <c r="F30" s="723">
        <f>10083-4808</f>
        <v>5275</v>
      </c>
      <c r="G30" s="723">
        <v>200</v>
      </c>
      <c r="H30" s="726">
        <v>691</v>
      </c>
      <c r="I30" s="727">
        <f>SUM(F30:H30)</f>
        <v>6166</v>
      </c>
    </row>
    <row r="31" spans="1:9" hidden="1" x14ac:dyDescent="0.2">
      <c r="A31" s="722"/>
      <c r="B31" s="722"/>
      <c r="C31" s="722" t="s">
        <v>44</v>
      </c>
      <c r="D31" s="722" t="s">
        <v>45</v>
      </c>
      <c r="E31" s="722"/>
      <c r="F31" s="723">
        <f>76136-2346</f>
        <v>73790</v>
      </c>
      <c r="G31" s="723">
        <v>1976</v>
      </c>
      <c r="H31" s="726">
        <v>2335</v>
      </c>
      <c r="I31" s="727">
        <f>SUM(F31:H31)</f>
        <v>78101</v>
      </c>
    </row>
    <row r="32" spans="1:9" hidden="1" x14ac:dyDescent="0.2">
      <c r="A32" s="713"/>
      <c r="B32" s="713" t="s">
        <v>46</v>
      </c>
      <c r="C32" s="783" t="s">
        <v>47</v>
      </c>
      <c r="D32" s="783"/>
      <c r="E32" s="783"/>
      <c r="F32" s="728">
        <f>SUM(F33:F34)</f>
        <v>2624</v>
      </c>
      <c r="G32" s="728">
        <f>SUM(G33:G34)</f>
        <v>3837</v>
      </c>
      <c r="H32" s="728">
        <f>SUM(H33:H34)</f>
        <v>407</v>
      </c>
      <c r="I32" s="728">
        <f>SUM(I33:I34)</f>
        <v>6868</v>
      </c>
    </row>
    <row r="33" spans="1:9" hidden="1" x14ac:dyDescent="0.2">
      <c r="A33" s="722"/>
      <c r="B33" s="722"/>
      <c r="C33" s="722" t="s">
        <v>48</v>
      </c>
      <c r="D33" s="722" t="s">
        <v>49</v>
      </c>
      <c r="E33" s="722"/>
      <c r="F33" s="723">
        <v>1744</v>
      </c>
      <c r="G33" s="723">
        <v>2457</v>
      </c>
      <c r="H33" s="723">
        <v>120</v>
      </c>
      <c r="I33" s="725">
        <f>SUM(F33:H33)</f>
        <v>4321</v>
      </c>
    </row>
    <row r="34" spans="1:9" hidden="1" x14ac:dyDescent="0.2">
      <c r="A34" s="722"/>
      <c r="B34" s="722"/>
      <c r="C34" s="722" t="s">
        <v>50</v>
      </c>
      <c r="D34" s="722" t="s">
        <v>51</v>
      </c>
      <c r="E34" s="722"/>
      <c r="F34" s="723">
        <v>880</v>
      </c>
      <c r="G34" s="723">
        <v>1380</v>
      </c>
      <c r="H34" s="723">
        <v>287</v>
      </c>
      <c r="I34" s="725">
        <f>SUM(F34:H34)</f>
        <v>2547</v>
      </c>
    </row>
    <row r="35" spans="1:9" hidden="1" x14ac:dyDescent="0.2">
      <c r="A35" s="713"/>
      <c r="B35" s="713" t="s">
        <v>52</v>
      </c>
      <c r="C35" s="783" t="s">
        <v>53</v>
      </c>
      <c r="D35" s="783"/>
      <c r="E35" s="783"/>
      <c r="F35" s="728">
        <f>SUM(F36+F41+F42+F43+F44+F46+F47)</f>
        <v>116748</v>
      </c>
      <c r="G35" s="728">
        <f>SUM(G36+G41+G42+G43+G44+G46+G47)</f>
        <v>16387</v>
      </c>
      <c r="H35" s="728">
        <f>SUM(H36+H41+H42+H43+H44+H46+H47)</f>
        <v>34561</v>
      </c>
      <c r="I35" s="728">
        <f>SUM(I36+I41+I42+I43+I44+I46+I47)</f>
        <v>167696</v>
      </c>
    </row>
    <row r="36" spans="1:9" hidden="1" x14ac:dyDescent="0.2">
      <c r="A36" s="722"/>
      <c r="B36" s="722"/>
      <c r="C36" s="722" t="s">
        <v>54</v>
      </c>
      <c r="D36" s="722" t="s">
        <v>55</v>
      </c>
      <c r="E36" s="722"/>
      <c r="F36" s="723">
        <f>SUM(F37:F40)</f>
        <v>35106</v>
      </c>
      <c r="G36" s="723">
        <f>SUM(G37:G40)</f>
        <v>3193</v>
      </c>
      <c r="H36" s="723">
        <v>6867</v>
      </c>
      <c r="I36" s="725">
        <f>SUM(F36:H36)</f>
        <v>45166</v>
      </c>
    </row>
    <row r="37" spans="1:9" hidden="1" x14ac:dyDescent="0.2">
      <c r="A37" s="716"/>
      <c r="B37" s="716"/>
      <c r="C37" s="716"/>
      <c r="D37" s="724" t="s">
        <v>21</v>
      </c>
      <c r="E37" s="724" t="s">
        <v>56</v>
      </c>
      <c r="F37" s="717">
        <v>18358</v>
      </c>
      <c r="G37" s="717">
        <v>1528</v>
      </c>
      <c r="H37" s="766"/>
      <c r="I37" s="765">
        <f t="shared" ref="I37:I48" si="2">SUM(F37:H37)</f>
        <v>19886</v>
      </c>
    </row>
    <row r="38" spans="1:9" hidden="1" x14ac:dyDescent="0.2">
      <c r="A38" s="716"/>
      <c r="B38" s="716"/>
      <c r="C38" s="716"/>
      <c r="D38" s="724"/>
      <c r="E38" s="724" t="s">
        <v>57</v>
      </c>
      <c r="F38" s="717">
        <v>14102</v>
      </c>
      <c r="G38" s="717">
        <v>1465</v>
      </c>
      <c r="H38" s="766"/>
      <c r="I38" s="765">
        <f t="shared" si="2"/>
        <v>15567</v>
      </c>
    </row>
    <row r="39" spans="1:9" hidden="1" x14ac:dyDescent="0.2">
      <c r="A39" s="716"/>
      <c r="B39" s="716"/>
      <c r="C39" s="716"/>
      <c r="D39" s="724"/>
      <c r="E39" s="724" t="s">
        <v>58</v>
      </c>
      <c r="F39" s="717">
        <v>300</v>
      </c>
      <c r="G39" s="717"/>
      <c r="H39" s="766"/>
      <c r="I39" s="765">
        <f t="shared" si="2"/>
        <v>300</v>
      </c>
    </row>
    <row r="40" spans="1:9" hidden="1" x14ac:dyDescent="0.2">
      <c r="A40" s="716"/>
      <c r="B40" s="716"/>
      <c r="C40" s="716"/>
      <c r="D40" s="724"/>
      <c r="E40" s="724" t="s">
        <v>59</v>
      </c>
      <c r="F40" s="717">
        <v>2346</v>
      </c>
      <c r="G40" s="717">
        <v>200</v>
      </c>
      <c r="H40" s="766"/>
      <c r="I40" s="765">
        <f t="shared" si="2"/>
        <v>2546</v>
      </c>
    </row>
    <row r="41" spans="1:9" hidden="1" x14ac:dyDescent="0.2">
      <c r="A41" s="722"/>
      <c r="B41" s="722"/>
      <c r="C41" s="722" t="s">
        <v>60</v>
      </c>
      <c r="D41" s="722" t="s">
        <v>61</v>
      </c>
      <c r="E41" s="722"/>
      <c r="F41" s="723">
        <f>287-227</f>
        <v>60</v>
      </c>
      <c r="G41" s="723">
        <v>0</v>
      </c>
      <c r="H41" s="723">
        <v>26047</v>
      </c>
      <c r="I41" s="725">
        <f t="shared" si="2"/>
        <v>26107</v>
      </c>
    </row>
    <row r="42" spans="1:9" hidden="1" x14ac:dyDescent="0.2">
      <c r="A42" s="722"/>
      <c r="B42" s="722"/>
      <c r="C42" s="722" t="s">
        <v>62</v>
      </c>
      <c r="D42" s="722" t="s">
        <v>63</v>
      </c>
      <c r="E42" s="722"/>
      <c r="F42" s="723">
        <v>917</v>
      </c>
      <c r="G42" s="723">
        <v>1591</v>
      </c>
      <c r="H42" s="723">
        <v>0</v>
      </c>
      <c r="I42" s="725">
        <f t="shared" si="2"/>
        <v>2508</v>
      </c>
    </row>
    <row r="43" spans="1:9" hidden="1" x14ac:dyDescent="0.2">
      <c r="A43" s="722"/>
      <c r="B43" s="722"/>
      <c r="C43" s="722" t="s">
        <v>64</v>
      </c>
      <c r="D43" s="722" t="s">
        <v>65</v>
      </c>
      <c r="E43" s="722"/>
      <c r="F43" s="723">
        <v>2500</v>
      </c>
      <c r="G43" s="723">
        <v>395</v>
      </c>
      <c r="H43" s="723">
        <v>261</v>
      </c>
      <c r="I43" s="725">
        <f t="shared" si="2"/>
        <v>3156</v>
      </c>
    </row>
    <row r="44" spans="1:9" hidden="1" x14ac:dyDescent="0.2">
      <c r="A44" s="722"/>
      <c r="B44" s="722"/>
      <c r="C44" s="722" t="s">
        <v>66</v>
      </c>
      <c r="D44" s="722" t="s">
        <v>67</v>
      </c>
      <c r="E44" s="722"/>
      <c r="F44" s="723">
        <v>3242</v>
      </c>
      <c r="G44" s="723">
        <v>6267</v>
      </c>
      <c r="H44" s="723">
        <v>0</v>
      </c>
      <c r="I44" s="725">
        <f t="shared" si="2"/>
        <v>9509</v>
      </c>
    </row>
    <row r="45" spans="1:9" hidden="1" x14ac:dyDescent="0.2">
      <c r="A45" s="716"/>
      <c r="B45" s="716"/>
      <c r="C45" s="716"/>
      <c r="D45" s="724" t="s">
        <v>21</v>
      </c>
      <c r="E45" s="724" t="s">
        <v>68</v>
      </c>
      <c r="F45" s="721">
        <v>2292</v>
      </c>
      <c r="G45" s="721">
        <v>3967</v>
      </c>
      <c r="H45" s="717">
        <v>0</v>
      </c>
      <c r="I45" s="725">
        <f t="shared" si="2"/>
        <v>6259</v>
      </c>
    </row>
    <row r="46" spans="1:9" hidden="1" x14ac:dyDescent="0.2">
      <c r="A46" s="722"/>
      <c r="B46" s="722"/>
      <c r="C46" s="722" t="s">
        <v>69</v>
      </c>
      <c r="D46" s="722" t="s">
        <v>70</v>
      </c>
      <c r="E46" s="722"/>
      <c r="F46" s="723">
        <f>53303-1540</f>
        <v>51763</v>
      </c>
      <c r="G46" s="723">
        <v>1075</v>
      </c>
      <c r="H46" s="723">
        <v>349</v>
      </c>
      <c r="I46" s="725">
        <f t="shared" si="2"/>
        <v>53187</v>
      </c>
    </row>
    <row r="47" spans="1:9" hidden="1" x14ac:dyDescent="0.2">
      <c r="A47" s="722"/>
      <c r="B47" s="722"/>
      <c r="C47" s="722" t="s">
        <v>71</v>
      </c>
      <c r="D47" s="722" t="s">
        <v>72</v>
      </c>
      <c r="E47" s="722"/>
      <c r="F47" s="723">
        <v>23160</v>
      </c>
      <c r="G47" s="723">
        <v>3866</v>
      </c>
      <c r="H47" s="723">
        <v>1037</v>
      </c>
      <c r="I47" s="725">
        <f t="shared" si="2"/>
        <v>28063</v>
      </c>
    </row>
    <row r="48" spans="1:9" hidden="1" x14ac:dyDescent="0.2">
      <c r="A48" s="716"/>
      <c r="B48" s="716"/>
      <c r="C48" s="716"/>
      <c r="D48" s="724" t="s">
        <v>21</v>
      </c>
      <c r="E48" s="724" t="s">
        <v>22</v>
      </c>
      <c r="F48" s="721">
        <v>2663</v>
      </c>
      <c r="G48" s="721">
        <v>0</v>
      </c>
      <c r="H48" s="717">
        <v>0</v>
      </c>
      <c r="I48" s="725">
        <f t="shared" si="2"/>
        <v>2663</v>
      </c>
    </row>
    <row r="49" spans="1:9" hidden="1" x14ac:dyDescent="0.2">
      <c r="A49" s="713"/>
      <c r="B49" s="713" t="s">
        <v>73</v>
      </c>
      <c r="C49" s="783" t="s">
        <v>74</v>
      </c>
      <c r="D49" s="783"/>
      <c r="E49" s="783"/>
      <c r="F49" s="728">
        <f>SUM(F50:F51)</f>
        <v>559</v>
      </c>
      <c r="G49" s="728">
        <f>SUM(G50:G51)</f>
        <v>400</v>
      </c>
      <c r="H49" s="728">
        <f>SUM(H50:H51)</f>
        <v>90</v>
      </c>
      <c r="I49" s="728">
        <f>SUM(I50:I51)</f>
        <v>1049</v>
      </c>
    </row>
    <row r="50" spans="1:9" hidden="1" x14ac:dyDescent="0.2">
      <c r="A50" s="722"/>
      <c r="B50" s="722"/>
      <c r="C50" s="722" t="s">
        <v>75</v>
      </c>
      <c r="D50" s="722" t="s">
        <v>76</v>
      </c>
      <c r="E50" s="722"/>
      <c r="F50" s="723">
        <f>230+250</f>
        <v>480</v>
      </c>
      <c r="G50" s="723">
        <v>400</v>
      </c>
      <c r="H50" s="723">
        <v>90</v>
      </c>
      <c r="I50" s="725">
        <f>SUM(F50:H50)</f>
        <v>970</v>
      </c>
    </row>
    <row r="51" spans="1:9" hidden="1" x14ac:dyDescent="0.2">
      <c r="A51" s="722"/>
      <c r="B51" s="722"/>
      <c r="C51" s="722" t="s">
        <v>77</v>
      </c>
      <c r="D51" s="722" t="s">
        <v>78</v>
      </c>
      <c r="E51" s="722"/>
      <c r="F51" s="723">
        <v>79</v>
      </c>
      <c r="G51" s="723">
        <v>0</v>
      </c>
      <c r="H51" s="723">
        <v>0</v>
      </c>
      <c r="I51" s="725">
        <f>SUM(F51:H51)</f>
        <v>79</v>
      </c>
    </row>
    <row r="52" spans="1:9" hidden="1" x14ac:dyDescent="0.2">
      <c r="A52" s="713"/>
      <c r="B52" s="713" t="s">
        <v>79</v>
      </c>
      <c r="C52" s="783" t="s">
        <v>80</v>
      </c>
      <c r="D52" s="783"/>
      <c r="E52" s="783"/>
      <c r="F52" s="728">
        <f>SUM(F53:F55)</f>
        <v>329251</v>
      </c>
      <c r="G52" s="728">
        <f>SUM(G53:G55)</f>
        <v>4825</v>
      </c>
      <c r="H52" s="728">
        <f>SUM(H53:H55)</f>
        <v>10403</v>
      </c>
      <c r="I52" s="728">
        <f>SUM(I53:I55)</f>
        <v>344479</v>
      </c>
    </row>
    <row r="53" spans="1:9" hidden="1" x14ac:dyDescent="0.2">
      <c r="A53" s="722"/>
      <c r="B53" s="722"/>
      <c r="C53" s="722" t="s">
        <v>81</v>
      </c>
      <c r="D53" s="722" t="s">
        <v>82</v>
      </c>
      <c r="E53" s="722"/>
      <c r="F53" s="723">
        <f>45457-2409</f>
        <v>43048</v>
      </c>
      <c r="G53" s="723">
        <v>4175</v>
      </c>
      <c r="H53" s="723">
        <v>10303</v>
      </c>
      <c r="I53" s="725">
        <f>SUM(F53:H53)</f>
        <v>57526</v>
      </c>
    </row>
    <row r="54" spans="1:9" hidden="1" x14ac:dyDescent="0.2">
      <c r="A54" s="722"/>
      <c r="B54" s="722"/>
      <c r="C54" s="722" t="s">
        <v>83</v>
      </c>
      <c r="D54" s="722" t="s">
        <v>84</v>
      </c>
      <c r="E54" s="722"/>
      <c r="F54" s="723">
        <v>284708</v>
      </c>
      <c r="G54" s="723">
        <v>0</v>
      </c>
      <c r="H54" s="723">
        <v>0</v>
      </c>
      <c r="I54" s="725">
        <f>SUM(F54:H54)</f>
        <v>284708</v>
      </c>
    </row>
    <row r="55" spans="1:9" hidden="1" x14ac:dyDescent="0.2">
      <c r="A55" s="722"/>
      <c r="B55" s="722"/>
      <c r="C55" s="722" t="s">
        <v>85</v>
      </c>
      <c r="D55" s="722" t="s">
        <v>86</v>
      </c>
      <c r="E55" s="722"/>
      <c r="F55" s="723">
        <v>1495</v>
      </c>
      <c r="G55" s="723">
        <v>650</v>
      </c>
      <c r="H55" s="723">
        <v>100</v>
      </c>
      <c r="I55" s="725">
        <f>SUM(F55:H55)</f>
        <v>2245</v>
      </c>
    </row>
    <row r="56" spans="1:9" s="300" customFormat="1" x14ac:dyDescent="0.2">
      <c r="A56" s="711" t="s">
        <v>87</v>
      </c>
      <c r="B56" s="797" t="s">
        <v>88</v>
      </c>
      <c r="C56" s="797"/>
      <c r="D56" s="797"/>
      <c r="E56" s="797"/>
      <c r="F56" s="712">
        <f>SUM(F71+F70+F68+F66+F63+F62+F58+F57)</f>
        <v>2800</v>
      </c>
      <c r="G56" s="712">
        <f>SUM(G71+G70+G68+G66+G63+G62+G58+G57)</f>
        <v>57369</v>
      </c>
      <c r="H56" s="712">
        <f>SUM(H71+H70+H68+H66+H63+H62+H58+H57)</f>
        <v>0</v>
      </c>
      <c r="I56" s="712">
        <f>SUM(F56:H56)</f>
        <v>60169</v>
      </c>
    </row>
    <row r="57" spans="1:9" x14ac:dyDescent="0.2">
      <c r="A57" s="713"/>
      <c r="B57" s="713" t="s">
        <v>89</v>
      </c>
      <c r="C57" s="784" t="s">
        <v>90</v>
      </c>
      <c r="D57" s="785"/>
      <c r="E57" s="786"/>
      <c r="F57" s="714">
        <v>0</v>
      </c>
      <c r="G57" s="714">
        <v>0</v>
      </c>
      <c r="H57" s="714">
        <v>0</v>
      </c>
      <c r="I57" s="715">
        <f>SUM(F57:H57)</f>
        <v>0</v>
      </c>
    </row>
    <row r="58" spans="1:9" x14ac:dyDescent="0.2">
      <c r="A58" s="713"/>
      <c r="B58" s="713" t="s">
        <v>91</v>
      </c>
      <c r="C58" s="783" t="s">
        <v>92</v>
      </c>
      <c r="D58" s="783"/>
      <c r="E58" s="783"/>
      <c r="F58" s="714">
        <f>SUM(F59:F61)</f>
        <v>0</v>
      </c>
      <c r="G58" s="714">
        <f>SUM(G59:G61)</f>
        <v>12626</v>
      </c>
      <c r="H58" s="714">
        <f>SUM(H59:H61)</f>
        <v>0</v>
      </c>
      <c r="I58" s="715">
        <f t="shared" ref="I58:I75" si="3">SUM(F58:H58)</f>
        <v>12626</v>
      </c>
    </row>
    <row r="59" spans="1:9" x14ac:dyDescent="0.2">
      <c r="A59" s="722"/>
      <c r="B59" s="722"/>
      <c r="C59" s="722"/>
      <c r="D59" s="795" t="s">
        <v>93</v>
      </c>
      <c r="E59" s="796"/>
      <c r="F59" s="723">
        <v>0</v>
      </c>
      <c r="G59" s="723">
        <v>12000</v>
      </c>
      <c r="H59" s="723">
        <v>0</v>
      </c>
      <c r="I59" s="715">
        <f t="shared" si="3"/>
        <v>12000</v>
      </c>
    </row>
    <row r="60" spans="1:9" ht="19.5" customHeight="1" x14ac:dyDescent="0.2">
      <c r="A60" s="722"/>
      <c r="B60" s="722"/>
      <c r="C60" s="722"/>
      <c r="D60" s="798" t="s">
        <v>94</v>
      </c>
      <c r="E60" s="799"/>
      <c r="F60" s="723">
        <v>0</v>
      </c>
      <c r="G60" s="723">
        <v>276</v>
      </c>
      <c r="H60" s="723">
        <v>0</v>
      </c>
      <c r="I60" s="715">
        <f t="shared" si="3"/>
        <v>276</v>
      </c>
    </row>
    <row r="61" spans="1:9" x14ac:dyDescent="0.2">
      <c r="A61" s="722"/>
      <c r="B61" s="722"/>
      <c r="C61" s="722"/>
      <c r="D61" s="795" t="s">
        <v>827</v>
      </c>
      <c r="E61" s="796"/>
      <c r="F61" s="723">
        <v>0</v>
      </c>
      <c r="G61" s="723">
        <v>350</v>
      </c>
      <c r="H61" s="723">
        <v>0</v>
      </c>
      <c r="I61" s="715">
        <f t="shared" si="3"/>
        <v>350</v>
      </c>
    </row>
    <row r="62" spans="1:9" x14ac:dyDescent="0.2">
      <c r="A62" s="713"/>
      <c r="B62" s="713" t="s">
        <v>281</v>
      </c>
      <c r="C62" s="783" t="s">
        <v>282</v>
      </c>
      <c r="D62" s="783"/>
      <c r="E62" s="783"/>
      <c r="F62" s="714">
        <v>0</v>
      </c>
      <c r="G62" s="714">
        <v>15</v>
      </c>
      <c r="H62" s="714">
        <v>0</v>
      </c>
      <c r="I62" s="715">
        <f t="shared" si="3"/>
        <v>15</v>
      </c>
    </row>
    <row r="63" spans="1:9" x14ac:dyDescent="0.2">
      <c r="A63" s="713"/>
      <c r="B63" s="713" t="s">
        <v>283</v>
      </c>
      <c r="C63" s="784" t="s">
        <v>284</v>
      </c>
      <c r="D63" s="785"/>
      <c r="E63" s="786"/>
      <c r="F63" s="714">
        <f>SUM(F64:F65)</f>
        <v>0</v>
      </c>
      <c r="G63" s="714">
        <f>SUM(G64:G65)</f>
        <v>0</v>
      </c>
      <c r="H63" s="714">
        <f>SUM(H64:H65)</f>
        <v>0</v>
      </c>
      <c r="I63" s="715">
        <f t="shared" si="3"/>
        <v>0</v>
      </c>
    </row>
    <row r="64" spans="1:9" ht="23.25" customHeight="1" x14ac:dyDescent="0.2">
      <c r="A64" s="722"/>
      <c r="B64" s="722"/>
      <c r="C64" s="722"/>
      <c r="D64" s="798" t="s">
        <v>285</v>
      </c>
      <c r="E64" s="799"/>
      <c r="F64" s="723">
        <v>0</v>
      </c>
      <c r="G64" s="723">
        <v>0</v>
      </c>
      <c r="H64" s="723">
        <v>0</v>
      </c>
      <c r="I64" s="715">
        <f t="shared" si="3"/>
        <v>0</v>
      </c>
    </row>
    <row r="65" spans="1:9" x14ac:dyDescent="0.2">
      <c r="A65" s="722"/>
      <c r="B65" s="722"/>
      <c r="C65" s="722"/>
      <c r="D65" s="795" t="s">
        <v>286</v>
      </c>
      <c r="E65" s="796"/>
      <c r="F65" s="723">
        <v>0</v>
      </c>
      <c r="G65" s="723">
        <v>0</v>
      </c>
      <c r="H65" s="723">
        <v>0</v>
      </c>
      <c r="I65" s="715">
        <f t="shared" si="3"/>
        <v>0</v>
      </c>
    </row>
    <row r="66" spans="1:9" x14ac:dyDescent="0.2">
      <c r="A66" s="713"/>
      <c r="B66" s="713" t="s">
        <v>287</v>
      </c>
      <c r="C66" s="784" t="s">
        <v>288</v>
      </c>
      <c r="D66" s="785"/>
      <c r="E66" s="786"/>
      <c r="F66" s="714">
        <f>SUM(F67)</f>
        <v>0</v>
      </c>
      <c r="G66" s="714">
        <f>SUM(G67)</f>
        <v>24863</v>
      </c>
      <c r="H66" s="714">
        <f>SUM(H67)</f>
        <v>0</v>
      </c>
      <c r="I66" s="715">
        <f t="shared" si="3"/>
        <v>24863</v>
      </c>
    </row>
    <row r="67" spans="1:9" x14ac:dyDescent="0.2">
      <c r="A67" s="722"/>
      <c r="B67" s="722"/>
      <c r="C67" s="722"/>
      <c r="D67" s="795" t="s">
        <v>289</v>
      </c>
      <c r="E67" s="796"/>
      <c r="F67" s="723">
        <v>0</v>
      </c>
      <c r="G67" s="723">
        <f>23940+923</f>
        <v>24863</v>
      </c>
      <c r="H67" s="723">
        <v>0</v>
      </c>
      <c r="I67" s="715">
        <f t="shared" si="3"/>
        <v>24863</v>
      </c>
    </row>
    <row r="68" spans="1:9" x14ac:dyDescent="0.2">
      <c r="A68" s="713"/>
      <c r="B68" s="713" t="s">
        <v>290</v>
      </c>
      <c r="C68" s="784" t="s">
        <v>291</v>
      </c>
      <c r="D68" s="785"/>
      <c r="E68" s="786"/>
      <c r="F68" s="714">
        <f>SUM(F69)</f>
        <v>0</v>
      </c>
      <c r="G68" s="714">
        <f>SUM(G69)</f>
        <v>14669</v>
      </c>
      <c r="H68" s="714">
        <f>SUM(H69)</f>
        <v>0</v>
      </c>
      <c r="I68" s="715">
        <f t="shared" si="3"/>
        <v>14669</v>
      </c>
    </row>
    <row r="69" spans="1:9" x14ac:dyDescent="0.2">
      <c r="A69" s="722"/>
      <c r="B69" s="722"/>
      <c r="C69" s="722"/>
      <c r="D69" s="795" t="s">
        <v>292</v>
      </c>
      <c r="E69" s="796"/>
      <c r="F69" s="723">
        <v>0</v>
      </c>
      <c r="G69" s="723">
        <v>14669</v>
      </c>
      <c r="H69" s="723">
        <v>0</v>
      </c>
      <c r="I69" s="715">
        <f t="shared" si="3"/>
        <v>14669</v>
      </c>
    </row>
    <row r="70" spans="1:9" x14ac:dyDescent="0.2">
      <c r="A70" s="713"/>
      <c r="B70" s="713" t="s">
        <v>293</v>
      </c>
      <c r="C70" s="783" t="s">
        <v>95</v>
      </c>
      <c r="D70" s="783"/>
      <c r="E70" s="783"/>
      <c r="F70" s="714">
        <v>0</v>
      </c>
      <c r="G70" s="714">
        <v>0</v>
      </c>
      <c r="H70" s="714">
        <v>0</v>
      </c>
      <c r="I70" s="715">
        <f t="shared" si="3"/>
        <v>0</v>
      </c>
    </row>
    <row r="71" spans="1:9" x14ac:dyDescent="0.2">
      <c r="A71" s="713"/>
      <c r="B71" s="713" t="s">
        <v>294</v>
      </c>
      <c r="C71" s="784" t="s">
        <v>295</v>
      </c>
      <c r="D71" s="785"/>
      <c r="E71" s="786"/>
      <c r="F71" s="714">
        <f>SUM(F72:F75)</f>
        <v>2800</v>
      </c>
      <c r="G71" s="714">
        <f>SUM(G72:G75)</f>
        <v>5196</v>
      </c>
      <c r="H71" s="714">
        <f>SUM(H72:H75)</f>
        <v>0</v>
      </c>
      <c r="I71" s="715">
        <f t="shared" si="3"/>
        <v>7996</v>
      </c>
    </row>
    <row r="72" spans="1:9" x14ac:dyDescent="0.2">
      <c r="A72" s="722"/>
      <c r="B72" s="722"/>
      <c r="C72" s="722"/>
      <c r="D72" s="795" t="s">
        <v>1009</v>
      </c>
      <c r="E72" s="796"/>
      <c r="F72" s="723">
        <v>0</v>
      </c>
      <c r="G72" s="723">
        <f>3019+1657</f>
        <v>4676</v>
      </c>
      <c r="H72" s="723">
        <v>0</v>
      </c>
      <c r="I72" s="715">
        <f t="shared" si="3"/>
        <v>4676</v>
      </c>
    </row>
    <row r="73" spans="1:9" x14ac:dyDescent="0.2">
      <c r="A73" s="722"/>
      <c r="B73" s="722"/>
      <c r="C73" s="722"/>
      <c r="D73" s="795" t="s">
        <v>932</v>
      </c>
      <c r="E73" s="796"/>
      <c r="F73" s="723">
        <v>0</v>
      </c>
      <c r="G73" s="723">
        <v>520</v>
      </c>
      <c r="H73" s="723">
        <v>0</v>
      </c>
      <c r="I73" s="715">
        <f t="shared" si="3"/>
        <v>520</v>
      </c>
    </row>
    <row r="74" spans="1:9" x14ac:dyDescent="0.2">
      <c r="A74" s="722"/>
      <c r="B74" s="722"/>
      <c r="C74" s="722"/>
      <c r="D74" s="795" t="s">
        <v>296</v>
      </c>
      <c r="E74" s="796"/>
      <c r="F74" s="723">
        <v>1500</v>
      </c>
      <c r="G74" s="723">
        <v>0</v>
      </c>
      <c r="H74" s="723">
        <v>0</v>
      </c>
      <c r="I74" s="715">
        <f t="shared" si="3"/>
        <v>1500</v>
      </c>
    </row>
    <row r="75" spans="1:9" s="300" customFormat="1" x14ac:dyDescent="0.2">
      <c r="A75" s="722"/>
      <c r="B75" s="722"/>
      <c r="C75" s="722"/>
      <c r="D75" s="795" t="s">
        <v>297</v>
      </c>
      <c r="E75" s="796"/>
      <c r="F75" s="723">
        <v>1300</v>
      </c>
      <c r="G75" s="723">
        <v>0</v>
      </c>
      <c r="H75" s="723">
        <v>0</v>
      </c>
      <c r="I75" s="715">
        <f t="shared" si="3"/>
        <v>1300</v>
      </c>
    </row>
    <row r="76" spans="1:9" ht="13.5" customHeight="1" x14ac:dyDescent="0.2">
      <c r="A76" s="711" t="s">
        <v>298</v>
      </c>
      <c r="B76" s="789" t="s">
        <v>299</v>
      </c>
      <c r="C76" s="790"/>
      <c r="D76" s="790"/>
      <c r="E76" s="791"/>
      <c r="F76" s="712">
        <f>SUM(F111+F100+F98+F97+F94+F93+F82+F81+F80+F79+F77+F78)</f>
        <v>267961</v>
      </c>
      <c r="G76" s="712">
        <f>SUM(G111+G100+G98+G97+G94+G93+G82+G81+G80+G79+G77+G78)</f>
        <v>0</v>
      </c>
      <c r="H76" s="712">
        <f>SUM(H111+H100+H98+H97+H94+H93+H82+H81+H80+H79+H77+H78)</f>
        <v>0</v>
      </c>
      <c r="I76" s="712">
        <f>SUM(F76:H76)</f>
        <v>267961</v>
      </c>
    </row>
    <row r="77" spans="1:9" hidden="1" x14ac:dyDescent="0.2">
      <c r="A77" s="722"/>
      <c r="B77" s="722"/>
      <c r="C77" s="722" t="s">
        <v>300</v>
      </c>
      <c r="D77" s="722" t="s">
        <v>301</v>
      </c>
      <c r="E77" s="722"/>
      <c r="F77" s="723">
        <v>0</v>
      </c>
      <c r="G77" s="723">
        <v>0</v>
      </c>
      <c r="H77" s="723">
        <v>0</v>
      </c>
      <c r="I77" s="725">
        <f>SUM(F77:H77)</f>
        <v>0</v>
      </c>
    </row>
    <row r="78" spans="1:9" hidden="1" x14ac:dyDescent="0.2">
      <c r="A78" s="722"/>
      <c r="B78" s="722"/>
      <c r="C78" s="722" t="s">
        <v>302</v>
      </c>
      <c r="D78" s="722" t="s">
        <v>303</v>
      </c>
      <c r="E78" s="722"/>
      <c r="F78" s="723">
        <v>0</v>
      </c>
      <c r="G78" s="723">
        <v>0</v>
      </c>
      <c r="H78" s="723">
        <v>0</v>
      </c>
      <c r="I78" s="725">
        <f t="shared" ref="I78:I118" si="4">SUM(F78:H78)</f>
        <v>0</v>
      </c>
    </row>
    <row r="79" spans="1:9" hidden="1" x14ac:dyDescent="0.2">
      <c r="A79" s="722"/>
      <c r="B79" s="722"/>
      <c r="C79" s="722" t="s">
        <v>304</v>
      </c>
      <c r="D79" s="787" t="s">
        <v>305</v>
      </c>
      <c r="E79" s="788"/>
      <c r="F79" s="723">
        <v>0</v>
      </c>
      <c r="G79" s="723">
        <v>0</v>
      </c>
      <c r="H79" s="723">
        <v>0</v>
      </c>
      <c r="I79" s="725">
        <f t="shared" si="4"/>
        <v>0</v>
      </c>
    </row>
    <row r="80" spans="1:9" ht="0.75" hidden="1" customHeight="1" x14ac:dyDescent="0.2">
      <c r="A80" s="722"/>
      <c r="B80" s="722"/>
      <c r="C80" s="722" t="s">
        <v>306</v>
      </c>
      <c r="D80" s="787" t="s">
        <v>307</v>
      </c>
      <c r="E80" s="788"/>
      <c r="F80" s="723">
        <v>0</v>
      </c>
      <c r="G80" s="723">
        <v>0</v>
      </c>
      <c r="H80" s="723">
        <v>0</v>
      </c>
      <c r="I80" s="725">
        <f t="shared" si="4"/>
        <v>0</v>
      </c>
    </row>
    <row r="81" spans="1:9" hidden="1" x14ac:dyDescent="0.2">
      <c r="A81" s="722"/>
      <c r="B81" s="722"/>
      <c r="C81" s="722" t="s">
        <v>328</v>
      </c>
      <c r="D81" s="787" t="s">
        <v>329</v>
      </c>
      <c r="E81" s="788"/>
      <c r="F81" s="723">
        <v>0</v>
      </c>
      <c r="G81" s="723">
        <v>0</v>
      </c>
      <c r="H81" s="723">
        <v>0</v>
      </c>
      <c r="I81" s="725">
        <f t="shared" si="4"/>
        <v>0</v>
      </c>
    </row>
    <row r="82" spans="1:9" hidden="1" x14ac:dyDescent="0.2">
      <c r="A82" s="722"/>
      <c r="B82" s="722"/>
      <c r="C82" s="722" t="s">
        <v>330</v>
      </c>
      <c r="D82" s="787" t="s">
        <v>331</v>
      </c>
      <c r="E82" s="788"/>
      <c r="F82" s="723">
        <f>SUM(F83:F92)</f>
        <v>436</v>
      </c>
      <c r="G82" s="723">
        <f>SUM(G83:G92)</f>
        <v>0</v>
      </c>
      <c r="H82" s="723">
        <f>SUM(H83:H92)</f>
        <v>0</v>
      </c>
      <c r="I82" s="725">
        <f t="shared" si="4"/>
        <v>436</v>
      </c>
    </row>
    <row r="83" spans="1:9" hidden="1" x14ac:dyDescent="0.2">
      <c r="A83" s="729"/>
      <c r="B83" s="729"/>
      <c r="C83" s="724" t="s">
        <v>21</v>
      </c>
      <c r="D83" s="724" t="s">
        <v>308</v>
      </c>
      <c r="E83" s="724" t="s">
        <v>309</v>
      </c>
      <c r="F83" s="730">
        <v>0</v>
      </c>
      <c r="G83" s="730">
        <v>0</v>
      </c>
      <c r="H83" s="730">
        <v>0</v>
      </c>
      <c r="I83" s="725">
        <f t="shared" si="4"/>
        <v>0</v>
      </c>
    </row>
    <row r="84" spans="1:9" hidden="1" x14ac:dyDescent="0.2">
      <c r="A84" s="729"/>
      <c r="B84" s="729"/>
      <c r="C84" s="724"/>
      <c r="D84" s="724" t="s">
        <v>310</v>
      </c>
      <c r="E84" s="724" t="s">
        <v>311</v>
      </c>
      <c r="F84" s="730">
        <v>0</v>
      </c>
      <c r="G84" s="730">
        <v>0</v>
      </c>
      <c r="H84" s="730">
        <v>0</v>
      </c>
      <c r="I84" s="725">
        <f t="shared" si="4"/>
        <v>0</v>
      </c>
    </row>
    <row r="85" spans="1:9" hidden="1" x14ac:dyDescent="0.2">
      <c r="A85" s="729"/>
      <c r="B85" s="729"/>
      <c r="C85" s="724"/>
      <c r="D85" s="724" t="s">
        <v>312</v>
      </c>
      <c r="E85" s="724" t="s">
        <v>313</v>
      </c>
      <c r="F85" s="730">
        <v>0</v>
      </c>
      <c r="G85" s="730">
        <v>0</v>
      </c>
      <c r="H85" s="730">
        <v>0</v>
      </c>
      <c r="I85" s="725">
        <f t="shared" si="4"/>
        <v>0</v>
      </c>
    </row>
    <row r="86" spans="1:9" hidden="1" x14ac:dyDescent="0.2">
      <c r="A86" s="729"/>
      <c r="B86" s="729"/>
      <c r="C86" s="724"/>
      <c r="D86" s="724" t="s">
        <v>314</v>
      </c>
      <c r="E86" s="724" t="s">
        <v>315</v>
      </c>
      <c r="F86" s="730">
        <v>0</v>
      </c>
      <c r="G86" s="730">
        <v>0</v>
      </c>
      <c r="H86" s="730">
        <v>0</v>
      </c>
      <c r="I86" s="725">
        <f t="shared" si="4"/>
        <v>0</v>
      </c>
    </row>
    <row r="87" spans="1:9" hidden="1" x14ac:dyDescent="0.2">
      <c r="A87" s="729"/>
      <c r="B87" s="729"/>
      <c r="C87" s="724"/>
      <c r="D87" s="724" t="s">
        <v>316</v>
      </c>
      <c r="E87" s="724" t="s">
        <v>317</v>
      </c>
      <c r="F87" s="730">
        <v>0</v>
      </c>
      <c r="G87" s="730">
        <v>0</v>
      </c>
      <c r="H87" s="730">
        <v>0</v>
      </c>
      <c r="I87" s="725">
        <f t="shared" si="4"/>
        <v>0</v>
      </c>
    </row>
    <row r="88" spans="1:9" hidden="1" x14ac:dyDescent="0.2">
      <c r="A88" s="729"/>
      <c r="B88" s="729"/>
      <c r="C88" s="724"/>
      <c r="D88" s="724" t="s">
        <v>318</v>
      </c>
      <c r="E88" s="724" t="s">
        <v>319</v>
      </c>
      <c r="F88" s="730">
        <v>0</v>
      </c>
      <c r="G88" s="730">
        <v>0</v>
      </c>
      <c r="H88" s="730">
        <v>0</v>
      </c>
      <c r="I88" s="725">
        <f t="shared" si="4"/>
        <v>0</v>
      </c>
    </row>
    <row r="89" spans="1:9" hidden="1" x14ac:dyDescent="0.2">
      <c r="A89" s="729"/>
      <c r="B89" s="729"/>
      <c r="C89" s="724"/>
      <c r="D89" s="724" t="s">
        <v>320</v>
      </c>
      <c r="E89" s="724" t="s">
        <v>321</v>
      </c>
      <c r="F89" s="730">
        <v>250</v>
      </c>
      <c r="G89" s="730">
        <v>0</v>
      </c>
      <c r="H89" s="730">
        <v>0</v>
      </c>
      <c r="I89" s="725">
        <f t="shared" si="4"/>
        <v>250</v>
      </c>
    </row>
    <row r="90" spans="1:9" hidden="1" x14ac:dyDescent="0.2">
      <c r="A90" s="729"/>
      <c r="B90" s="729"/>
      <c r="C90" s="724"/>
      <c r="D90" s="724" t="s">
        <v>322</v>
      </c>
      <c r="E90" s="724" t="s">
        <v>323</v>
      </c>
      <c r="F90" s="730">
        <v>186</v>
      </c>
      <c r="G90" s="730">
        <v>0</v>
      </c>
      <c r="H90" s="730">
        <v>0</v>
      </c>
      <c r="I90" s="725">
        <f t="shared" si="4"/>
        <v>186</v>
      </c>
    </row>
    <row r="91" spans="1:9" hidden="1" x14ac:dyDescent="0.2">
      <c r="A91" s="729"/>
      <c r="B91" s="729"/>
      <c r="C91" s="724"/>
      <c r="D91" s="724" t="s">
        <v>324</v>
      </c>
      <c r="E91" s="724" t="s">
        <v>325</v>
      </c>
      <c r="F91" s="730">
        <v>0</v>
      </c>
      <c r="G91" s="730">
        <v>0</v>
      </c>
      <c r="H91" s="730">
        <v>0</v>
      </c>
      <c r="I91" s="725">
        <f t="shared" si="4"/>
        <v>0</v>
      </c>
    </row>
    <row r="92" spans="1:9" hidden="1" x14ac:dyDescent="0.2">
      <c r="A92" s="729"/>
      <c r="B92" s="729"/>
      <c r="C92" s="724"/>
      <c r="D92" s="724" t="s">
        <v>326</v>
      </c>
      <c r="E92" s="724" t="s">
        <v>327</v>
      </c>
      <c r="F92" s="730">
        <v>0</v>
      </c>
      <c r="G92" s="730">
        <v>0</v>
      </c>
      <c r="H92" s="730">
        <v>0</v>
      </c>
      <c r="I92" s="725">
        <f t="shared" si="4"/>
        <v>0</v>
      </c>
    </row>
    <row r="93" spans="1:9" ht="25.5" hidden="1" customHeight="1" x14ac:dyDescent="0.2">
      <c r="A93" s="722"/>
      <c r="B93" s="722"/>
      <c r="C93" s="722" t="s">
        <v>332</v>
      </c>
      <c r="D93" s="787" t="s">
        <v>333</v>
      </c>
      <c r="E93" s="788"/>
      <c r="F93" s="723">
        <v>0</v>
      </c>
      <c r="G93" s="723">
        <v>0</v>
      </c>
      <c r="H93" s="723">
        <v>0</v>
      </c>
      <c r="I93" s="725">
        <f t="shared" si="4"/>
        <v>0</v>
      </c>
    </row>
    <row r="94" spans="1:9" ht="24.75" hidden="1" customHeight="1" x14ac:dyDescent="0.2">
      <c r="A94" s="722"/>
      <c r="B94" s="722"/>
      <c r="C94" s="722" t="s">
        <v>334</v>
      </c>
      <c r="D94" s="787" t="s">
        <v>933</v>
      </c>
      <c r="E94" s="788"/>
      <c r="F94" s="723">
        <f>SUM(F95:F96)</f>
        <v>21668</v>
      </c>
      <c r="G94" s="723">
        <f>SUM(G95:G96)</f>
        <v>0</v>
      </c>
      <c r="H94" s="723">
        <f>SUM(H95:H96)</f>
        <v>0</v>
      </c>
      <c r="I94" s="725">
        <f t="shared" si="4"/>
        <v>21668</v>
      </c>
    </row>
    <row r="95" spans="1:9" ht="13.5" hidden="1" customHeight="1" x14ac:dyDescent="0.2">
      <c r="A95" s="722"/>
      <c r="B95" s="722"/>
      <c r="C95" s="722"/>
      <c r="D95" s="724" t="s">
        <v>310</v>
      </c>
      <c r="E95" s="724" t="s">
        <v>1054</v>
      </c>
      <c r="F95" s="723">
        <v>7000</v>
      </c>
      <c r="G95" s="723"/>
      <c r="H95" s="723"/>
      <c r="I95" s="725"/>
    </row>
    <row r="96" spans="1:9" ht="14.25" hidden="1" customHeight="1" x14ac:dyDescent="0.2">
      <c r="A96" s="722"/>
      <c r="B96" s="722"/>
      <c r="C96" s="722"/>
      <c r="D96" s="724" t="s">
        <v>322</v>
      </c>
      <c r="E96" s="724" t="s">
        <v>341</v>
      </c>
      <c r="F96" s="723">
        <v>14668</v>
      </c>
      <c r="G96" s="723"/>
      <c r="H96" s="723"/>
      <c r="I96" s="725"/>
    </row>
    <row r="97" spans="1:9" hidden="1" x14ac:dyDescent="0.2">
      <c r="A97" s="722"/>
      <c r="B97" s="722"/>
      <c r="C97" s="722" t="s">
        <v>345</v>
      </c>
      <c r="D97" s="787" t="s">
        <v>346</v>
      </c>
      <c r="E97" s="788"/>
      <c r="F97" s="723">
        <v>0</v>
      </c>
      <c r="G97" s="723">
        <v>0</v>
      </c>
      <c r="H97" s="723">
        <v>0</v>
      </c>
      <c r="I97" s="725">
        <f t="shared" si="4"/>
        <v>0</v>
      </c>
    </row>
    <row r="98" spans="1:9" hidden="1" x14ac:dyDescent="0.2">
      <c r="A98" s="722"/>
      <c r="B98" s="722"/>
      <c r="C98" s="722" t="s">
        <v>347</v>
      </c>
      <c r="D98" s="787" t="s">
        <v>348</v>
      </c>
      <c r="E98" s="788"/>
      <c r="F98" s="723">
        <v>0</v>
      </c>
      <c r="G98" s="723">
        <v>0</v>
      </c>
      <c r="H98" s="723">
        <v>0</v>
      </c>
      <c r="I98" s="725">
        <f t="shared" si="4"/>
        <v>0</v>
      </c>
    </row>
    <row r="99" spans="1:9" hidden="1" x14ac:dyDescent="0.2">
      <c r="A99" s="722"/>
      <c r="B99" s="722"/>
      <c r="C99" s="722" t="s">
        <v>349</v>
      </c>
      <c r="D99" s="787" t="s">
        <v>1057</v>
      </c>
      <c r="E99" s="788"/>
      <c r="F99" s="723">
        <v>0</v>
      </c>
      <c r="G99" s="723">
        <v>0</v>
      </c>
      <c r="H99" s="723">
        <v>0</v>
      </c>
      <c r="I99" s="725">
        <f t="shared" si="4"/>
        <v>0</v>
      </c>
    </row>
    <row r="100" spans="1:9" hidden="1" x14ac:dyDescent="0.2">
      <c r="A100" s="722"/>
      <c r="B100" s="722"/>
      <c r="C100" s="722" t="s">
        <v>351</v>
      </c>
      <c r="D100" s="787" t="s">
        <v>350</v>
      </c>
      <c r="E100" s="788"/>
      <c r="F100" s="723">
        <f>SUM(F101:F110)</f>
        <v>199215</v>
      </c>
      <c r="G100" s="723">
        <f>SUM(G101:G110)</f>
        <v>0</v>
      </c>
      <c r="H100" s="723">
        <f>SUM(H101:H110)</f>
        <v>0</v>
      </c>
      <c r="I100" s="725">
        <f t="shared" si="4"/>
        <v>199215</v>
      </c>
    </row>
    <row r="101" spans="1:9" hidden="1" x14ac:dyDescent="0.2">
      <c r="A101" s="731"/>
      <c r="B101" s="731"/>
      <c r="C101" s="724" t="s">
        <v>21</v>
      </c>
      <c r="D101" s="724" t="s">
        <v>308</v>
      </c>
      <c r="E101" s="724" t="s">
        <v>335</v>
      </c>
      <c r="F101" s="730">
        <v>0</v>
      </c>
      <c r="G101" s="730">
        <v>0</v>
      </c>
      <c r="H101" s="730">
        <v>0</v>
      </c>
      <c r="I101" s="725">
        <f t="shared" si="4"/>
        <v>0</v>
      </c>
    </row>
    <row r="102" spans="1:9" hidden="1" x14ac:dyDescent="0.2">
      <c r="A102" s="731"/>
      <c r="B102" s="731"/>
      <c r="C102" s="724"/>
      <c r="D102" s="724" t="s">
        <v>310</v>
      </c>
      <c r="E102" s="724" t="s">
        <v>1054</v>
      </c>
      <c r="F102" s="730">
        <f>84233+5487</f>
        <v>89720</v>
      </c>
      <c r="G102" s="730">
        <v>0</v>
      </c>
      <c r="H102" s="730">
        <v>0</v>
      </c>
      <c r="I102" s="725">
        <f t="shared" si="4"/>
        <v>89720</v>
      </c>
    </row>
    <row r="103" spans="1:9" hidden="1" x14ac:dyDescent="0.2">
      <c r="A103" s="731"/>
      <c r="B103" s="731"/>
      <c r="C103" s="724"/>
      <c r="D103" s="724" t="s">
        <v>312</v>
      </c>
      <c r="E103" s="724" t="s">
        <v>336</v>
      </c>
      <c r="F103" s="730">
        <v>100</v>
      </c>
      <c r="G103" s="730">
        <v>0</v>
      </c>
      <c r="H103" s="730">
        <v>0</v>
      </c>
      <c r="I103" s="725">
        <f t="shared" si="4"/>
        <v>100</v>
      </c>
    </row>
    <row r="104" spans="1:9" hidden="1" x14ac:dyDescent="0.2">
      <c r="A104" s="731"/>
      <c r="B104" s="731"/>
      <c r="C104" s="724"/>
      <c r="D104" s="724" t="s">
        <v>314</v>
      </c>
      <c r="E104" s="724" t="s">
        <v>337</v>
      </c>
      <c r="F104" s="730">
        <v>0</v>
      </c>
      <c r="G104" s="730">
        <v>0</v>
      </c>
      <c r="H104" s="730">
        <v>0</v>
      </c>
      <c r="I104" s="725">
        <f t="shared" si="4"/>
        <v>0</v>
      </c>
    </row>
    <row r="105" spans="1:9" hidden="1" x14ac:dyDescent="0.2">
      <c r="A105" s="731"/>
      <c r="B105" s="731"/>
      <c r="C105" s="724"/>
      <c r="D105" s="724" t="s">
        <v>316</v>
      </c>
      <c r="E105" s="724" t="s">
        <v>338</v>
      </c>
      <c r="F105" s="730">
        <v>0</v>
      </c>
      <c r="G105" s="730">
        <v>0</v>
      </c>
      <c r="H105" s="730">
        <v>0</v>
      </c>
      <c r="I105" s="725">
        <f t="shared" si="4"/>
        <v>0</v>
      </c>
    </row>
    <row r="106" spans="1:9" hidden="1" x14ac:dyDescent="0.2">
      <c r="A106" s="731"/>
      <c r="B106" s="731"/>
      <c r="C106" s="724"/>
      <c r="D106" s="724" t="s">
        <v>318</v>
      </c>
      <c r="E106" s="724" t="s">
        <v>339</v>
      </c>
      <c r="F106" s="730">
        <v>0</v>
      </c>
      <c r="G106" s="730">
        <v>0</v>
      </c>
      <c r="H106" s="730">
        <v>0</v>
      </c>
      <c r="I106" s="725">
        <f t="shared" si="4"/>
        <v>0</v>
      </c>
    </row>
    <row r="107" spans="1:9" hidden="1" x14ac:dyDescent="0.2">
      <c r="A107" s="729"/>
      <c r="B107" s="729"/>
      <c r="C107" s="724"/>
      <c r="D107" s="724" t="s">
        <v>320</v>
      </c>
      <c r="E107" s="724" t="s">
        <v>340</v>
      </c>
      <c r="F107" s="730">
        <v>104595</v>
      </c>
      <c r="G107" s="730">
        <v>0</v>
      </c>
      <c r="H107" s="730">
        <v>0</v>
      </c>
      <c r="I107" s="725">
        <f t="shared" si="4"/>
        <v>104595</v>
      </c>
    </row>
    <row r="108" spans="1:9" hidden="1" x14ac:dyDescent="0.2">
      <c r="A108" s="729"/>
      <c r="B108" s="729"/>
      <c r="C108" s="724"/>
      <c r="D108" s="724" t="s">
        <v>322</v>
      </c>
      <c r="E108" s="724" t="s">
        <v>341</v>
      </c>
      <c r="F108" s="730">
        <f>9230-5429</f>
        <v>3801</v>
      </c>
      <c r="G108" s="730">
        <v>0</v>
      </c>
      <c r="H108" s="730">
        <v>0</v>
      </c>
      <c r="I108" s="725">
        <f t="shared" si="4"/>
        <v>3801</v>
      </c>
    </row>
    <row r="109" spans="1:9" hidden="1" x14ac:dyDescent="0.2">
      <c r="A109" s="731"/>
      <c r="B109" s="731"/>
      <c r="C109" s="724"/>
      <c r="D109" s="724" t="s">
        <v>324</v>
      </c>
      <c r="E109" s="724" t="s">
        <v>343</v>
      </c>
      <c r="F109" s="730">
        <v>0</v>
      </c>
      <c r="G109" s="730">
        <v>0</v>
      </c>
      <c r="H109" s="730">
        <v>0</v>
      </c>
      <c r="I109" s="725">
        <f t="shared" si="4"/>
        <v>0</v>
      </c>
    </row>
    <row r="110" spans="1:9" hidden="1" x14ac:dyDescent="0.2">
      <c r="A110" s="731"/>
      <c r="B110" s="731"/>
      <c r="C110" s="724"/>
      <c r="D110" s="724" t="s">
        <v>326</v>
      </c>
      <c r="E110" s="724" t="s">
        <v>344</v>
      </c>
      <c r="F110" s="730">
        <v>999</v>
      </c>
      <c r="G110" s="730">
        <v>0</v>
      </c>
      <c r="H110" s="730">
        <v>0</v>
      </c>
      <c r="I110" s="725">
        <f t="shared" si="4"/>
        <v>999</v>
      </c>
    </row>
    <row r="111" spans="1:9" x14ac:dyDescent="0.2">
      <c r="A111" s="731"/>
      <c r="B111" s="761" t="s">
        <v>21</v>
      </c>
      <c r="C111" s="722" t="s">
        <v>1058</v>
      </c>
      <c r="D111" s="787" t="s">
        <v>352</v>
      </c>
      <c r="E111" s="788"/>
      <c r="F111" s="723">
        <f>SUM(F112:F118)</f>
        <v>46642</v>
      </c>
      <c r="G111" s="723">
        <f>SUM(G112:G118)</f>
        <v>0</v>
      </c>
      <c r="H111" s="723">
        <f>SUM(H112:H118)</f>
        <v>0</v>
      </c>
      <c r="I111" s="725">
        <f t="shared" si="4"/>
        <v>46642</v>
      </c>
    </row>
    <row r="112" spans="1:9" x14ac:dyDescent="0.2">
      <c r="A112" s="729"/>
      <c r="B112" s="729"/>
      <c r="C112" s="724"/>
      <c r="D112" s="732"/>
      <c r="E112" s="733" t="s">
        <v>709</v>
      </c>
      <c r="F112" s="730">
        <v>1000</v>
      </c>
      <c r="G112" s="730">
        <v>0</v>
      </c>
      <c r="H112" s="730">
        <v>0</v>
      </c>
      <c r="I112" s="725">
        <f t="shared" si="4"/>
        <v>1000</v>
      </c>
    </row>
    <row r="113" spans="1:9" x14ac:dyDescent="0.2">
      <c r="A113" s="729"/>
      <c r="B113" s="729"/>
      <c r="C113" s="724"/>
      <c r="D113" s="732"/>
      <c r="E113" s="733" t="s">
        <v>353</v>
      </c>
      <c r="F113" s="730">
        <v>200</v>
      </c>
      <c r="G113" s="730">
        <v>0</v>
      </c>
      <c r="H113" s="730">
        <v>0</v>
      </c>
      <c r="I113" s="725">
        <f t="shared" si="4"/>
        <v>200</v>
      </c>
    </row>
    <row r="114" spans="1:9" x14ac:dyDescent="0.2">
      <c r="A114" s="729"/>
      <c r="B114" s="729"/>
      <c r="C114" s="724"/>
      <c r="D114" s="732"/>
      <c r="E114" s="733" t="s">
        <v>865</v>
      </c>
      <c r="F114" s="730">
        <f>1519-323</f>
        <v>1196</v>
      </c>
      <c r="G114" s="730">
        <v>0</v>
      </c>
      <c r="H114" s="730">
        <v>0</v>
      </c>
      <c r="I114" s="725">
        <f t="shared" si="4"/>
        <v>1196</v>
      </c>
    </row>
    <row r="115" spans="1:9" x14ac:dyDescent="0.2">
      <c r="A115" s="729"/>
      <c r="B115" s="729"/>
      <c r="C115" s="724"/>
      <c r="D115" s="732"/>
      <c r="E115" s="733" t="s">
        <v>753</v>
      </c>
      <c r="F115" s="730">
        <f>1000-3517-100-859+720+3517-250</f>
        <v>511</v>
      </c>
      <c r="G115" s="730">
        <v>0</v>
      </c>
      <c r="H115" s="730">
        <v>0</v>
      </c>
      <c r="I115" s="725">
        <f t="shared" si="4"/>
        <v>511</v>
      </c>
    </row>
    <row r="116" spans="1:9" s="300" customFormat="1" x14ac:dyDescent="0.2">
      <c r="A116" s="729"/>
      <c r="B116" s="729"/>
      <c r="C116" s="724"/>
      <c r="D116" s="732"/>
      <c r="E116" s="733" t="s">
        <v>934</v>
      </c>
      <c r="F116" s="730">
        <v>3000</v>
      </c>
      <c r="G116" s="730">
        <v>0</v>
      </c>
      <c r="H116" s="730">
        <v>0</v>
      </c>
      <c r="I116" s="725">
        <f t="shared" si="4"/>
        <v>3000</v>
      </c>
    </row>
    <row r="117" spans="1:9" x14ac:dyDescent="0.2">
      <c r="A117" s="729"/>
      <c r="B117" s="729"/>
      <c r="C117" s="724"/>
      <c r="D117" s="732"/>
      <c r="E117" s="733" t="s">
        <v>971</v>
      </c>
      <c r="F117" s="730">
        <v>40540</v>
      </c>
      <c r="G117" s="730">
        <v>0</v>
      </c>
      <c r="H117" s="730">
        <v>0</v>
      </c>
      <c r="I117" s="725">
        <f t="shared" si="4"/>
        <v>40540</v>
      </c>
    </row>
    <row r="118" spans="1:9" x14ac:dyDescent="0.2">
      <c r="A118" s="729"/>
      <c r="B118" s="729"/>
      <c r="C118" s="724"/>
      <c r="D118" s="732"/>
      <c r="E118" s="733" t="s">
        <v>354</v>
      </c>
      <c r="F118" s="730">
        <v>195</v>
      </c>
      <c r="G118" s="730">
        <v>0</v>
      </c>
      <c r="H118" s="730">
        <v>0</v>
      </c>
      <c r="I118" s="725">
        <f t="shared" si="4"/>
        <v>195</v>
      </c>
    </row>
    <row r="119" spans="1:9" ht="13.5" customHeight="1" x14ac:dyDescent="0.2">
      <c r="A119" s="711" t="s">
        <v>270</v>
      </c>
      <c r="B119" s="789" t="s">
        <v>626</v>
      </c>
      <c r="C119" s="790"/>
      <c r="D119" s="790"/>
      <c r="E119" s="791"/>
      <c r="F119" s="712">
        <f>SUM(F120:F126)</f>
        <v>1204757</v>
      </c>
      <c r="G119" s="712">
        <f>SUM(G120:G126)</f>
        <v>445</v>
      </c>
      <c r="H119" s="712">
        <f>SUM(H120:H126)</f>
        <v>204</v>
      </c>
      <c r="I119" s="712">
        <f>SUM(F119:H119)</f>
        <v>1205406</v>
      </c>
    </row>
    <row r="120" spans="1:9" hidden="1" x14ac:dyDescent="0.2">
      <c r="A120" s="713"/>
      <c r="B120" s="713" t="s">
        <v>355</v>
      </c>
      <c r="C120" s="783" t="s">
        <v>356</v>
      </c>
      <c r="D120" s="783"/>
      <c r="E120" s="783"/>
      <c r="F120" s="714">
        <v>0</v>
      </c>
      <c r="G120" s="714">
        <v>0</v>
      </c>
      <c r="H120" s="714">
        <v>0</v>
      </c>
      <c r="I120" s="715">
        <f>SUM(F120:H120)</f>
        <v>0</v>
      </c>
    </row>
    <row r="121" spans="1:9" hidden="1" x14ac:dyDescent="0.2">
      <c r="A121" s="713"/>
      <c r="B121" s="713" t="s">
        <v>357</v>
      </c>
      <c r="C121" s="783" t="s">
        <v>358</v>
      </c>
      <c r="D121" s="783"/>
      <c r="E121" s="783"/>
      <c r="F121" s="714">
        <f>780343-1809</f>
        <v>778534</v>
      </c>
      <c r="G121" s="714">
        <v>0</v>
      </c>
      <c r="H121" s="714">
        <v>0</v>
      </c>
      <c r="I121" s="715">
        <f t="shared" ref="I121:I126" si="5">SUM(F121:H121)</f>
        <v>778534</v>
      </c>
    </row>
    <row r="122" spans="1:9" hidden="1" x14ac:dyDescent="0.2">
      <c r="A122" s="713" t="s">
        <v>359</v>
      </c>
      <c r="B122" s="713" t="s">
        <v>360</v>
      </c>
      <c r="C122" s="783" t="s">
        <v>361</v>
      </c>
      <c r="D122" s="783"/>
      <c r="E122" s="783"/>
      <c r="F122" s="714">
        <v>315</v>
      </c>
      <c r="G122" s="714">
        <v>0</v>
      </c>
      <c r="H122" s="714">
        <v>0</v>
      </c>
      <c r="I122" s="715">
        <f t="shared" si="5"/>
        <v>315</v>
      </c>
    </row>
    <row r="123" spans="1:9" hidden="1" x14ac:dyDescent="0.2">
      <c r="A123" s="713"/>
      <c r="B123" s="713" t="s">
        <v>362</v>
      </c>
      <c r="C123" s="783" t="s">
        <v>363</v>
      </c>
      <c r="D123" s="783"/>
      <c r="E123" s="783"/>
      <c r="F123" s="714">
        <f>336605-4635</f>
        <v>331970</v>
      </c>
      <c r="G123" s="714">
        <v>350</v>
      </c>
      <c r="H123" s="714">
        <v>161</v>
      </c>
      <c r="I123" s="715">
        <f t="shared" si="5"/>
        <v>332481</v>
      </c>
    </row>
    <row r="124" spans="1:9" s="300" customFormat="1" hidden="1" x14ac:dyDescent="0.2">
      <c r="A124" s="713"/>
      <c r="B124" s="713" t="s">
        <v>364</v>
      </c>
      <c r="C124" s="783" t="s">
        <v>365</v>
      </c>
      <c r="D124" s="783"/>
      <c r="E124" s="783"/>
      <c r="F124" s="714">
        <v>3000</v>
      </c>
      <c r="G124" s="714">
        <v>0</v>
      </c>
      <c r="H124" s="714">
        <v>0</v>
      </c>
      <c r="I124" s="715">
        <f t="shared" si="5"/>
        <v>3000</v>
      </c>
    </row>
    <row r="125" spans="1:9" hidden="1" x14ac:dyDescent="0.2">
      <c r="A125" s="713"/>
      <c r="B125" s="713" t="s">
        <v>366</v>
      </c>
      <c r="C125" s="783" t="s">
        <v>367</v>
      </c>
      <c r="D125" s="783"/>
      <c r="E125" s="783"/>
      <c r="F125" s="714">
        <v>0</v>
      </c>
      <c r="G125" s="714">
        <v>0</v>
      </c>
      <c r="H125" s="714">
        <v>0</v>
      </c>
      <c r="I125" s="715">
        <f t="shared" si="5"/>
        <v>0</v>
      </c>
    </row>
    <row r="126" spans="1:9" hidden="1" x14ac:dyDescent="0.2">
      <c r="A126" s="713"/>
      <c r="B126" s="713" t="s">
        <v>368</v>
      </c>
      <c r="C126" s="783" t="s">
        <v>369</v>
      </c>
      <c r="D126" s="783"/>
      <c r="E126" s="783"/>
      <c r="F126" s="714">
        <f>92678-1740</f>
        <v>90938</v>
      </c>
      <c r="G126" s="714">
        <v>95</v>
      </c>
      <c r="H126" s="714">
        <v>43</v>
      </c>
      <c r="I126" s="715">
        <f t="shared" si="5"/>
        <v>91076</v>
      </c>
    </row>
    <row r="127" spans="1:9" ht="13.5" customHeight="1" x14ac:dyDescent="0.2">
      <c r="A127" s="711" t="s">
        <v>272</v>
      </c>
      <c r="B127" s="789" t="s">
        <v>271</v>
      </c>
      <c r="C127" s="790"/>
      <c r="D127" s="790"/>
      <c r="E127" s="791"/>
      <c r="F127" s="712">
        <f>SUM(F128:F131)</f>
        <v>929</v>
      </c>
      <c r="G127" s="712">
        <f>SUM(G128:G131)</f>
        <v>0</v>
      </c>
      <c r="H127" s="712">
        <f>SUM(H128:H131)</f>
        <v>0</v>
      </c>
      <c r="I127" s="712">
        <f t="shared" ref="I127:I133" si="6">SUM(F127:H127)</f>
        <v>929</v>
      </c>
    </row>
    <row r="128" spans="1:9" hidden="1" x14ac:dyDescent="0.2">
      <c r="A128" s="713"/>
      <c r="B128" s="713" t="s">
        <v>370</v>
      </c>
      <c r="C128" s="783" t="s">
        <v>371</v>
      </c>
      <c r="D128" s="783"/>
      <c r="E128" s="783"/>
      <c r="F128" s="714">
        <f>969-237</f>
        <v>732</v>
      </c>
      <c r="G128" s="714">
        <v>0</v>
      </c>
      <c r="H128" s="714">
        <v>0</v>
      </c>
      <c r="I128" s="715">
        <f t="shared" si="6"/>
        <v>732</v>
      </c>
    </row>
    <row r="129" spans="1:11" s="300" customFormat="1" hidden="1" x14ac:dyDescent="0.2">
      <c r="A129" s="713"/>
      <c r="B129" s="713" t="s">
        <v>372</v>
      </c>
      <c r="C129" s="783" t="s">
        <v>373</v>
      </c>
      <c r="D129" s="783"/>
      <c r="E129" s="783"/>
      <c r="F129" s="714">
        <v>0</v>
      </c>
      <c r="G129" s="714">
        <v>0</v>
      </c>
      <c r="H129" s="714">
        <v>0</v>
      </c>
      <c r="I129" s="715">
        <f t="shared" si="6"/>
        <v>0</v>
      </c>
    </row>
    <row r="130" spans="1:11" hidden="1" x14ac:dyDescent="0.2">
      <c r="A130" s="713" t="s">
        <v>359</v>
      </c>
      <c r="B130" s="713" t="s">
        <v>374</v>
      </c>
      <c r="C130" s="783" t="s">
        <v>375</v>
      </c>
      <c r="D130" s="783"/>
      <c r="E130" s="783"/>
      <c r="F130" s="714">
        <v>0</v>
      </c>
      <c r="G130" s="714">
        <v>0</v>
      </c>
      <c r="H130" s="714">
        <v>0</v>
      </c>
      <c r="I130" s="715">
        <f t="shared" si="6"/>
        <v>0</v>
      </c>
    </row>
    <row r="131" spans="1:11" hidden="1" x14ac:dyDescent="0.2">
      <c r="A131" s="713"/>
      <c r="B131" s="713" t="s">
        <v>376</v>
      </c>
      <c r="C131" s="783" t="s">
        <v>377</v>
      </c>
      <c r="D131" s="783"/>
      <c r="E131" s="783"/>
      <c r="F131" s="714">
        <f>261-64</f>
        <v>197</v>
      </c>
      <c r="G131" s="714">
        <v>0</v>
      </c>
      <c r="H131" s="714">
        <v>0</v>
      </c>
      <c r="I131" s="715">
        <f t="shared" si="6"/>
        <v>197</v>
      </c>
      <c r="K131" t="s">
        <v>216</v>
      </c>
    </row>
    <row r="132" spans="1:11" ht="14.25" customHeight="1" x14ac:dyDescent="0.2">
      <c r="A132" s="711" t="s">
        <v>274</v>
      </c>
      <c r="B132" s="789" t="s">
        <v>273</v>
      </c>
      <c r="C132" s="790"/>
      <c r="D132" s="790"/>
      <c r="E132" s="791"/>
      <c r="F132" s="712">
        <f>SUM(F133:F141)</f>
        <v>2729</v>
      </c>
      <c r="G132" s="712">
        <f>SUM(G133:G141)</f>
        <v>0</v>
      </c>
      <c r="H132" s="712">
        <f>SUM(H133:H141)</f>
        <v>0</v>
      </c>
      <c r="I132" s="712">
        <f t="shared" si="6"/>
        <v>2729</v>
      </c>
    </row>
    <row r="133" spans="1:11" hidden="1" x14ac:dyDescent="0.2">
      <c r="A133" s="713"/>
      <c r="B133" s="713" t="s">
        <v>378</v>
      </c>
      <c r="C133" s="783" t="s">
        <v>379</v>
      </c>
      <c r="D133" s="783"/>
      <c r="E133" s="783"/>
      <c r="F133" s="714">
        <v>0</v>
      </c>
      <c r="G133" s="714">
        <v>0</v>
      </c>
      <c r="H133" s="714">
        <v>0</v>
      </c>
      <c r="I133" s="715">
        <f t="shared" si="6"/>
        <v>0</v>
      </c>
    </row>
    <row r="134" spans="1:11" hidden="1" x14ac:dyDescent="0.2">
      <c r="A134" s="713"/>
      <c r="B134" s="713" t="s">
        <v>380</v>
      </c>
      <c r="C134" s="783" t="s">
        <v>381</v>
      </c>
      <c r="D134" s="783"/>
      <c r="E134" s="783"/>
      <c r="F134" s="714">
        <v>0</v>
      </c>
      <c r="G134" s="714">
        <v>0</v>
      </c>
      <c r="H134" s="714">
        <v>0</v>
      </c>
      <c r="I134" s="715">
        <f t="shared" ref="I134:I155" si="7">SUM(F134:H134)</f>
        <v>0</v>
      </c>
    </row>
    <row r="135" spans="1:11" hidden="1" x14ac:dyDescent="0.2">
      <c r="A135" s="713" t="s">
        <v>359</v>
      </c>
      <c r="B135" s="713" t="s">
        <v>382</v>
      </c>
      <c r="C135" s="783" t="s">
        <v>383</v>
      </c>
      <c r="D135" s="783"/>
      <c r="E135" s="783"/>
      <c r="F135" s="714">
        <v>0</v>
      </c>
      <c r="G135" s="714">
        <v>0</v>
      </c>
      <c r="H135" s="714">
        <v>0</v>
      </c>
      <c r="I135" s="715">
        <f t="shared" si="7"/>
        <v>0</v>
      </c>
    </row>
    <row r="136" spans="1:11" hidden="1" x14ac:dyDescent="0.2">
      <c r="A136" s="713"/>
      <c r="B136" s="713" t="s">
        <v>384</v>
      </c>
      <c r="C136" s="783" t="s">
        <v>385</v>
      </c>
      <c r="D136" s="783"/>
      <c r="E136" s="783"/>
      <c r="F136" s="714">
        <v>0</v>
      </c>
      <c r="G136" s="714">
        <v>0</v>
      </c>
      <c r="H136" s="714">
        <v>0</v>
      </c>
      <c r="I136" s="715">
        <f t="shared" si="7"/>
        <v>0</v>
      </c>
    </row>
    <row r="137" spans="1:11" hidden="1" x14ac:dyDescent="0.2">
      <c r="A137" s="713"/>
      <c r="B137" s="713" t="s">
        <v>386</v>
      </c>
      <c r="C137" s="783" t="s">
        <v>387</v>
      </c>
      <c r="D137" s="783"/>
      <c r="E137" s="783"/>
      <c r="F137" s="714">
        <v>0</v>
      </c>
      <c r="G137" s="714">
        <v>0</v>
      </c>
      <c r="H137" s="714">
        <v>0</v>
      </c>
      <c r="I137" s="715">
        <f t="shared" si="7"/>
        <v>0</v>
      </c>
    </row>
    <row r="138" spans="1:11" hidden="1" x14ac:dyDescent="0.2">
      <c r="A138" s="713"/>
      <c r="B138" s="713" t="s">
        <v>388</v>
      </c>
      <c r="C138" s="783" t="s">
        <v>389</v>
      </c>
      <c r="D138" s="783"/>
      <c r="E138" s="783"/>
      <c r="F138" s="714">
        <v>0</v>
      </c>
      <c r="G138" s="714">
        <v>0</v>
      </c>
      <c r="H138" s="714">
        <v>0</v>
      </c>
      <c r="I138" s="715">
        <f t="shared" si="7"/>
        <v>0</v>
      </c>
    </row>
    <row r="139" spans="1:11" hidden="1" x14ac:dyDescent="0.2">
      <c r="A139" s="713"/>
      <c r="B139" s="713" t="s">
        <v>390</v>
      </c>
      <c r="C139" s="783" t="s">
        <v>391</v>
      </c>
      <c r="D139" s="783"/>
      <c r="E139" s="783"/>
      <c r="F139" s="714">
        <v>0</v>
      </c>
      <c r="G139" s="714">
        <v>0</v>
      </c>
      <c r="H139" s="714">
        <v>0</v>
      </c>
      <c r="I139" s="715">
        <f t="shared" si="7"/>
        <v>0</v>
      </c>
    </row>
    <row r="140" spans="1:11" hidden="1" x14ac:dyDescent="0.2">
      <c r="A140" s="713"/>
      <c r="B140" s="713" t="s">
        <v>392</v>
      </c>
      <c r="C140" s="783" t="s">
        <v>1060</v>
      </c>
      <c r="D140" s="783"/>
      <c r="E140" s="783"/>
      <c r="F140" s="714">
        <v>0</v>
      </c>
      <c r="G140" s="714">
        <v>0</v>
      </c>
      <c r="H140" s="714">
        <v>0</v>
      </c>
      <c r="I140" s="715">
        <f>SUM(F140:H140)</f>
        <v>0</v>
      </c>
    </row>
    <row r="141" spans="1:11" hidden="1" x14ac:dyDescent="0.2">
      <c r="A141" s="713"/>
      <c r="B141" s="713" t="s">
        <v>1059</v>
      </c>
      <c r="C141" s="783" t="s">
        <v>393</v>
      </c>
      <c r="D141" s="783"/>
      <c r="E141" s="783"/>
      <c r="F141" s="714">
        <f>SUM(F142:F151)</f>
        <v>2729</v>
      </c>
      <c r="G141" s="714">
        <f>SUM(G142:G151)</f>
        <v>0</v>
      </c>
      <c r="H141" s="714">
        <f>SUM(H142:H151)</f>
        <v>0</v>
      </c>
      <c r="I141" s="715">
        <f t="shared" si="7"/>
        <v>2729</v>
      </c>
    </row>
    <row r="142" spans="1:11" hidden="1" x14ac:dyDescent="0.2">
      <c r="A142" s="731"/>
      <c r="B142" s="731"/>
      <c r="C142" s="724" t="s">
        <v>21</v>
      </c>
      <c r="D142" s="724" t="s">
        <v>308</v>
      </c>
      <c r="E142" s="724" t="s">
        <v>335</v>
      </c>
      <c r="F142" s="730">
        <v>0</v>
      </c>
      <c r="G142" s="730">
        <v>0</v>
      </c>
      <c r="H142" s="730">
        <v>0</v>
      </c>
      <c r="I142" s="715">
        <f t="shared" si="7"/>
        <v>0</v>
      </c>
    </row>
    <row r="143" spans="1:11" hidden="1" x14ac:dyDescent="0.2">
      <c r="A143" s="731"/>
      <c r="B143" s="731"/>
      <c r="C143" s="724"/>
      <c r="D143" s="724" t="s">
        <v>310</v>
      </c>
      <c r="E143" s="724" t="s">
        <v>1054</v>
      </c>
      <c r="F143" s="730">
        <v>500</v>
      </c>
      <c r="G143" s="730"/>
      <c r="H143" s="730"/>
      <c r="I143" s="715">
        <f t="shared" si="7"/>
        <v>500</v>
      </c>
    </row>
    <row r="144" spans="1:11" hidden="1" x14ac:dyDescent="0.2">
      <c r="A144" s="731"/>
      <c r="B144" s="731"/>
      <c r="C144" s="724"/>
      <c r="D144" s="724" t="s">
        <v>312</v>
      </c>
      <c r="E144" s="724" t="s">
        <v>336</v>
      </c>
      <c r="F144" s="730">
        <v>399</v>
      </c>
      <c r="G144" s="730">
        <v>0</v>
      </c>
      <c r="H144" s="730">
        <v>0</v>
      </c>
      <c r="I144" s="715">
        <f t="shared" si="7"/>
        <v>399</v>
      </c>
    </row>
    <row r="145" spans="1:9" hidden="1" x14ac:dyDescent="0.2">
      <c r="A145" s="731"/>
      <c r="B145" s="731"/>
      <c r="C145" s="724"/>
      <c r="D145" s="724" t="s">
        <v>314</v>
      </c>
      <c r="E145" s="724" t="s">
        <v>337</v>
      </c>
      <c r="F145" s="730">
        <v>0</v>
      </c>
      <c r="G145" s="730">
        <v>0</v>
      </c>
      <c r="H145" s="730">
        <v>0</v>
      </c>
      <c r="I145" s="715">
        <f t="shared" si="7"/>
        <v>0</v>
      </c>
    </row>
    <row r="146" spans="1:9" hidden="1" x14ac:dyDescent="0.2">
      <c r="A146" s="731"/>
      <c r="B146" s="731"/>
      <c r="C146" s="724"/>
      <c r="D146" s="724" t="s">
        <v>316</v>
      </c>
      <c r="E146" s="724" t="s">
        <v>338</v>
      </c>
      <c r="F146" s="730">
        <v>0</v>
      </c>
      <c r="G146" s="730">
        <v>0</v>
      </c>
      <c r="H146" s="730">
        <v>0</v>
      </c>
      <c r="I146" s="715">
        <f t="shared" si="7"/>
        <v>0</v>
      </c>
    </row>
    <row r="147" spans="1:9" hidden="1" x14ac:dyDescent="0.2">
      <c r="A147" s="731"/>
      <c r="B147" s="731"/>
      <c r="C147" s="724"/>
      <c r="D147" s="724" t="s">
        <v>318</v>
      </c>
      <c r="E147" s="724" t="s">
        <v>339</v>
      </c>
      <c r="F147" s="730">
        <v>0</v>
      </c>
      <c r="G147" s="730">
        <v>0</v>
      </c>
      <c r="H147" s="730">
        <v>0</v>
      </c>
      <c r="I147" s="715">
        <f t="shared" si="7"/>
        <v>0</v>
      </c>
    </row>
    <row r="148" spans="1:9" hidden="1" x14ac:dyDescent="0.2">
      <c r="A148" s="731"/>
      <c r="B148" s="731"/>
      <c r="C148" s="724"/>
      <c r="D148" s="724" t="s">
        <v>320</v>
      </c>
      <c r="E148" s="724" t="s">
        <v>340</v>
      </c>
      <c r="F148" s="730">
        <v>0</v>
      </c>
      <c r="G148" s="730">
        <v>0</v>
      </c>
      <c r="H148" s="730">
        <v>0</v>
      </c>
      <c r="I148" s="715">
        <f t="shared" si="7"/>
        <v>0</v>
      </c>
    </row>
    <row r="149" spans="1:9" hidden="1" x14ac:dyDescent="0.2">
      <c r="A149" s="731"/>
      <c r="B149" s="731"/>
      <c r="C149" s="724"/>
      <c r="D149" s="724" t="s">
        <v>322</v>
      </c>
      <c r="E149" s="724" t="s">
        <v>341</v>
      </c>
      <c r="F149" s="730">
        <v>0</v>
      </c>
      <c r="G149" s="730">
        <v>0</v>
      </c>
      <c r="H149" s="730">
        <v>0</v>
      </c>
      <c r="I149" s="715">
        <f t="shared" si="7"/>
        <v>0</v>
      </c>
    </row>
    <row r="150" spans="1:9" s="300" customFormat="1" hidden="1" x14ac:dyDescent="0.2">
      <c r="A150" s="731"/>
      <c r="B150" s="731"/>
      <c r="C150" s="724"/>
      <c r="D150" s="724" t="s">
        <v>324</v>
      </c>
      <c r="E150" s="724" t="s">
        <v>343</v>
      </c>
      <c r="F150" s="730">
        <v>0</v>
      </c>
      <c r="G150" s="730">
        <v>0</v>
      </c>
      <c r="H150" s="730">
        <v>0</v>
      </c>
      <c r="I150" s="715">
        <f t="shared" si="7"/>
        <v>0</v>
      </c>
    </row>
    <row r="151" spans="1:9" hidden="1" x14ac:dyDescent="0.2">
      <c r="A151" s="731"/>
      <c r="B151" s="731"/>
      <c r="C151" s="724"/>
      <c r="D151" s="724" t="s">
        <v>326</v>
      </c>
      <c r="E151" s="724" t="s">
        <v>344</v>
      </c>
      <c r="F151" s="730">
        <v>1830</v>
      </c>
      <c r="G151" s="730">
        <v>0</v>
      </c>
      <c r="H151" s="730">
        <v>0</v>
      </c>
      <c r="I151" s="715">
        <f t="shared" si="7"/>
        <v>1830</v>
      </c>
    </row>
    <row r="152" spans="1:9" ht="15" customHeight="1" x14ac:dyDescent="0.2">
      <c r="A152" s="711" t="s">
        <v>276</v>
      </c>
      <c r="B152" s="789" t="s">
        <v>275</v>
      </c>
      <c r="C152" s="790"/>
      <c r="D152" s="790"/>
      <c r="E152" s="791"/>
      <c r="F152" s="712">
        <f>SUM(F153:F155)</f>
        <v>0</v>
      </c>
      <c r="G152" s="712">
        <f>SUM(G153:G155)</f>
        <v>0</v>
      </c>
      <c r="H152" s="712">
        <f>SUM(H153:H155)</f>
        <v>0</v>
      </c>
      <c r="I152" s="712">
        <f>SUM(F152:H152)</f>
        <v>0</v>
      </c>
    </row>
    <row r="153" spans="1:9" hidden="1" x14ac:dyDescent="0.2">
      <c r="A153" s="713"/>
      <c r="B153" s="713" t="s">
        <v>394</v>
      </c>
      <c r="C153" s="783" t="s">
        <v>395</v>
      </c>
      <c r="D153" s="783"/>
      <c r="E153" s="783"/>
      <c r="F153" s="714">
        <v>0</v>
      </c>
      <c r="G153" s="714">
        <v>0</v>
      </c>
      <c r="H153" s="714">
        <v>0</v>
      </c>
      <c r="I153" s="715">
        <f t="shared" si="7"/>
        <v>0</v>
      </c>
    </row>
    <row r="154" spans="1:9" s="302" customFormat="1" ht="15" hidden="1" x14ac:dyDescent="0.2">
      <c r="A154" s="713"/>
      <c r="B154" s="713" t="s">
        <v>396</v>
      </c>
      <c r="C154" s="783" t="s">
        <v>397</v>
      </c>
      <c r="D154" s="783"/>
      <c r="E154" s="783"/>
      <c r="F154" s="714">
        <v>0</v>
      </c>
      <c r="G154" s="714">
        <v>0</v>
      </c>
      <c r="H154" s="714">
        <v>0</v>
      </c>
      <c r="I154" s="715">
        <f t="shared" si="7"/>
        <v>0</v>
      </c>
    </row>
    <row r="155" spans="1:9" hidden="1" x14ac:dyDescent="0.2">
      <c r="A155" s="713"/>
      <c r="B155" s="713" t="s">
        <v>398</v>
      </c>
      <c r="C155" s="783" t="s">
        <v>399</v>
      </c>
      <c r="D155" s="783"/>
      <c r="E155" s="783"/>
      <c r="F155" s="714">
        <v>0</v>
      </c>
      <c r="G155" s="714">
        <v>0</v>
      </c>
      <c r="H155" s="714">
        <v>0</v>
      </c>
      <c r="I155" s="715">
        <f t="shared" si="7"/>
        <v>0</v>
      </c>
    </row>
    <row r="156" spans="1:9" x14ac:dyDescent="0.2">
      <c r="A156" s="734"/>
      <c r="B156" s="735"/>
      <c r="C156" s="735"/>
      <c r="D156" s="735"/>
      <c r="E156" s="735"/>
      <c r="F156" s="749"/>
      <c r="G156" s="750"/>
      <c r="H156" s="750"/>
      <c r="I156" s="751"/>
    </row>
    <row r="157" spans="1:9" ht="15.75" x14ac:dyDescent="0.25">
      <c r="A157" s="792" t="s">
        <v>400</v>
      </c>
      <c r="B157" s="793"/>
      <c r="C157" s="793"/>
      <c r="D157" s="793"/>
      <c r="E157" s="794"/>
      <c r="F157" s="736">
        <f>SUM(F7+F22+F28+F56+F76+F119+F127+F132+F152)</f>
        <v>2208707</v>
      </c>
      <c r="G157" s="736">
        <f>SUM(G7+G22+G28+G56+G76+G119+G127+G132+G152)</f>
        <v>179467</v>
      </c>
      <c r="H157" s="736">
        <f>SUM(H7+H22+H28+H56+H76+H119+H127+H132+H152)</f>
        <v>197439</v>
      </c>
      <c r="I157" s="736">
        <f>SUM(I7+I22+I28+I56+I76+I119+I127+I132+I152)</f>
        <v>2585613</v>
      </c>
    </row>
  </sheetData>
  <mergeCells count="76">
    <mergeCell ref="D80:E80"/>
    <mergeCell ref="D99:E99"/>
    <mergeCell ref="A3:I3"/>
    <mergeCell ref="C71:E71"/>
    <mergeCell ref="D72:E72"/>
    <mergeCell ref="D73:E73"/>
    <mergeCell ref="D74:E74"/>
    <mergeCell ref="D20:E20"/>
    <mergeCell ref="D75:E75"/>
    <mergeCell ref="B76:E76"/>
    <mergeCell ref="C70:E70"/>
    <mergeCell ref="C62:E62"/>
    <mergeCell ref="A1:I1"/>
    <mergeCell ref="D82:E82"/>
    <mergeCell ref="C123:E123"/>
    <mergeCell ref="C125:E125"/>
    <mergeCell ref="C131:E131"/>
    <mergeCell ref="C66:E66"/>
    <mergeCell ref="B22:E22"/>
    <mergeCell ref="A5:E5"/>
    <mergeCell ref="B7:E7"/>
    <mergeCell ref="C8:E8"/>
    <mergeCell ref="C18:E18"/>
    <mergeCell ref="B6:E6"/>
    <mergeCell ref="C57:E57"/>
    <mergeCell ref="C35:E35"/>
    <mergeCell ref="C49:E49"/>
    <mergeCell ref="D67:E67"/>
    <mergeCell ref="C133:E133"/>
    <mergeCell ref="C120:E120"/>
    <mergeCell ref="D21:E21"/>
    <mergeCell ref="D69:E69"/>
    <mergeCell ref="B28:E28"/>
    <mergeCell ref="C29:E29"/>
    <mergeCell ref="C32:E32"/>
    <mergeCell ref="D61:E61"/>
    <mergeCell ref="D59:E59"/>
    <mergeCell ref="D60:E60"/>
    <mergeCell ref="C52:E52"/>
    <mergeCell ref="B56:E56"/>
    <mergeCell ref="C58:E58"/>
    <mergeCell ref="C63:E63"/>
    <mergeCell ref="D64:E64"/>
    <mergeCell ref="D65:E65"/>
    <mergeCell ref="A157:E157"/>
    <mergeCell ref="C129:E129"/>
    <mergeCell ref="B132:E132"/>
    <mergeCell ref="C138:E138"/>
    <mergeCell ref="C139:E139"/>
    <mergeCell ref="C141:E141"/>
    <mergeCell ref="C140:E140"/>
    <mergeCell ref="C136:E136"/>
    <mergeCell ref="C137:E137"/>
    <mergeCell ref="C134:E134"/>
    <mergeCell ref="C130:E130"/>
    <mergeCell ref="B152:E152"/>
    <mergeCell ref="C153:E153"/>
    <mergeCell ref="C135:E135"/>
    <mergeCell ref="C154:E154"/>
    <mergeCell ref="C155:E155"/>
    <mergeCell ref="C128:E128"/>
    <mergeCell ref="C68:E68"/>
    <mergeCell ref="D81:E81"/>
    <mergeCell ref="C121:E121"/>
    <mergeCell ref="D111:E111"/>
    <mergeCell ref="B119:E119"/>
    <mergeCell ref="C124:E124"/>
    <mergeCell ref="D93:E93"/>
    <mergeCell ref="D94:E94"/>
    <mergeCell ref="D97:E97"/>
    <mergeCell ref="D98:E98"/>
    <mergeCell ref="C122:E122"/>
    <mergeCell ref="C126:E126"/>
    <mergeCell ref="B127:E127"/>
    <mergeCell ref="D100:E100"/>
    <mergeCell ref="D79:E79"/>
  </mergeCells>
  <phoneticPr fontId="54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8"/>
  <sheetViews>
    <sheetView workbookViewId="0">
      <selection activeCell="B12" sqref="B12"/>
    </sheetView>
  </sheetViews>
  <sheetFormatPr defaultRowHeight="15" x14ac:dyDescent="0.25"/>
  <cols>
    <col min="1" max="1" width="4.140625" style="147" bestFit="1" customWidth="1"/>
    <col min="2" max="2" width="55.140625" style="77" bestFit="1" customWidth="1"/>
    <col min="3" max="5" width="9" style="77" customWidth="1"/>
    <col min="6" max="6" width="53.85546875" style="77" bestFit="1" customWidth="1"/>
    <col min="7" max="7" width="9" style="77" customWidth="1"/>
    <col min="8" max="9" width="10.140625" style="77" bestFit="1" customWidth="1"/>
    <col min="10" max="16384" width="9.140625" style="77"/>
  </cols>
  <sheetData>
    <row r="1" spans="1:10" ht="12.75" customHeight="1" x14ac:dyDescent="0.25">
      <c r="F1" s="812" t="s">
        <v>1086</v>
      </c>
      <c r="G1" s="813"/>
      <c r="H1" s="813"/>
      <c r="I1" s="813"/>
      <c r="J1" s="129"/>
    </row>
    <row r="2" spans="1:10" ht="15.75" x14ac:dyDescent="0.25">
      <c r="B2" s="814" t="s">
        <v>920</v>
      </c>
      <c r="C2" s="814"/>
      <c r="D2" s="814"/>
      <c r="E2" s="814"/>
      <c r="F2" s="814"/>
      <c r="G2" s="814"/>
      <c r="H2" s="814"/>
      <c r="I2" s="814"/>
    </row>
    <row r="3" spans="1:10" ht="8.25" customHeight="1" x14ac:dyDescent="0.25"/>
    <row r="4" spans="1:10" s="78" customFormat="1" ht="15" customHeight="1" x14ac:dyDescent="0.2">
      <c r="A4" s="816" t="s">
        <v>716</v>
      </c>
      <c r="B4" s="815" t="s">
        <v>723</v>
      </c>
      <c r="C4" s="815"/>
      <c r="D4" s="815"/>
      <c r="E4" s="815"/>
      <c r="F4" s="815" t="s">
        <v>620</v>
      </c>
      <c r="G4" s="815"/>
      <c r="H4" s="815"/>
      <c r="I4" s="815"/>
    </row>
    <row r="5" spans="1:10" s="81" customFormat="1" ht="14.25" x14ac:dyDescent="0.2">
      <c r="A5" s="816"/>
      <c r="B5" s="79" t="s">
        <v>619</v>
      </c>
      <c r="C5" s="80" t="s">
        <v>574</v>
      </c>
      <c r="D5" s="80" t="s">
        <v>573</v>
      </c>
      <c r="E5" s="80" t="s">
        <v>572</v>
      </c>
      <c r="F5" s="79" t="s">
        <v>619</v>
      </c>
      <c r="G5" s="80" t="s">
        <v>574</v>
      </c>
      <c r="H5" s="80" t="s">
        <v>573</v>
      </c>
      <c r="I5" s="80" t="s">
        <v>572</v>
      </c>
    </row>
    <row r="6" spans="1:10" s="146" customFormat="1" ht="12" x14ac:dyDescent="0.2">
      <c r="A6" s="816"/>
      <c r="B6" s="145" t="s">
        <v>710</v>
      </c>
      <c r="C6" s="145" t="s">
        <v>711</v>
      </c>
      <c r="D6" s="145" t="s">
        <v>712</v>
      </c>
      <c r="E6" s="145" t="s">
        <v>713</v>
      </c>
      <c r="F6" s="145" t="s">
        <v>714</v>
      </c>
      <c r="G6" s="145" t="s">
        <v>715</v>
      </c>
      <c r="H6" s="145" t="s">
        <v>718</v>
      </c>
      <c r="I6" s="145" t="s">
        <v>719</v>
      </c>
    </row>
    <row r="7" spans="1:10" s="103" customFormat="1" ht="14.25" x14ac:dyDescent="0.2">
      <c r="A7" s="145">
        <v>1</v>
      </c>
      <c r="B7" s="102" t="s">
        <v>883</v>
      </c>
      <c r="C7" s="120">
        <f>SUM(C8)</f>
        <v>1296422</v>
      </c>
      <c r="D7" s="120">
        <f>SUM(D31,D8)</f>
        <v>1284341</v>
      </c>
      <c r="E7" s="120">
        <f t="shared" ref="E7:E29" si="0">SUM(C7:D7)</f>
        <v>2580763</v>
      </c>
      <c r="F7" s="102" t="s">
        <v>884</v>
      </c>
      <c r="G7" s="120">
        <f>SUM(G8,G31)</f>
        <v>1335814</v>
      </c>
      <c r="H7" s="120">
        <f>SUM(H8,H31)</f>
        <v>1249799</v>
      </c>
      <c r="I7" s="120">
        <f>SUM(G7:H7)</f>
        <v>2585613</v>
      </c>
    </row>
    <row r="8" spans="1:10" s="112" customFormat="1" ht="12.75" x14ac:dyDescent="0.2">
      <c r="A8" s="148">
        <v>2</v>
      </c>
      <c r="B8" s="109" t="s">
        <v>744</v>
      </c>
      <c r="C8" s="110">
        <f>SUM(C27+C17+C13+C9)</f>
        <v>1296422</v>
      </c>
      <c r="D8" s="110">
        <f>SUM(D27+D17+D13+D9)</f>
        <v>0</v>
      </c>
      <c r="E8" s="110">
        <f t="shared" si="0"/>
        <v>1296422</v>
      </c>
      <c r="F8" s="111" t="s">
        <v>750</v>
      </c>
      <c r="G8" s="110">
        <f>SUM(G9:G13)</f>
        <v>1335814</v>
      </c>
      <c r="H8" s="110">
        <f>SUM(H9:H13)</f>
        <v>40735</v>
      </c>
      <c r="I8" s="110">
        <f>SUM(G8:H8)</f>
        <v>1376549</v>
      </c>
    </row>
    <row r="9" spans="1:10" s="84" customFormat="1" ht="12.75" x14ac:dyDescent="0.2">
      <c r="A9" s="148">
        <v>3</v>
      </c>
      <c r="B9" s="118" t="s">
        <v>96</v>
      </c>
      <c r="C9" s="99">
        <f>SUM(C10:C12)</f>
        <v>679419</v>
      </c>
      <c r="D9" s="99">
        <v>0</v>
      </c>
      <c r="E9" s="99">
        <f t="shared" si="0"/>
        <v>679419</v>
      </c>
      <c r="F9" s="119" t="s">
        <v>751</v>
      </c>
      <c r="G9" s="99">
        <f>354028-1478+96+251+3+75649-732-480-50-75649+20648-20648</f>
        <v>351638</v>
      </c>
      <c r="H9" s="99">
        <v>0</v>
      </c>
      <c r="I9" s="99">
        <f>SUM(G9:H9)</f>
        <v>351638</v>
      </c>
    </row>
    <row r="10" spans="1:10" s="84" customFormat="1" ht="12.75" x14ac:dyDescent="0.2">
      <c r="A10" s="145">
        <v>4</v>
      </c>
      <c r="B10" s="96" t="s">
        <v>97</v>
      </c>
      <c r="C10" s="101">
        <f>525185+1721</f>
        <v>526906</v>
      </c>
      <c r="D10" s="101">
        <v>0</v>
      </c>
      <c r="E10" s="101">
        <f t="shared" si="0"/>
        <v>526906</v>
      </c>
      <c r="F10" s="119" t="s">
        <v>127</v>
      </c>
      <c r="G10" s="99">
        <f>92921-396+26+69+10213-198-10213+5467-5467</f>
        <v>92422</v>
      </c>
      <c r="H10" s="99">
        <v>0</v>
      </c>
      <c r="I10" s="99">
        <f>SUM(G10:H10)</f>
        <v>92422</v>
      </c>
    </row>
    <row r="11" spans="1:10" s="84" customFormat="1" ht="12.75" x14ac:dyDescent="0.2">
      <c r="A11" s="148">
        <v>5</v>
      </c>
      <c r="B11" s="96" t="s">
        <v>98</v>
      </c>
      <c r="C11" s="101">
        <v>842</v>
      </c>
      <c r="D11" s="101">
        <v>0</v>
      </c>
      <c r="E11" s="101">
        <f t="shared" si="0"/>
        <v>842</v>
      </c>
      <c r="F11" s="119" t="s">
        <v>128</v>
      </c>
      <c r="G11" s="99">
        <f>607831-911-763-500+11330-221-40-80-50-50-30-50-40-50-30-100-50-500-50-50-35-12-50-50-10-11330+250</f>
        <v>604359</v>
      </c>
      <c r="H11" s="99">
        <v>0</v>
      </c>
      <c r="I11" s="99">
        <f>SUM(G11:H11)</f>
        <v>604359</v>
      </c>
    </row>
    <row r="12" spans="1:10" s="84" customFormat="1" ht="12.75" x14ac:dyDescent="0.2">
      <c r="A12" s="148">
        <v>6</v>
      </c>
      <c r="B12" s="96" t="s">
        <v>99</v>
      </c>
      <c r="C12" s="101">
        <f>253834-96734-5429</f>
        <v>151671</v>
      </c>
      <c r="D12" s="101">
        <v>0</v>
      </c>
      <c r="E12" s="101">
        <f t="shared" si="0"/>
        <v>151671</v>
      </c>
      <c r="F12" s="119" t="s">
        <v>129</v>
      </c>
      <c r="G12" s="99">
        <f>57589+2580</f>
        <v>60169</v>
      </c>
      <c r="H12" s="99">
        <v>0</v>
      </c>
      <c r="I12" s="99">
        <f t="shared" ref="I12:I17" si="1">SUM(G12:H12)</f>
        <v>60169</v>
      </c>
    </row>
    <row r="13" spans="1:10" s="84" customFormat="1" ht="12.75" x14ac:dyDescent="0.2">
      <c r="A13" s="145">
        <v>7</v>
      </c>
      <c r="B13" s="118" t="s">
        <v>103</v>
      </c>
      <c r="C13" s="99">
        <f>SUM(C14:C16)</f>
        <v>170970</v>
      </c>
      <c r="D13" s="99">
        <f>SUM(D14:D16)</f>
        <v>0</v>
      </c>
      <c r="E13" s="99">
        <f t="shared" si="0"/>
        <v>170970</v>
      </c>
      <c r="F13" s="123" t="s">
        <v>132</v>
      </c>
      <c r="G13" s="99">
        <f>SUM(G14:G17)</f>
        <v>227226</v>
      </c>
      <c r="H13" s="99">
        <f>SUM(H14:H17)</f>
        <v>40735</v>
      </c>
      <c r="I13" s="99">
        <f t="shared" si="1"/>
        <v>267961</v>
      </c>
    </row>
    <row r="14" spans="1:10" s="85" customFormat="1" ht="12.75" x14ac:dyDescent="0.2">
      <c r="A14" s="148">
        <v>8</v>
      </c>
      <c r="B14" s="96" t="s">
        <v>249</v>
      </c>
      <c r="C14" s="101">
        <f>147200+1970</f>
        <v>149170</v>
      </c>
      <c r="D14" s="101">
        <v>0</v>
      </c>
      <c r="E14" s="101">
        <f t="shared" si="0"/>
        <v>149170</v>
      </c>
      <c r="F14" s="98" t="s">
        <v>130</v>
      </c>
      <c r="G14" s="101">
        <f>250+186</f>
        <v>436</v>
      </c>
      <c r="H14" s="101">
        <v>0</v>
      </c>
      <c r="I14" s="101">
        <f t="shared" si="1"/>
        <v>436</v>
      </c>
    </row>
    <row r="15" spans="1:10" s="85" customFormat="1" ht="12.75" x14ac:dyDescent="0.2">
      <c r="A15" s="148">
        <v>9</v>
      </c>
      <c r="B15" s="97" t="s">
        <v>140</v>
      </c>
      <c r="C15" s="101">
        <v>20000</v>
      </c>
      <c r="D15" s="101">
        <v>0</v>
      </c>
      <c r="E15" s="101">
        <f t="shared" si="0"/>
        <v>20000</v>
      </c>
      <c r="F15" s="98" t="s">
        <v>1010</v>
      </c>
      <c r="G15" s="101">
        <f>14668+7000</f>
        <v>21668</v>
      </c>
      <c r="H15" s="101">
        <v>0</v>
      </c>
      <c r="I15" s="101">
        <f t="shared" si="1"/>
        <v>21668</v>
      </c>
    </row>
    <row r="16" spans="1:10" s="85" customFormat="1" ht="12.75" x14ac:dyDescent="0.2">
      <c r="A16" s="145">
        <v>10</v>
      </c>
      <c r="B16" s="96" t="s">
        <v>104</v>
      </c>
      <c r="C16" s="101">
        <v>1800</v>
      </c>
      <c r="D16" s="101">
        <v>0</v>
      </c>
      <c r="E16" s="101">
        <f t="shared" si="0"/>
        <v>1800</v>
      </c>
      <c r="F16" s="98" t="s">
        <v>131</v>
      </c>
      <c r="G16" s="101">
        <f>220969-8000-1650+3650-5230-650-3540-7-682-803-5000+5487+100-5429+14274-14274</f>
        <v>199215</v>
      </c>
      <c r="H16" s="101">
        <v>0</v>
      </c>
      <c r="I16" s="101">
        <f t="shared" si="1"/>
        <v>199215</v>
      </c>
    </row>
    <row r="17" spans="1:9" s="85" customFormat="1" ht="12.75" x14ac:dyDescent="0.2">
      <c r="A17" s="148">
        <v>11</v>
      </c>
      <c r="B17" s="118" t="s">
        <v>105</v>
      </c>
      <c r="C17" s="99">
        <f>SUM(C18:C26)</f>
        <v>424365</v>
      </c>
      <c r="D17" s="99">
        <f>SUM(D18:D26)</f>
        <v>0</v>
      </c>
      <c r="E17" s="99">
        <f t="shared" si="0"/>
        <v>424365</v>
      </c>
      <c r="F17" s="98" t="s">
        <v>133</v>
      </c>
      <c r="G17" s="101">
        <f>1000+200+1000+1519+3000-323-3517-100-859+720+3517-250</f>
        <v>5907</v>
      </c>
      <c r="H17" s="101">
        <f>195+40540</f>
        <v>40735</v>
      </c>
      <c r="I17" s="101">
        <f t="shared" si="1"/>
        <v>46642</v>
      </c>
    </row>
    <row r="18" spans="1:9" s="84" customFormat="1" ht="12.75" x14ac:dyDescent="0.2">
      <c r="A18" s="148">
        <v>12</v>
      </c>
      <c r="B18" s="96" t="s">
        <v>1066</v>
      </c>
      <c r="C18" s="101">
        <v>8037</v>
      </c>
      <c r="D18" s="101">
        <v>0</v>
      </c>
      <c r="E18" s="101">
        <f t="shared" si="0"/>
        <v>8037</v>
      </c>
      <c r="F18" s="123"/>
      <c r="G18" s="99"/>
      <c r="H18" s="99"/>
      <c r="I18" s="99"/>
    </row>
    <row r="19" spans="1:9" s="84" customFormat="1" ht="12.75" x14ac:dyDescent="0.2">
      <c r="A19" s="145">
        <v>13</v>
      </c>
      <c r="B19" s="96" t="s">
        <v>106</v>
      </c>
      <c r="C19" s="101">
        <v>85516</v>
      </c>
      <c r="D19" s="101">
        <v>0</v>
      </c>
      <c r="E19" s="101">
        <f t="shared" si="0"/>
        <v>85516</v>
      </c>
      <c r="F19" s="98"/>
      <c r="G19" s="101"/>
      <c r="H19" s="101"/>
      <c r="I19" s="101"/>
    </row>
    <row r="20" spans="1:9" s="84" customFormat="1" ht="12.75" x14ac:dyDescent="0.2">
      <c r="A20" s="148">
        <v>14</v>
      </c>
      <c r="B20" s="96" t="s">
        <v>107</v>
      </c>
      <c r="C20" s="101">
        <v>10835</v>
      </c>
      <c r="D20" s="101">
        <v>0</v>
      </c>
      <c r="E20" s="101">
        <f t="shared" si="0"/>
        <v>10835</v>
      </c>
      <c r="F20" s="98"/>
      <c r="G20" s="101"/>
      <c r="H20" s="101"/>
      <c r="I20" s="101"/>
    </row>
    <row r="21" spans="1:9" s="84" customFormat="1" ht="12.75" x14ac:dyDescent="0.2">
      <c r="A21" s="148">
        <v>15</v>
      </c>
      <c r="B21" s="96" t="s">
        <v>935</v>
      </c>
      <c r="C21" s="101">
        <v>695</v>
      </c>
      <c r="D21" s="101">
        <v>0</v>
      </c>
      <c r="E21" s="101">
        <f t="shared" si="0"/>
        <v>695</v>
      </c>
      <c r="F21" s="98"/>
      <c r="G21" s="101"/>
      <c r="H21" s="101"/>
      <c r="I21" s="101"/>
    </row>
    <row r="22" spans="1:9" s="84" customFormat="1" ht="12.75" x14ac:dyDescent="0.2">
      <c r="A22" s="145">
        <v>16</v>
      </c>
      <c r="B22" s="96" t="s">
        <v>108</v>
      </c>
      <c r="C22" s="101">
        <v>10183</v>
      </c>
      <c r="D22" s="101">
        <v>0</v>
      </c>
      <c r="E22" s="101">
        <f t="shared" si="0"/>
        <v>10183</v>
      </c>
      <c r="F22" s="98"/>
      <c r="G22" s="101"/>
      <c r="H22" s="101"/>
      <c r="I22" s="101"/>
    </row>
    <row r="23" spans="1:9" s="84" customFormat="1" ht="12.75" x14ac:dyDescent="0.2">
      <c r="A23" s="148">
        <v>17</v>
      </c>
      <c r="B23" s="96" t="s">
        <v>109</v>
      </c>
      <c r="C23" s="101">
        <v>23714</v>
      </c>
      <c r="D23" s="101">
        <v>0</v>
      </c>
      <c r="E23" s="101">
        <f t="shared" si="0"/>
        <v>23714</v>
      </c>
      <c r="F23" s="83"/>
      <c r="G23" s="101"/>
      <c r="H23" s="100"/>
      <c r="I23" s="100"/>
    </row>
    <row r="24" spans="1:9" s="84" customFormat="1" ht="12.75" x14ac:dyDescent="0.2">
      <c r="A24" s="148">
        <v>18</v>
      </c>
      <c r="B24" s="96" t="s">
        <v>517</v>
      </c>
      <c r="C24" s="101">
        <v>284628</v>
      </c>
      <c r="D24" s="101"/>
      <c r="E24" s="101">
        <f t="shared" si="0"/>
        <v>284628</v>
      </c>
      <c r="F24" s="83"/>
      <c r="G24" s="101"/>
      <c r="H24" s="100"/>
      <c r="I24" s="100"/>
    </row>
    <row r="25" spans="1:9" s="84" customFormat="1" ht="12.75" x14ac:dyDescent="0.2">
      <c r="A25" s="148">
        <v>19</v>
      </c>
      <c r="B25" s="96" t="s">
        <v>110</v>
      </c>
      <c r="C25" s="101">
        <v>487</v>
      </c>
      <c r="D25" s="101">
        <v>0</v>
      </c>
      <c r="E25" s="101">
        <f t="shared" si="0"/>
        <v>487</v>
      </c>
      <c r="F25" s="83"/>
      <c r="G25" s="101"/>
      <c r="H25" s="100"/>
      <c r="I25" s="100"/>
    </row>
    <row r="26" spans="1:9" s="82" customFormat="1" ht="12.75" x14ac:dyDescent="0.2">
      <c r="A26" s="145">
        <v>20</v>
      </c>
      <c r="B26" s="96" t="s">
        <v>111</v>
      </c>
      <c r="C26" s="101">
        <v>270</v>
      </c>
      <c r="D26" s="101">
        <v>0</v>
      </c>
      <c r="E26" s="101">
        <f t="shared" si="0"/>
        <v>270</v>
      </c>
      <c r="F26" s="83"/>
      <c r="G26" s="100"/>
      <c r="H26" s="100"/>
      <c r="I26" s="100"/>
    </row>
    <row r="27" spans="1:9" s="82" customFormat="1" ht="12.75" x14ac:dyDescent="0.2">
      <c r="A27" s="148">
        <v>21</v>
      </c>
      <c r="B27" s="118" t="s">
        <v>117</v>
      </c>
      <c r="C27" s="99">
        <f>SUM(C28:C29)</f>
        <v>21668</v>
      </c>
      <c r="D27" s="99"/>
      <c r="E27" s="99">
        <f t="shared" si="0"/>
        <v>21668</v>
      </c>
      <c r="F27" s="83"/>
      <c r="G27" s="100"/>
      <c r="H27" s="100"/>
      <c r="I27" s="100"/>
    </row>
    <row r="28" spans="1:9" s="82" customFormat="1" ht="12.75" x14ac:dyDescent="0.2">
      <c r="A28" s="148">
        <v>22</v>
      </c>
      <c r="B28" s="96" t="s">
        <v>118</v>
      </c>
      <c r="C28" s="101">
        <f>14668+7000</f>
        <v>21668</v>
      </c>
      <c r="D28" s="101">
        <v>0</v>
      </c>
      <c r="E28" s="101">
        <f t="shared" si="0"/>
        <v>21668</v>
      </c>
      <c r="F28" s="83"/>
      <c r="G28" s="100"/>
      <c r="H28" s="100"/>
      <c r="I28" s="100"/>
    </row>
    <row r="29" spans="1:9" s="82" customFormat="1" ht="12.75" x14ac:dyDescent="0.2">
      <c r="A29" s="145">
        <v>23</v>
      </c>
      <c r="B29" s="96" t="s">
        <v>119</v>
      </c>
      <c r="C29" s="101">
        <v>0</v>
      </c>
      <c r="D29" s="101">
        <v>0</v>
      </c>
      <c r="E29" s="101">
        <f t="shared" si="0"/>
        <v>0</v>
      </c>
      <c r="F29" s="83"/>
      <c r="G29" s="100"/>
      <c r="H29" s="100"/>
      <c r="I29" s="100"/>
    </row>
    <row r="30" spans="1:9" s="82" customFormat="1" ht="12.75" x14ac:dyDescent="0.2">
      <c r="A30" s="148">
        <v>24</v>
      </c>
      <c r="B30" s="96"/>
      <c r="C30" s="101"/>
      <c r="D30" s="101"/>
      <c r="E30" s="101"/>
      <c r="F30" s="83"/>
      <c r="G30" s="100"/>
      <c r="H30" s="100"/>
      <c r="I30" s="100"/>
    </row>
    <row r="31" spans="1:9" s="112" customFormat="1" ht="12.75" x14ac:dyDescent="0.2">
      <c r="A31" s="148">
        <v>25</v>
      </c>
      <c r="B31" s="113" t="s">
        <v>749</v>
      </c>
      <c r="C31" s="110">
        <f>SUM(C40+C35+C32)</f>
        <v>0</v>
      </c>
      <c r="D31" s="110">
        <f>SUM(D40+D35+D32)</f>
        <v>1284341</v>
      </c>
      <c r="E31" s="110">
        <f>SUM(D31:D31)</f>
        <v>1284341</v>
      </c>
      <c r="F31" s="111" t="s">
        <v>568</v>
      </c>
      <c r="G31" s="110">
        <f>SUM(G32:G34)</f>
        <v>0</v>
      </c>
      <c r="H31" s="110">
        <f>SUM(H32:H34)</f>
        <v>1209064</v>
      </c>
      <c r="I31" s="110">
        <f t="shared" ref="I31:I39" si="2">SUM(G31:H31)</f>
        <v>1209064</v>
      </c>
    </row>
    <row r="32" spans="1:9" s="82" customFormat="1" ht="12.75" x14ac:dyDescent="0.2">
      <c r="A32" s="145">
        <v>26</v>
      </c>
      <c r="B32" s="118" t="s">
        <v>100</v>
      </c>
      <c r="C32" s="99">
        <f>SUM(C33:C34)</f>
        <v>0</v>
      </c>
      <c r="D32" s="99">
        <f>SUM(D33:D34)</f>
        <v>1024611</v>
      </c>
      <c r="E32" s="99">
        <f>SUM(D32:D32)</f>
        <v>1024611</v>
      </c>
      <c r="F32" s="119" t="s">
        <v>134</v>
      </c>
      <c r="G32" s="99">
        <v>0</v>
      </c>
      <c r="H32" s="99">
        <f>1206490-7620+6000+430+156+8184-50-8184</f>
        <v>1205406</v>
      </c>
      <c r="I32" s="99">
        <f t="shared" si="2"/>
        <v>1205406</v>
      </c>
    </row>
    <row r="33" spans="1:9" s="82" customFormat="1" ht="12.75" x14ac:dyDescent="0.2">
      <c r="A33" s="148">
        <v>27</v>
      </c>
      <c r="B33" s="96" t="s">
        <v>101</v>
      </c>
      <c r="C33" s="101">
        <v>0</v>
      </c>
      <c r="D33" s="101">
        <v>0</v>
      </c>
      <c r="E33" s="101">
        <f t="shared" ref="E33:E42" si="3">SUM(D33:D33)</f>
        <v>0</v>
      </c>
      <c r="F33" s="119" t="s">
        <v>135</v>
      </c>
      <c r="G33" s="99">
        <v>0</v>
      </c>
      <c r="H33" s="99">
        <f>929+301-301</f>
        <v>929</v>
      </c>
      <c r="I33" s="99">
        <f t="shared" si="2"/>
        <v>929</v>
      </c>
    </row>
    <row r="34" spans="1:9" s="82" customFormat="1" ht="12.75" x14ac:dyDescent="0.2">
      <c r="A34" s="148">
        <v>28</v>
      </c>
      <c r="B34" s="96" t="s">
        <v>102</v>
      </c>
      <c r="C34" s="101">
        <v>0</v>
      </c>
      <c r="D34" s="101">
        <f>1032834-8223</f>
        <v>1024611</v>
      </c>
      <c r="E34" s="101">
        <f t="shared" si="3"/>
        <v>1024611</v>
      </c>
      <c r="F34" s="119" t="s">
        <v>136</v>
      </c>
      <c r="G34" s="99">
        <f>SUM(G35:G39)</f>
        <v>0</v>
      </c>
      <c r="H34" s="99">
        <f>SUM(H35:H39)</f>
        <v>2729</v>
      </c>
      <c r="I34" s="99">
        <f t="shared" si="2"/>
        <v>2729</v>
      </c>
    </row>
    <row r="35" spans="1:9" s="82" customFormat="1" ht="12.75" x14ac:dyDescent="0.2">
      <c r="A35" s="145">
        <v>29</v>
      </c>
      <c r="B35" s="118" t="s">
        <v>112</v>
      </c>
      <c r="C35" s="99">
        <f>SUM(C36:C39)</f>
        <v>0</v>
      </c>
      <c r="D35" s="99">
        <f>SUM(D36:D39)</f>
        <v>43272</v>
      </c>
      <c r="E35" s="99">
        <f t="shared" si="3"/>
        <v>43272</v>
      </c>
      <c r="F35" s="98" t="s">
        <v>137</v>
      </c>
      <c r="G35" s="101">
        <v>0</v>
      </c>
      <c r="H35" s="101">
        <v>0</v>
      </c>
      <c r="I35" s="101">
        <f t="shared" si="2"/>
        <v>0</v>
      </c>
    </row>
    <row r="36" spans="1:9" s="82" customFormat="1" ht="12.75" x14ac:dyDescent="0.2">
      <c r="A36" s="148">
        <v>30</v>
      </c>
      <c r="B36" s="96" t="s">
        <v>113</v>
      </c>
      <c r="C36" s="101">
        <v>0</v>
      </c>
      <c r="D36" s="101">
        <v>0</v>
      </c>
      <c r="E36" s="101">
        <f t="shared" si="3"/>
        <v>0</v>
      </c>
      <c r="F36" s="98" t="s">
        <v>138</v>
      </c>
      <c r="G36" s="101">
        <v>0</v>
      </c>
      <c r="H36" s="101">
        <v>0</v>
      </c>
      <c r="I36" s="101">
        <f t="shared" si="2"/>
        <v>0</v>
      </c>
    </row>
    <row r="37" spans="1:9" s="84" customFormat="1" ht="12.75" x14ac:dyDescent="0.2">
      <c r="A37" s="148">
        <v>31</v>
      </c>
      <c r="B37" s="96" t="s">
        <v>114</v>
      </c>
      <c r="C37" s="101">
        <f>SUM(C38:C39)</f>
        <v>0</v>
      </c>
      <c r="D37" s="101">
        <f>16000+10000+17272</f>
        <v>43272</v>
      </c>
      <c r="E37" s="101">
        <f t="shared" si="3"/>
        <v>43272</v>
      </c>
      <c r="F37" s="98" t="s">
        <v>139</v>
      </c>
      <c r="G37" s="101">
        <v>0</v>
      </c>
      <c r="H37" s="101">
        <v>0</v>
      </c>
      <c r="I37" s="101">
        <f t="shared" si="2"/>
        <v>0</v>
      </c>
    </row>
    <row r="38" spans="1:9" s="84" customFormat="1" ht="12.75" x14ac:dyDescent="0.2">
      <c r="A38" s="145">
        <v>32</v>
      </c>
      <c r="B38" s="96" t="s">
        <v>115</v>
      </c>
      <c r="C38" s="101">
        <v>0</v>
      </c>
      <c r="D38" s="101">
        <v>0</v>
      </c>
      <c r="E38" s="101">
        <f t="shared" si="3"/>
        <v>0</v>
      </c>
      <c r="F38" s="98" t="s">
        <v>141</v>
      </c>
      <c r="G38" s="101">
        <v>0</v>
      </c>
      <c r="H38" s="101">
        <v>0</v>
      </c>
      <c r="I38" s="101">
        <f t="shared" si="2"/>
        <v>0</v>
      </c>
    </row>
    <row r="39" spans="1:9" s="86" customFormat="1" ht="13.5" x14ac:dyDescent="0.25">
      <c r="A39" s="148">
        <v>33</v>
      </c>
      <c r="B39" s="96" t="s">
        <v>116</v>
      </c>
      <c r="C39" s="101">
        <v>0</v>
      </c>
      <c r="D39" s="101">
        <v>0</v>
      </c>
      <c r="E39" s="101">
        <f t="shared" si="3"/>
        <v>0</v>
      </c>
      <c r="F39" s="98" t="s">
        <v>142</v>
      </c>
      <c r="G39" s="101">
        <v>0</v>
      </c>
      <c r="H39" s="101">
        <v>2729</v>
      </c>
      <c r="I39" s="101">
        <f t="shared" si="2"/>
        <v>2729</v>
      </c>
    </row>
    <row r="40" spans="1:9" s="86" customFormat="1" ht="13.5" x14ac:dyDescent="0.25">
      <c r="A40" s="148">
        <v>34</v>
      </c>
      <c r="B40" s="118" t="s">
        <v>120</v>
      </c>
      <c r="C40" s="99">
        <f>SUM(C41:C42)</f>
        <v>0</v>
      </c>
      <c r="D40" s="99">
        <f>SUM(D41:D42)</f>
        <v>216458</v>
      </c>
      <c r="E40" s="99">
        <f t="shared" si="3"/>
        <v>216458</v>
      </c>
      <c r="F40" s="98"/>
      <c r="G40" s="101"/>
      <c r="H40" s="101"/>
      <c r="I40" s="101"/>
    </row>
    <row r="41" spans="1:9" s="86" customFormat="1" ht="13.5" x14ac:dyDescent="0.25">
      <c r="A41" s="145">
        <v>35</v>
      </c>
      <c r="B41" s="96" t="s">
        <v>123</v>
      </c>
      <c r="C41" s="101">
        <v>0</v>
      </c>
      <c r="D41" s="101">
        <v>40540</v>
      </c>
      <c r="E41" s="101">
        <f t="shared" si="3"/>
        <v>40540</v>
      </c>
      <c r="F41" s="87"/>
      <c r="G41" s="101"/>
      <c r="H41" s="101"/>
      <c r="I41" s="101"/>
    </row>
    <row r="42" spans="1:9" s="86" customFormat="1" ht="13.5" x14ac:dyDescent="0.25">
      <c r="A42" s="148">
        <v>36</v>
      </c>
      <c r="B42" s="96" t="s">
        <v>124</v>
      </c>
      <c r="C42" s="101">
        <v>0</v>
      </c>
      <c r="D42" s="101">
        <f>172401+3517</f>
        <v>175918</v>
      </c>
      <c r="E42" s="101">
        <f t="shared" si="3"/>
        <v>175918</v>
      </c>
      <c r="F42" s="87"/>
      <c r="G42" s="101"/>
      <c r="H42" s="101"/>
      <c r="I42" s="101"/>
    </row>
    <row r="43" spans="1:9" s="88" customFormat="1" ht="6" customHeight="1" x14ac:dyDescent="0.25">
      <c r="A43" s="817"/>
      <c r="B43" s="818"/>
      <c r="C43" s="818"/>
      <c r="D43" s="818"/>
      <c r="E43" s="818"/>
      <c r="F43" s="818"/>
      <c r="G43" s="818"/>
      <c r="H43" s="818"/>
      <c r="I43" s="819"/>
    </row>
    <row r="44" spans="1:9" s="88" customFormat="1" x14ac:dyDescent="0.25">
      <c r="A44" s="148">
        <v>37</v>
      </c>
      <c r="B44" s="820" t="s">
        <v>885</v>
      </c>
      <c r="C44" s="821"/>
      <c r="D44" s="821"/>
      <c r="E44" s="821"/>
      <c r="F44" s="821"/>
      <c r="G44" s="267">
        <f>C7-G7</f>
        <v>-39392</v>
      </c>
      <c r="H44" s="267">
        <f>D7-H7</f>
        <v>34542</v>
      </c>
      <c r="I44" s="267">
        <f>SUM(G44:H44)</f>
        <v>-4850</v>
      </c>
    </row>
    <row r="45" spans="1:9" s="88" customFormat="1" ht="6" customHeight="1" x14ac:dyDescent="0.25">
      <c r="A45" s="809"/>
      <c r="B45" s="810"/>
      <c r="C45" s="810"/>
      <c r="D45" s="810"/>
      <c r="E45" s="810"/>
      <c r="F45" s="810"/>
      <c r="G45" s="810"/>
      <c r="H45" s="810"/>
      <c r="I45" s="811"/>
    </row>
    <row r="46" spans="1:9" s="106" customFormat="1" ht="28.5" x14ac:dyDescent="0.25">
      <c r="A46" s="148">
        <v>38</v>
      </c>
      <c r="B46" s="102" t="s">
        <v>569</v>
      </c>
      <c r="C46" s="104">
        <f>SUM(C47)</f>
        <v>4850</v>
      </c>
      <c r="D46" s="104">
        <f>SUM(D47)</f>
        <v>0</v>
      </c>
      <c r="E46" s="104">
        <f t="shared" ref="E46:E51" si="4">SUM(C46:D46)</f>
        <v>4850</v>
      </c>
      <c r="F46" s="105"/>
      <c r="G46" s="104"/>
      <c r="H46" s="104"/>
      <c r="I46" s="104"/>
    </row>
    <row r="47" spans="1:9" s="115" customFormat="1" ht="13.5" x14ac:dyDescent="0.25">
      <c r="A47" s="145">
        <v>39</v>
      </c>
      <c r="B47" s="116" t="s">
        <v>882</v>
      </c>
      <c r="C47" s="110">
        <f>3569+1281</f>
        <v>4850</v>
      </c>
      <c r="D47" s="110">
        <v>0</v>
      </c>
      <c r="E47" s="110">
        <f t="shared" si="4"/>
        <v>4850</v>
      </c>
      <c r="F47" s="111"/>
      <c r="G47" s="110"/>
      <c r="H47" s="110"/>
      <c r="I47" s="110"/>
    </row>
    <row r="48" spans="1:9" s="106" customFormat="1" ht="28.5" x14ac:dyDescent="0.25">
      <c r="A48" s="148">
        <v>40</v>
      </c>
      <c r="B48" s="102" t="s">
        <v>570</v>
      </c>
      <c r="C48" s="104">
        <f>SUM(C49:C50)</f>
        <v>0</v>
      </c>
      <c r="D48" s="104">
        <f>SUM(D49:D50)</f>
        <v>0</v>
      </c>
      <c r="E48" s="104">
        <f t="shared" si="4"/>
        <v>0</v>
      </c>
      <c r="F48" s="121" t="s">
        <v>571</v>
      </c>
      <c r="G48" s="104">
        <f>SUM(G49:G50)</f>
        <v>0</v>
      </c>
      <c r="H48" s="104">
        <f>SUM(H49:H50)</f>
        <v>0</v>
      </c>
      <c r="I48" s="104">
        <f>SUM(G48:H48)</f>
        <v>0</v>
      </c>
    </row>
    <row r="49" spans="1:9" s="115" customFormat="1" ht="13.5" x14ac:dyDescent="0.25">
      <c r="A49" s="148">
        <v>41</v>
      </c>
      <c r="B49" s="114" t="s">
        <v>126</v>
      </c>
      <c r="C49" s="110">
        <v>0</v>
      </c>
      <c r="D49" s="110">
        <v>0</v>
      </c>
      <c r="E49" s="110">
        <f t="shared" si="4"/>
        <v>0</v>
      </c>
      <c r="F49" s="111" t="s">
        <v>566</v>
      </c>
      <c r="G49" s="110">
        <v>0</v>
      </c>
      <c r="H49" s="110">
        <v>0</v>
      </c>
      <c r="I49" s="110">
        <f>SUM(G49:H49)</f>
        <v>0</v>
      </c>
    </row>
    <row r="50" spans="1:9" s="117" customFormat="1" ht="12.75" x14ac:dyDescent="0.2">
      <c r="A50" s="148">
        <v>42</v>
      </c>
      <c r="B50" s="114" t="s">
        <v>125</v>
      </c>
      <c r="C50" s="110">
        <v>0</v>
      </c>
      <c r="D50" s="110"/>
      <c r="E50" s="110">
        <f t="shared" si="4"/>
        <v>0</v>
      </c>
      <c r="F50" s="111" t="s">
        <v>567</v>
      </c>
      <c r="G50" s="110">
        <v>0</v>
      </c>
      <c r="H50" s="110">
        <v>0</v>
      </c>
      <c r="I50" s="110">
        <f>SUM(G50:H50)</f>
        <v>0</v>
      </c>
    </row>
    <row r="51" spans="1:9" s="108" customFormat="1" ht="15.75" x14ac:dyDescent="0.25">
      <c r="A51" s="148">
        <v>43</v>
      </c>
      <c r="B51" s="107" t="s">
        <v>724</v>
      </c>
      <c r="C51" s="122">
        <f>SUM(C7,C46,C48)</f>
        <v>1301272</v>
      </c>
      <c r="D51" s="122">
        <f>SUM(D7,D46,D48)</f>
        <v>1284341</v>
      </c>
      <c r="E51" s="122">
        <f t="shared" si="4"/>
        <v>2585613</v>
      </c>
      <c r="F51" s="107" t="s">
        <v>583</v>
      </c>
      <c r="G51" s="122">
        <f>SUM(G7,G48)</f>
        <v>1335814</v>
      </c>
      <c r="H51" s="122">
        <f>SUM(H7,H48)</f>
        <v>1249799</v>
      </c>
      <c r="I51" s="122">
        <f>SUM(G51:H51)</f>
        <v>2585613</v>
      </c>
    </row>
    <row r="58" spans="1:9" x14ac:dyDescent="0.25">
      <c r="B58" s="89"/>
    </row>
  </sheetData>
  <mergeCells count="8">
    <mergeCell ref="A45:I45"/>
    <mergeCell ref="F1:I1"/>
    <mergeCell ref="B2:I2"/>
    <mergeCell ref="B4:E4"/>
    <mergeCell ref="F4:I4"/>
    <mergeCell ref="A4:A6"/>
    <mergeCell ref="A43:I43"/>
    <mergeCell ref="B44:F44"/>
  </mergeCells>
  <phoneticPr fontId="0" type="noConversion"/>
  <printOptions horizontalCentered="1"/>
  <pageMargins left="0.35433070866141736" right="0.35433070866141736" top="0.59055118110236227" bottom="0.19685039370078741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00B050"/>
  </sheetPr>
  <dimension ref="A1:AA57"/>
  <sheetViews>
    <sheetView topLeftCell="C1" zoomScale="95" zoomScaleNormal="95" workbookViewId="0">
      <pane ySplit="7" topLeftCell="A42" activePane="bottomLeft" state="frozen"/>
      <selection pane="bottomLeft" activeCell="E2" sqref="E2:X2"/>
    </sheetView>
  </sheetViews>
  <sheetFormatPr defaultColWidth="8.85546875" defaultRowHeight="12" x14ac:dyDescent="0.2"/>
  <cols>
    <col min="1" max="1" width="1.42578125" style="28" hidden="1" customWidth="1"/>
    <col min="2" max="2" width="8" style="41" hidden="1" customWidth="1"/>
    <col min="3" max="3" width="8" style="41" customWidth="1"/>
    <col min="4" max="4" width="4.5703125" style="157" bestFit="1" customWidth="1"/>
    <col min="5" max="5" width="30.42578125" style="28" customWidth="1"/>
    <col min="6" max="6" width="9.28515625" style="153" hidden="1" customWidth="1"/>
    <col min="7" max="7" width="8.42578125" style="28" customWidth="1"/>
    <col min="8" max="8" width="7.85546875" style="28" customWidth="1"/>
    <col min="9" max="9" width="8.140625" style="28" customWidth="1"/>
    <col min="10" max="10" width="8.7109375" style="28" customWidth="1"/>
    <col min="11" max="11" width="8.42578125" style="28" customWidth="1"/>
    <col min="12" max="12" width="9.85546875" style="28" customWidth="1"/>
    <col min="13" max="18" width="8.28515625" style="28" customWidth="1"/>
    <col min="19" max="19" width="9.5703125" style="28" bestFit="1" customWidth="1"/>
    <col min="20" max="20" width="9.5703125" style="28" customWidth="1"/>
    <col min="21" max="21" width="9.5703125" style="28" bestFit="1" customWidth="1"/>
    <col min="22" max="22" width="7.5703125" style="28" customWidth="1"/>
    <col min="23" max="23" width="9.28515625" style="28" customWidth="1"/>
    <col min="24" max="24" width="9.42578125" style="38" customWidth="1"/>
    <col min="25" max="25" width="14.42578125" style="28" customWidth="1"/>
    <col min="26" max="16384" width="8.85546875" style="28"/>
  </cols>
  <sheetData>
    <row r="1" spans="1:24" ht="15" x14ac:dyDescent="0.2">
      <c r="C1" s="832"/>
      <c r="N1" s="29"/>
      <c r="O1" s="29"/>
      <c r="P1" s="29"/>
      <c r="Q1" s="29"/>
      <c r="R1" s="29"/>
      <c r="S1" s="812" t="s">
        <v>1087</v>
      </c>
      <c r="T1" s="812"/>
      <c r="U1" s="813"/>
      <c r="V1" s="813"/>
      <c r="W1" s="813"/>
      <c r="X1" s="813"/>
    </row>
    <row r="2" spans="1:24" ht="15.75" x14ac:dyDescent="0.2">
      <c r="A2" s="30"/>
      <c r="B2" s="42"/>
      <c r="C2" s="832"/>
      <c r="D2" s="42"/>
      <c r="E2" s="842" t="s">
        <v>921</v>
      </c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42"/>
      <c r="W2" s="842"/>
      <c r="X2" s="842"/>
    </row>
    <row r="3" spans="1:24" ht="12.75" thickBot="1" x14ac:dyDescent="0.25">
      <c r="X3" s="31"/>
    </row>
    <row r="4" spans="1:24" s="32" customFormat="1" ht="13.15" customHeight="1" x14ac:dyDescent="0.2">
      <c r="B4" s="43"/>
      <c r="C4" s="43"/>
      <c r="D4" s="822" t="s">
        <v>716</v>
      </c>
      <c r="E4" s="843" t="s">
        <v>619</v>
      </c>
      <c r="F4" s="827" t="s">
        <v>627</v>
      </c>
      <c r="G4" s="833" t="s">
        <v>628</v>
      </c>
      <c r="H4" s="834"/>
      <c r="I4" s="834"/>
      <c r="J4" s="834"/>
      <c r="K4" s="834"/>
      <c r="L4" s="834"/>
      <c r="M4" s="834"/>
      <c r="N4" s="834"/>
      <c r="O4" s="834"/>
      <c r="P4" s="834"/>
      <c r="Q4" s="834"/>
      <c r="R4" s="834"/>
      <c r="S4" s="834"/>
      <c r="T4" s="834"/>
      <c r="U4" s="834"/>
      <c r="V4" s="834"/>
      <c r="W4" s="835"/>
      <c r="X4" s="837" t="s">
        <v>629</v>
      </c>
    </row>
    <row r="5" spans="1:24" s="33" customFormat="1" ht="12" customHeight="1" x14ac:dyDescent="0.2">
      <c r="B5" s="44"/>
      <c r="C5" s="44"/>
      <c r="D5" s="823"/>
      <c r="E5" s="844"/>
      <c r="F5" s="828"/>
      <c r="G5" s="825" t="s">
        <v>582</v>
      </c>
      <c r="H5" s="825" t="s">
        <v>581</v>
      </c>
      <c r="I5" s="825" t="s">
        <v>621</v>
      </c>
      <c r="J5" s="825" t="s">
        <v>88</v>
      </c>
      <c r="K5" s="825" t="s">
        <v>266</v>
      </c>
      <c r="L5" s="825" t="s">
        <v>268</v>
      </c>
      <c r="M5" s="825" t="s">
        <v>267</v>
      </c>
      <c r="N5" s="825" t="s">
        <v>709</v>
      </c>
      <c r="O5" s="825" t="s">
        <v>722</v>
      </c>
      <c r="P5" s="825" t="s">
        <v>753</v>
      </c>
      <c r="Q5" s="825" t="s">
        <v>964</v>
      </c>
      <c r="R5" s="825" t="s">
        <v>1083</v>
      </c>
      <c r="S5" s="825" t="s">
        <v>143</v>
      </c>
      <c r="T5" s="825" t="s">
        <v>965</v>
      </c>
      <c r="U5" s="840" t="s">
        <v>577</v>
      </c>
      <c r="V5" s="840" t="s">
        <v>630</v>
      </c>
      <c r="W5" s="825" t="s">
        <v>269</v>
      </c>
      <c r="X5" s="838"/>
    </row>
    <row r="6" spans="1:24" s="33" customFormat="1" ht="30.75" customHeight="1" x14ac:dyDescent="0.2">
      <c r="B6" s="44"/>
      <c r="C6" s="44"/>
      <c r="D6" s="823"/>
      <c r="E6" s="845"/>
      <c r="F6" s="829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41"/>
      <c r="V6" s="841"/>
      <c r="W6" s="826"/>
      <c r="X6" s="839"/>
    </row>
    <row r="7" spans="1:24" s="739" customFormat="1" x14ac:dyDescent="0.2">
      <c r="B7" s="740"/>
      <c r="C7" s="740"/>
      <c r="D7" s="824"/>
      <c r="E7" s="639" t="s">
        <v>710</v>
      </c>
      <c r="F7" s="640" t="s">
        <v>711</v>
      </c>
      <c r="G7" s="641" t="s">
        <v>711</v>
      </c>
      <c r="H7" s="641" t="s">
        <v>712</v>
      </c>
      <c r="I7" s="642" t="s">
        <v>713</v>
      </c>
      <c r="J7" s="639" t="s">
        <v>714</v>
      </c>
      <c r="K7" s="639" t="s">
        <v>715</v>
      </c>
      <c r="L7" s="642" t="s">
        <v>718</v>
      </c>
      <c r="M7" s="642" t="s">
        <v>719</v>
      </c>
      <c r="N7" s="642" t="s">
        <v>654</v>
      </c>
      <c r="O7" s="642" t="s">
        <v>655</v>
      </c>
      <c r="P7" s="642" t="s">
        <v>656</v>
      </c>
      <c r="Q7" s="642" t="s">
        <v>657</v>
      </c>
      <c r="R7" s="641"/>
      <c r="S7" s="641" t="s">
        <v>658</v>
      </c>
      <c r="T7" s="641"/>
      <c r="U7" s="642" t="s">
        <v>659</v>
      </c>
      <c r="V7" s="642" t="s">
        <v>660</v>
      </c>
      <c r="W7" s="643" t="s">
        <v>661</v>
      </c>
      <c r="X7" s="677" t="s">
        <v>691</v>
      </c>
    </row>
    <row r="8" spans="1:24" s="36" customFormat="1" ht="24" x14ac:dyDescent="0.2">
      <c r="A8" s="28"/>
      <c r="B8" s="41"/>
      <c r="C8" s="41" t="s">
        <v>156</v>
      </c>
      <c r="D8" s="738" t="s">
        <v>662</v>
      </c>
      <c r="E8" s="187" t="s">
        <v>157</v>
      </c>
      <c r="F8" s="154"/>
      <c r="G8" s="45">
        <f>127+20648</f>
        <v>20775</v>
      </c>
      <c r="H8" s="45">
        <f>2476+5467</f>
        <v>7943</v>
      </c>
      <c r="I8" s="46">
        <f>10943+105</f>
        <v>11048</v>
      </c>
      <c r="J8" s="46">
        <v>0</v>
      </c>
      <c r="K8" s="46">
        <v>186</v>
      </c>
      <c r="L8" s="46">
        <f>3650+100</f>
        <v>3750</v>
      </c>
      <c r="M8" s="46">
        <f>14668+7000</f>
        <v>21668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5">
        <v>0</v>
      </c>
      <c r="U8" s="45">
        <v>3000</v>
      </c>
      <c r="V8" s="46">
        <v>0</v>
      </c>
      <c r="W8" s="46">
        <v>0</v>
      </c>
      <c r="X8" s="39">
        <f t="shared" ref="X8:X51" si="0">SUM(G8:W8)</f>
        <v>68370</v>
      </c>
    </row>
    <row r="9" spans="1:24" s="36" customFormat="1" x14ac:dyDescent="0.2">
      <c r="A9" s="28"/>
      <c r="B9" s="41"/>
      <c r="C9" s="41" t="s">
        <v>156</v>
      </c>
      <c r="D9" s="158" t="s">
        <v>663</v>
      </c>
      <c r="E9" s="188" t="s">
        <v>158</v>
      </c>
      <c r="F9" s="155"/>
      <c r="G9" s="34">
        <v>4663</v>
      </c>
      <c r="H9" s="34">
        <v>1155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4">
        <v>0</v>
      </c>
      <c r="U9" s="34">
        <v>0</v>
      </c>
      <c r="V9" s="35">
        <v>0</v>
      </c>
      <c r="W9" s="35">
        <v>0</v>
      </c>
      <c r="X9" s="39">
        <f t="shared" si="0"/>
        <v>5818</v>
      </c>
    </row>
    <row r="10" spans="1:24" s="36" customFormat="1" ht="24" x14ac:dyDescent="0.2">
      <c r="A10" s="28"/>
      <c r="B10" s="41"/>
      <c r="C10" s="41" t="s">
        <v>950</v>
      </c>
      <c r="D10" s="158" t="s">
        <v>664</v>
      </c>
      <c r="E10" s="188" t="s">
        <v>951</v>
      </c>
      <c r="F10" s="155"/>
      <c r="G10" s="34">
        <v>0</v>
      </c>
      <c r="H10" s="34">
        <v>0</v>
      </c>
      <c r="I10" s="35">
        <v>0</v>
      </c>
      <c r="J10" s="35">
        <v>0</v>
      </c>
      <c r="K10" s="35">
        <v>0</v>
      </c>
      <c r="L10" s="35">
        <v>100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4">
        <v>0</v>
      </c>
      <c r="U10" s="34">
        <v>0</v>
      </c>
      <c r="V10" s="35">
        <v>0</v>
      </c>
      <c r="W10" s="35">
        <v>0</v>
      </c>
      <c r="X10" s="39">
        <f t="shared" si="0"/>
        <v>100</v>
      </c>
    </row>
    <row r="11" spans="1:24" s="36" customFormat="1" ht="24" x14ac:dyDescent="0.2">
      <c r="A11" s="28"/>
      <c r="B11" s="41" t="s">
        <v>147</v>
      </c>
      <c r="C11" s="41" t="s">
        <v>151</v>
      </c>
      <c r="D11" s="158" t="s">
        <v>665</v>
      </c>
      <c r="E11" s="188" t="s">
        <v>152</v>
      </c>
      <c r="F11" s="155"/>
      <c r="G11" s="34">
        <v>0</v>
      </c>
      <c r="H11" s="34">
        <v>0</v>
      </c>
      <c r="I11" s="35">
        <v>25982</v>
      </c>
      <c r="J11" s="35">
        <v>0</v>
      </c>
      <c r="K11" s="35">
        <v>0</v>
      </c>
      <c r="L11" s="35">
        <f>42597-1650+6774-14274</f>
        <v>33447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4">
        <v>0</v>
      </c>
      <c r="U11" s="34">
        <v>6000</v>
      </c>
      <c r="V11" s="35">
        <v>579</v>
      </c>
      <c r="W11" s="35">
        <v>399</v>
      </c>
      <c r="X11" s="39">
        <f t="shared" si="0"/>
        <v>66407</v>
      </c>
    </row>
    <row r="12" spans="1:24" s="36" customFormat="1" ht="36" x14ac:dyDescent="0.2">
      <c r="A12" s="28"/>
      <c r="B12" s="41" t="s">
        <v>149</v>
      </c>
      <c r="C12" s="41" t="s">
        <v>153</v>
      </c>
      <c r="D12" s="158" t="s">
        <v>666</v>
      </c>
      <c r="E12" s="188" t="s">
        <v>944</v>
      </c>
      <c r="F12" s="155"/>
      <c r="G12" s="34">
        <f>17665-1472</f>
        <v>16193</v>
      </c>
      <c r="H12" s="34">
        <f>4770-398</f>
        <v>4372</v>
      </c>
      <c r="I12" s="35">
        <f>17356-93</f>
        <v>17263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4">
        <v>0</v>
      </c>
      <c r="U12" s="34">
        <v>0</v>
      </c>
      <c r="V12" s="35">
        <v>0</v>
      </c>
      <c r="W12" s="35">
        <v>0</v>
      </c>
      <c r="X12" s="39">
        <f t="shared" si="0"/>
        <v>37828</v>
      </c>
    </row>
    <row r="13" spans="1:24" s="36" customFormat="1" ht="24" x14ac:dyDescent="0.2">
      <c r="A13" s="28"/>
      <c r="B13" s="41" t="s">
        <v>150</v>
      </c>
      <c r="C13" s="41" t="s">
        <v>159</v>
      </c>
      <c r="D13" s="158" t="s">
        <v>667</v>
      </c>
      <c r="E13" s="188" t="s">
        <v>641</v>
      </c>
      <c r="F13" s="155"/>
      <c r="G13" s="34">
        <v>0</v>
      </c>
      <c r="H13" s="34">
        <v>0</v>
      </c>
      <c r="I13" s="35">
        <f>950+250</f>
        <v>1200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4">
        <v>0</v>
      </c>
      <c r="U13" s="34">
        <v>0</v>
      </c>
      <c r="V13" s="35">
        <v>0</v>
      </c>
      <c r="W13" s="35">
        <v>0</v>
      </c>
      <c r="X13" s="39">
        <f t="shared" si="0"/>
        <v>1200</v>
      </c>
    </row>
    <row r="14" spans="1:24" s="36" customFormat="1" ht="24" x14ac:dyDescent="0.2">
      <c r="A14" s="28">
        <v>20215</v>
      </c>
      <c r="B14" s="41" t="s">
        <v>151</v>
      </c>
      <c r="C14" s="41" t="s">
        <v>163</v>
      </c>
      <c r="D14" s="158" t="s">
        <v>668</v>
      </c>
      <c r="E14" s="188" t="s">
        <v>164</v>
      </c>
      <c r="F14" s="155"/>
      <c r="G14" s="34">
        <f>26191-1478</f>
        <v>24713</v>
      </c>
      <c r="H14" s="34">
        <f>7054-396</f>
        <v>6658</v>
      </c>
      <c r="I14" s="35">
        <f>7674-763-911</f>
        <v>6000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4">
        <v>0</v>
      </c>
      <c r="U14" s="34">
        <v>161</v>
      </c>
      <c r="V14" s="35">
        <v>0</v>
      </c>
      <c r="W14" s="35">
        <v>0</v>
      </c>
      <c r="X14" s="39">
        <f t="shared" si="0"/>
        <v>37532</v>
      </c>
    </row>
    <row r="15" spans="1:24" x14ac:dyDescent="0.2">
      <c r="A15" s="28">
        <v>452025</v>
      </c>
      <c r="B15" s="41" t="s">
        <v>153</v>
      </c>
      <c r="C15" s="41" t="s">
        <v>938</v>
      </c>
      <c r="D15" s="158" t="s">
        <v>669</v>
      </c>
      <c r="E15" s="188" t="s">
        <v>945</v>
      </c>
      <c r="F15" s="155"/>
      <c r="G15" s="34">
        <v>303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4">
        <v>0</v>
      </c>
      <c r="U15" s="34">
        <v>0</v>
      </c>
      <c r="V15" s="35">
        <v>0</v>
      </c>
      <c r="W15" s="35">
        <v>0</v>
      </c>
      <c r="X15" s="39">
        <f t="shared" si="0"/>
        <v>303</v>
      </c>
    </row>
    <row r="16" spans="1:24" ht="36" x14ac:dyDescent="0.2">
      <c r="B16" s="41" t="s">
        <v>155</v>
      </c>
      <c r="C16" s="41" t="s">
        <v>939</v>
      </c>
      <c r="D16" s="158" t="s">
        <v>670</v>
      </c>
      <c r="E16" s="188" t="s">
        <v>1062</v>
      </c>
      <c r="F16" s="155"/>
      <c r="G16" s="34">
        <v>21456</v>
      </c>
      <c r="H16" s="35">
        <v>2897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7">
        <v>0</v>
      </c>
      <c r="U16" s="35">
        <v>0</v>
      </c>
      <c r="V16" s="35">
        <v>0</v>
      </c>
      <c r="W16" s="35">
        <v>0</v>
      </c>
      <c r="X16" s="39">
        <f t="shared" si="0"/>
        <v>24353</v>
      </c>
    </row>
    <row r="17" spans="1:25" ht="36" x14ac:dyDescent="0.2">
      <c r="C17" s="41" t="s">
        <v>939</v>
      </c>
      <c r="D17" s="158" t="s">
        <v>671</v>
      </c>
      <c r="E17" s="188" t="s">
        <v>1063</v>
      </c>
      <c r="F17" s="155"/>
      <c r="G17" s="34">
        <f>75649-75649</f>
        <v>0</v>
      </c>
      <c r="H17" s="35">
        <f>10213-10213</f>
        <v>0</v>
      </c>
      <c r="I17" s="35">
        <f>11330-11330</f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7">
        <v>0</v>
      </c>
      <c r="U17" s="35">
        <f>8184-8184</f>
        <v>0</v>
      </c>
      <c r="V17" s="35">
        <f>301-301</f>
        <v>0</v>
      </c>
      <c r="W17" s="35">
        <v>0</v>
      </c>
      <c r="X17" s="39">
        <f t="shared" si="0"/>
        <v>0</v>
      </c>
    </row>
    <row r="18" spans="1:25" ht="24" x14ac:dyDescent="0.2">
      <c r="B18" s="41" t="s">
        <v>156</v>
      </c>
      <c r="C18" s="41" t="s">
        <v>940</v>
      </c>
      <c r="D18" s="158" t="s">
        <v>672</v>
      </c>
      <c r="E18" s="188" t="s">
        <v>946</v>
      </c>
      <c r="F18" s="155"/>
      <c r="G18" s="34">
        <v>21811</v>
      </c>
      <c r="H18" s="35">
        <v>2945</v>
      </c>
      <c r="I18" s="35">
        <v>0</v>
      </c>
      <c r="J18" s="35">
        <v>0</v>
      </c>
      <c r="K18" s="35">
        <v>0</v>
      </c>
      <c r="L18" s="35">
        <v>5487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7">
        <v>0</v>
      </c>
      <c r="U18" s="35">
        <v>0</v>
      </c>
      <c r="V18" s="35">
        <v>0</v>
      </c>
      <c r="W18" s="35">
        <v>0</v>
      </c>
      <c r="X18" s="39">
        <f t="shared" si="0"/>
        <v>30243</v>
      </c>
    </row>
    <row r="19" spans="1:25" ht="24" x14ac:dyDescent="0.2">
      <c r="C19" s="41" t="s">
        <v>952</v>
      </c>
      <c r="D19" s="158" t="s">
        <v>673</v>
      </c>
      <c r="E19" s="188" t="s">
        <v>953</v>
      </c>
      <c r="F19" s="155"/>
      <c r="G19" s="34">
        <v>0</v>
      </c>
      <c r="H19" s="34">
        <v>0</v>
      </c>
      <c r="I19" s="35">
        <v>7683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7">
        <v>0</v>
      </c>
      <c r="U19" s="35">
        <v>0</v>
      </c>
      <c r="V19" s="35">
        <v>0</v>
      </c>
      <c r="W19" s="35">
        <v>0</v>
      </c>
      <c r="X19" s="39">
        <f t="shared" si="0"/>
        <v>7683</v>
      </c>
    </row>
    <row r="20" spans="1:25" ht="24" x14ac:dyDescent="0.2">
      <c r="B20" s="41" t="s">
        <v>156</v>
      </c>
      <c r="C20" s="41" t="s">
        <v>149</v>
      </c>
      <c r="D20" s="158" t="s">
        <v>674</v>
      </c>
      <c r="E20" s="188" t="s">
        <v>947</v>
      </c>
      <c r="F20" s="155"/>
      <c r="G20" s="34">
        <v>0</v>
      </c>
      <c r="H20" s="34">
        <v>0</v>
      </c>
      <c r="I20" s="35">
        <v>0</v>
      </c>
      <c r="J20" s="35">
        <v>0</v>
      </c>
      <c r="K20" s="35">
        <v>0</v>
      </c>
      <c r="L20" s="35">
        <f>15817-8000</f>
        <v>7817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7">
        <v>0</v>
      </c>
      <c r="U20" s="35">
        <v>0</v>
      </c>
      <c r="V20" s="35">
        <v>0</v>
      </c>
      <c r="W20" s="35">
        <v>0</v>
      </c>
      <c r="X20" s="39">
        <f t="shared" si="0"/>
        <v>7817</v>
      </c>
    </row>
    <row r="21" spans="1:25" ht="24" x14ac:dyDescent="0.2">
      <c r="C21" s="41" t="s">
        <v>948</v>
      </c>
      <c r="D21" s="158" t="s">
        <v>675</v>
      </c>
      <c r="E21" s="188" t="s">
        <v>949</v>
      </c>
      <c r="F21" s="155"/>
      <c r="G21" s="34">
        <v>0</v>
      </c>
      <c r="H21" s="34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7">
        <v>0</v>
      </c>
      <c r="U21" s="35">
        <v>250</v>
      </c>
      <c r="V21" s="35">
        <v>0</v>
      </c>
      <c r="W21" s="35">
        <v>0</v>
      </c>
      <c r="X21" s="39">
        <f t="shared" si="0"/>
        <v>250</v>
      </c>
    </row>
    <row r="22" spans="1:25" ht="24" x14ac:dyDescent="0.2">
      <c r="B22" s="41" t="s">
        <v>159</v>
      </c>
      <c r="C22" s="41" t="s">
        <v>165</v>
      </c>
      <c r="D22" s="158" t="s">
        <v>676</v>
      </c>
      <c r="E22" s="188" t="s">
        <v>166</v>
      </c>
      <c r="F22" s="155"/>
      <c r="G22" s="34">
        <v>0</v>
      </c>
      <c r="H22" s="34">
        <v>0</v>
      </c>
      <c r="I22" s="35">
        <v>1000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7">
        <v>0</v>
      </c>
      <c r="U22" s="35">
        <v>0</v>
      </c>
      <c r="V22" s="35">
        <v>0</v>
      </c>
      <c r="W22" s="35">
        <v>0</v>
      </c>
      <c r="X22" s="39">
        <f t="shared" si="0"/>
        <v>1000</v>
      </c>
    </row>
    <row r="23" spans="1:25" ht="36" x14ac:dyDescent="0.2">
      <c r="A23" s="28">
        <v>751791</v>
      </c>
      <c r="B23" s="41" t="s">
        <v>160</v>
      </c>
      <c r="C23" s="41" t="s">
        <v>144</v>
      </c>
      <c r="D23" s="158" t="s">
        <v>677</v>
      </c>
      <c r="E23" s="188" t="s">
        <v>145</v>
      </c>
      <c r="F23" s="190"/>
      <c r="G23" s="35">
        <v>0</v>
      </c>
      <c r="H23" s="34">
        <v>0</v>
      </c>
      <c r="I23" s="35">
        <v>760</v>
      </c>
      <c r="J23" s="35">
        <v>0</v>
      </c>
      <c r="K23" s="35">
        <v>0</v>
      </c>
      <c r="L23" s="35">
        <v>1090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7">
        <v>0</v>
      </c>
      <c r="U23" s="35">
        <v>0</v>
      </c>
      <c r="V23" s="35">
        <v>0</v>
      </c>
      <c r="W23" s="35">
        <v>0</v>
      </c>
      <c r="X23" s="39">
        <f t="shared" si="0"/>
        <v>1850</v>
      </c>
    </row>
    <row r="24" spans="1:25" ht="24" x14ac:dyDescent="0.2">
      <c r="A24" s="28">
        <v>751834</v>
      </c>
      <c r="B24" s="41" t="s">
        <v>161</v>
      </c>
      <c r="C24" s="41" t="s">
        <v>146</v>
      </c>
      <c r="D24" s="158" t="s">
        <v>678</v>
      </c>
      <c r="E24" s="188" t="s">
        <v>638</v>
      </c>
      <c r="F24" s="155"/>
      <c r="G24" s="34">
        <v>0</v>
      </c>
      <c r="H24" s="34">
        <v>0</v>
      </c>
      <c r="I24" s="35">
        <f>9998-122</f>
        <v>9876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7">
        <v>0</v>
      </c>
      <c r="U24" s="35">
        <v>0</v>
      </c>
      <c r="V24" s="35">
        <v>0</v>
      </c>
      <c r="W24" s="35">
        <v>0</v>
      </c>
      <c r="X24" s="39">
        <f t="shared" si="0"/>
        <v>9876</v>
      </c>
    </row>
    <row r="25" spans="1:25" ht="24" x14ac:dyDescent="0.2">
      <c r="A25" s="28">
        <v>751845</v>
      </c>
      <c r="B25" s="41" t="s">
        <v>162</v>
      </c>
      <c r="C25" s="41" t="s">
        <v>147</v>
      </c>
      <c r="D25" s="158" t="s">
        <v>679</v>
      </c>
      <c r="E25" s="188" t="s">
        <v>148</v>
      </c>
      <c r="F25" s="155"/>
      <c r="G25" s="34">
        <v>0</v>
      </c>
      <c r="H25" s="35">
        <v>0</v>
      </c>
      <c r="I25" s="35">
        <v>284829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4">
        <v>0</v>
      </c>
      <c r="U25" s="34">
        <v>768006</v>
      </c>
      <c r="V25" s="35">
        <v>0</v>
      </c>
      <c r="W25" s="35">
        <v>0</v>
      </c>
      <c r="X25" s="39">
        <f t="shared" si="0"/>
        <v>1052835</v>
      </c>
    </row>
    <row r="26" spans="1:25" x14ac:dyDescent="0.2">
      <c r="A26" s="28">
        <v>751966</v>
      </c>
      <c r="B26" s="41" t="s">
        <v>163</v>
      </c>
      <c r="C26" s="41" t="s">
        <v>160</v>
      </c>
      <c r="D26" s="158" t="s">
        <v>680</v>
      </c>
      <c r="E26" s="188" t="s">
        <v>642</v>
      </c>
      <c r="F26" s="155"/>
      <c r="G26" s="34">
        <v>0</v>
      </c>
      <c r="H26" s="35">
        <v>0</v>
      </c>
      <c r="I26" s="35">
        <f>30048-8000</f>
        <v>22048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4">
        <v>0</v>
      </c>
      <c r="U26" s="34">
        <v>0</v>
      </c>
      <c r="V26" s="35">
        <v>0</v>
      </c>
      <c r="W26" s="35">
        <v>0</v>
      </c>
      <c r="X26" s="39">
        <f t="shared" si="0"/>
        <v>22048</v>
      </c>
    </row>
    <row r="27" spans="1:25" x14ac:dyDescent="0.2">
      <c r="A27" s="28">
        <v>751999</v>
      </c>
      <c r="B27" s="41" t="s">
        <v>165</v>
      </c>
      <c r="C27" s="41" t="s">
        <v>155</v>
      </c>
      <c r="D27" s="158" t="s">
        <v>681</v>
      </c>
      <c r="E27" s="188" t="s">
        <v>954</v>
      </c>
      <c r="F27" s="155"/>
      <c r="G27" s="34">
        <v>0</v>
      </c>
      <c r="H27" s="34">
        <v>0</v>
      </c>
      <c r="I27" s="35">
        <v>150</v>
      </c>
      <c r="J27" s="35">
        <v>0</v>
      </c>
      <c r="K27" s="35">
        <v>0</v>
      </c>
      <c r="L27" s="35">
        <f>20503+5500</f>
        <v>26003</v>
      </c>
      <c r="M27" s="35">
        <v>0</v>
      </c>
      <c r="N27" s="35">
        <v>0</v>
      </c>
      <c r="O27" s="35">
        <v>0</v>
      </c>
      <c r="P27" s="35">
        <v>0</v>
      </c>
      <c r="Q27" s="35"/>
      <c r="R27" s="35"/>
      <c r="S27" s="35">
        <v>0</v>
      </c>
      <c r="T27" s="34"/>
      <c r="U27" s="34">
        <v>0</v>
      </c>
      <c r="V27" s="35">
        <v>0</v>
      </c>
      <c r="W27" s="35">
        <v>0</v>
      </c>
      <c r="X27" s="39">
        <f t="shared" si="0"/>
        <v>26153</v>
      </c>
    </row>
    <row r="28" spans="1:25" ht="24" x14ac:dyDescent="0.2">
      <c r="B28" s="41" t="s">
        <v>167</v>
      </c>
      <c r="C28" s="41" t="s">
        <v>161</v>
      </c>
      <c r="D28" s="158" t="s">
        <v>682</v>
      </c>
      <c r="E28" s="188" t="s">
        <v>955</v>
      </c>
      <c r="F28" s="155"/>
      <c r="G28" s="34">
        <v>192</v>
      </c>
      <c r="H28" s="34">
        <v>47</v>
      </c>
      <c r="I28" s="35">
        <v>4813</v>
      </c>
      <c r="J28" s="35">
        <v>0</v>
      </c>
      <c r="K28" s="35">
        <v>0</v>
      </c>
      <c r="L28" s="35">
        <f>16201-5230-650+2000</f>
        <v>12321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4">
        <v>0</v>
      </c>
      <c r="U28" s="34">
        <f>420421+430+156</f>
        <v>421007</v>
      </c>
      <c r="V28" s="35">
        <v>350</v>
      </c>
      <c r="W28" s="35">
        <v>0</v>
      </c>
      <c r="X28" s="39">
        <f t="shared" si="0"/>
        <v>438730</v>
      </c>
      <c r="Y28" s="40"/>
    </row>
    <row r="29" spans="1:25" ht="15" customHeight="1" x14ac:dyDescent="0.2">
      <c r="B29" s="41" t="s">
        <v>168</v>
      </c>
      <c r="C29" s="41" t="s">
        <v>168</v>
      </c>
      <c r="D29" s="836" t="s">
        <v>1064</v>
      </c>
      <c r="E29" s="188" t="s">
        <v>644</v>
      </c>
      <c r="F29" s="310"/>
      <c r="G29" s="35">
        <v>0</v>
      </c>
      <c r="H29" s="35">
        <v>0</v>
      </c>
      <c r="I29" s="35">
        <v>479</v>
      </c>
      <c r="J29" s="35">
        <v>0</v>
      </c>
      <c r="K29" s="35">
        <v>0</v>
      </c>
      <c r="L29" s="35">
        <f>9130-5429</f>
        <v>3701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9">
        <f t="shared" si="0"/>
        <v>4180</v>
      </c>
      <c r="Y29" s="40"/>
    </row>
    <row r="30" spans="1:25" ht="14.25" customHeight="1" x14ac:dyDescent="0.2">
      <c r="B30" s="41" t="s">
        <v>169</v>
      </c>
      <c r="C30" s="41" t="s">
        <v>169</v>
      </c>
      <c r="D30" s="836"/>
      <c r="E30" s="188" t="s">
        <v>645</v>
      </c>
      <c r="F30" s="310"/>
      <c r="G30" s="35">
        <f>11367+96</f>
        <v>11463</v>
      </c>
      <c r="H30" s="35">
        <f>3068+26</f>
        <v>3094</v>
      </c>
      <c r="I30" s="35">
        <v>16182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127</v>
      </c>
      <c r="V30" s="35">
        <v>0</v>
      </c>
      <c r="W30" s="35">
        <v>0</v>
      </c>
      <c r="X30" s="39">
        <f t="shared" si="0"/>
        <v>30866</v>
      </c>
    </row>
    <row r="31" spans="1:25" ht="12" customHeight="1" x14ac:dyDescent="0.2">
      <c r="A31" s="28">
        <v>851286</v>
      </c>
      <c r="B31" s="41" t="s">
        <v>170</v>
      </c>
      <c r="C31" s="41" t="s">
        <v>170</v>
      </c>
      <c r="D31" s="836"/>
      <c r="E31" s="188" t="s">
        <v>646</v>
      </c>
      <c r="F31" s="310"/>
      <c r="G31" s="35">
        <v>0</v>
      </c>
      <c r="H31" s="35">
        <v>0</v>
      </c>
      <c r="I31" s="35">
        <v>120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9">
        <f t="shared" si="0"/>
        <v>120</v>
      </c>
    </row>
    <row r="32" spans="1:25" s="36" customFormat="1" ht="24" x14ac:dyDescent="0.2">
      <c r="A32" s="28">
        <v>851297</v>
      </c>
      <c r="B32" s="41" t="s">
        <v>171</v>
      </c>
      <c r="C32" s="41" t="s">
        <v>171</v>
      </c>
      <c r="D32" s="836"/>
      <c r="E32" s="188" t="s">
        <v>721</v>
      </c>
      <c r="F32" s="310"/>
      <c r="G32" s="35">
        <f>11031+251+3</f>
        <v>11285</v>
      </c>
      <c r="H32" s="35">
        <f>2979+69</f>
        <v>3048</v>
      </c>
      <c r="I32" s="35">
        <v>1981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490</v>
      </c>
      <c r="V32" s="35">
        <v>0</v>
      </c>
      <c r="W32" s="35">
        <v>0</v>
      </c>
      <c r="X32" s="39">
        <f t="shared" si="0"/>
        <v>16804</v>
      </c>
    </row>
    <row r="33" spans="1:24" s="36" customFormat="1" ht="24" customHeight="1" x14ac:dyDescent="0.2">
      <c r="A33" s="28">
        <v>853322</v>
      </c>
      <c r="B33" s="41" t="s">
        <v>172</v>
      </c>
      <c r="C33" s="41" t="s">
        <v>190</v>
      </c>
      <c r="D33" s="158" t="s">
        <v>798</v>
      </c>
      <c r="E33" s="188" t="s">
        <v>191</v>
      </c>
      <c r="F33" s="311"/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f>28917-5000</f>
        <v>23917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9">
        <f t="shared" si="0"/>
        <v>23917</v>
      </c>
    </row>
    <row r="34" spans="1:24" s="36" customFormat="1" ht="24" x14ac:dyDescent="0.2">
      <c r="A34" s="28"/>
      <c r="B34" s="41" t="s">
        <v>173</v>
      </c>
      <c r="C34" s="41" t="s">
        <v>150</v>
      </c>
      <c r="D34" s="158" t="s">
        <v>800</v>
      </c>
      <c r="E34" s="189" t="s">
        <v>956</v>
      </c>
      <c r="F34" s="311"/>
      <c r="G34" s="35">
        <v>0</v>
      </c>
      <c r="H34" s="35">
        <v>0</v>
      </c>
      <c r="I34" s="35">
        <v>0</v>
      </c>
      <c r="J34" s="35">
        <v>0</v>
      </c>
      <c r="K34" s="35">
        <v>250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9">
        <f t="shared" si="0"/>
        <v>250</v>
      </c>
    </row>
    <row r="35" spans="1:24" s="36" customFormat="1" ht="36" x14ac:dyDescent="0.2">
      <c r="A35" s="28"/>
      <c r="B35" s="41" t="s">
        <v>175</v>
      </c>
      <c r="C35" s="41" t="s">
        <v>941</v>
      </c>
      <c r="D35" s="158" t="s">
        <v>802</v>
      </c>
      <c r="E35" s="189" t="s">
        <v>957</v>
      </c>
      <c r="F35" s="311"/>
      <c r="G35" s="35">
        <v>570</v>
      </c>
      <c r="H35" s="35">
        <v>154</v>
      </c>
      <c r="I35" s="35">
        <v>387</v>
      </c>
      <c r="J35" s="35">
        <v>0</v>
      </c>
      <c r="K35" s="35">
        <v>0</v>
      </c>
      <c r="L35" s="35">
        <v>999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1830</v>
      </c>
      <c r="X35" s="39">
        <f t="shared" si="0"/>
        <v>3940</v>
      </c>
    </row>
    <row r="36" spans="1:24" s="36" customFormat="1" ht="24" x14ac:dyDescent="0.2">
      <c r="A36" s="28"/>
      <c r="B36" s="41" t="s">
        <v>177</v>
      </c>
      <c r="C36" s="41" t="s">
        <v>942</v>
      </c>
      <c r="D36" s="158" t="s">
        <v>752</v>
      </c>
      <c r="E36" s="189" t="s">
        <v>958</v>
      </c>
      <c r="F36" s="311"/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1070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9">
        <f t="shared" si="0"/>
        <v>1070</v>
      </c>
    </row>
    <row r="37" spans="1:24" s="36" customFormat="1" ht="15.75" customHeight="1" x14ac:dyDescent="0.2">
      <c r="A37" s="28"/>
      <c r="B37" s="41" t="s">
        <v>179</v>
      </c>
      <c r="C37" s="41" t="s">
        <v>186</v>
      </c>
      <c r="D37" s="158" t="s">
        <v>805</v>
      </c>
      <c r="E37" s="189" t="s">
        <v>647</v>
      </c>
      <c r="F37" s="311"/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f>8032-7</f>
        <v>8025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9">
        <f t="shared" si="0"/>
        <v>8025</v>
      </c>
    </row>
    <row r="38" spans="1:24" ht="25.5" customHeight="1" x14ac:dyDescent="0.2">
      <c r="A38" s="28">
        <v>853333</v>
      </c>
      <c r="B38" s="41" t="s">
        <v>181</v>
      </c>
      <c r="C38" s="41" t="s">
        <v>187</v>
      </c>
      <c r="D38" s="158" t="s">
        <v>684</v>
      </c>
      <c r="E38" s="189" t="s">
        <v>196</v>
      </c>
      <c r="F38" s="310"/>
      <c r="G38" s="35">
        <v>0</v>
      </c>
      <c r="H38" s="35">
        <v>0</v>
      </c>
      <c r="I38" s="35">
        <v>47</v>
      </c>
      <c r="J38" s="35">
        <v>0</v>
      </c>
      <c r="K38" s="35">
        <v>0</v>
      </c>
      <c r="L38" s="206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9">
        <f t="shared" si="0"/>
        <v>47</v>
      </c>
    </row>
    <row r="39" spans="1:24" ht="36" x14ac:dyDescent="0.2">
      <c r="B39" s="41" t="s">
        <v>182</v>
      </c>
      <c r="C39" s="41" t="s">
        <v>188</v>
      </c>
      <c r="D39" s="158" t="s">
        <v>685</v>
      </c>
      <c r="E39" s="188" t="s">
        <v>959</v>
      </c>
      <c r="F39" s="310"/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206">
        <f>9148-682</f>
        <v>8466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500</v>
      </c>
      <c r="X39" s="39">
        <f t="shared" si="0"/>
        <v>8966</v>
      </c>
    </row>
    <row r="40" spans="1:24" ht="24" x14ac:dyDescent="0.2">
      <c r="B40" s="41" t="s">
        <v>183</v>
      </c>
      <c r="C40" s="41" t="s">
        <v>167</v>
      </c>
      <c r="D40" s="158" t="s">
        <v>686</v>
      </c>
      <c r="E40" s="188" t="s">
        <v>960</v>
      </c>
      <c r="F40" s="310"/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206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5500</v>
      </c>
      <c r="V40" s="35">
        <v>0</v>
      </c>
      <c r="W40" s="35">
        <v>0</v>
      </c>
      <c r="X40" s="39">
        <f t="shared" si="0"/>
        <v>5500</v>
      </c>
    </row>
    <row r="41" spans="1:24" ht="24" customHeight="1" x14ac:dyDescent="0.2">
      <c r="B41" s="41" t="s">
        <v>184</v>
      </c>
      <c r="C41" s="41" t="s">
        <v>172</v>
      </c>
      <c r="D41" s="830" t="s">
        <v>963</v>
      </c>
      <c r="E41" s="188" t="s">
        <v>961</v>
      </c>
      <c r="F41" s="310"/>
      <c r="G41" s="35">
        <v>0</v>
      </c>
      <c r="H41" s="35">
        <v>0</v>
      </c>
      <c r="I41" s="35">
        <v>16500</v>
      </c>
      <c r="J41" s="35">
        <v>0</v>
      </c>
      <c r="K41" s="35">
        <v>0</v>
      </c>
      <c r="L41" s="35">
        <f>19453-3540</f>
        <v>15913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9">
        <f t="shared" si="0"/>
        <v>32413</v>
      </c>
    </row>
    <row r="42" spans="1:24" ht="24" x14ac:dyDescent="0.2">
      <c r="B42" s="41" t="s">
        <v>185</v>
      </c>
      <c r="C42" s="41" t="s">
        <v>175</v>
      </c>
      <c r="D42" s="831"/>
      <c r="E42" s="188" t="s">
        <v>176</v>
      </c>
      <c r="F42" s="310"/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206">
        <v>6501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9">
        <f t="shared" si="0"/>
        <v>6501</v>
      </c>
    </row>
    <row r="43" spans="1:24" ht="12.75" customHeight="1" x14ac:dyDescent="0.2">
      <c r="C43" s="41" t="s">
        <v>177</v>
      </c>
      <c r="D43" s="831"/>
      <c r="E43" s="188" t="s">
        <v>178</v>
      </c>
      <c r="F43" s="310"/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206">
        <f>18174</f>
        <v>18174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9">
        <f t="shared" si="0"/>
        <v>18174</v>
      </c>
    </row>
    <row r="44" spans="1:24" x14ac:dyDescent="0.2">
      <c r="C44" s="41" t="s">
        <v>173</v>
      </c>
      <c r="D44" s="831"/>
      <c r="E44" s="188" t="s">
        <v>174</v>
      </c>
      <c r="F44" s="310"/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1509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9">
        <f t="shared" si="0"/>
        <v>1509</v>
      </c>
    </row>
    <row r="45" spans="1:24" x14ac:dyDescent="0.2">
      <c r="C45" s="41" t="s">
        <v>179</v>
      </c>
      <c r="D45" s="831"/>
      <c r="E45" s="188" t="s">
        <v>180</v>
      </c>
      <c r="F45" s="310"/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3405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9">
        <f t="shared" si="0"/>
        <v>3405</v>
      </c>
    </row>
    <row r="46" spans="1:24" x14ac:dyDescent="0.2">
      <c r="B46" s="41" t="s">
        <v>186</v>
      </c>
      <c r="C46" s="41" t="s">
        <v>181</v>
      </c>
      <c r="D46" s="831"/>
      <c r="E46" s="188" t="s">
        <v>747</v>
      </c>
      <c r="F46" s="310"/>
      <c r="G46" s="35">
        <v>0</v>
      </c>
      <c r="H46" s="35">
        <v>0</v>
      </c>
      <c r="I46" s="35">
        <f>2350-500</f>
        <v>1850</v>
      </c>
      <c r="J46" s="35">
        <v>0</v>
      </c>
      <c r="K46" s="35">
        <v>0</v>
      </c>
      <c r="L46" s="35">
        <v>5324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9">
        <f t="shared" si="0"/>
        <v>7174</v>
      </c>
    </row>
    <row r="47" spans="1:24" x14ac:dyDescent="0.2">
      <c r="B47" s="41" t="s">
        <v>187</v>
      </c>
      <c r="C47" s="41" t="s">
        <v>182</v>
      </c>
      <c r="D47" s="831"/>
      <c r="E47" s="188" t="s">
        <v>748</v>
      </c>
      <c r="F47" s="310"/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3017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9">
        <f t="shared" si="0"/>
        <v>3017</v>
      </c>
    </row>
    <row r="48" spans="1:24" ht="13.5" customHeight="1" x14ac:dyDescent="0.2">
      <c r="B48" s="41" t="s">
        <v>188</v>
      </c>
      <c r="C48" s="41" t="s">
        <v>183</v>
      </c>
      <c r="D48" s="831"/>
      <c r="E48" s="188" t="s">
        <v>746</v>
      </c>
      <c r="F48" s="310"/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9179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9">
        <f t="shared" si="0"/>
        <v>9179</v>
      </c>
    </row>
    <row r="49" spans="1:27" ht="24" x14ac:dyDescent="0.2">
      <c r="B49" s="41" t="s">
        <v>190</v>
      </c>
      <c r="C49" s="41" t="s">
        <v>185</v>
      </c>
      <c r="D49" s="693" t="s">
        <v>687</v>
      </c>
      <c r="E49" s="188" t="s">
        <v>962</v>
      </c>
      <c r="F49" s="310"/>
      <c r="G49" s="35">
        <v>0</v>
      </c>
      <c r="H49" s="35">
        <v>0</v>
      </c>
      <c r="I49" s="35">
        <v>0</v>
      </c>
      <c r="J49" s="35">
        <v>2800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9">
        <f t="shared" si="0"/>
        <v>2800</v>
      </c>
    </row>
    <row r="50" spans="1:27" ht="24" x14ac:dyDescent="0.2">
      <c r="C50" s="41" t="s">
        <v>162</v>
      </c>
      <c r="D50" s="693" t="s">
        <v>720</v>
      </c>
      <c r="E50" s="188" t="s">
        <v>643</v>
      </c>
      <c r="F50" s="695"/>
      <c r="G50" s="696">
        <v>0</v>
      </c>
      <c r="H50" s="697">
        <v>0</v>
      </c>
      <c r="I50" s="697">
        <v>0</v>
      </c>
      <c r="J50" s="697">
        <v>0</v>
      </c>
      <c r="K50" s="697">
        <v>0</v>
      </c>
      <c r="L50" s="697">
        <v>0</v>
      </c>
      <c r="M50" s="697">
        <v>0</v>
      </c>
      <c r="N50" s="697">
        <v>1000</v>
      </c>
      <c r="O50" s="697">
        <v>200</v>
      </c>
      <c r="P50" s="697">
        <f>1000-3517-100-859+720+3517-250</f>
        <v>511</v>
      </c>
      <c r="Q50" s="697">
        <f>1519-323</f>
        <v>1196</v>
      </c>
      <c r="R50" s="697">
        <v>3000</v>
      </c>
      <c r="S50" s="697">
        <v>195</v>
      </c>
      <c r="T50" s="697">
        <v>40540</v>
      </c>
      <c r="U50" s="697">
        <v>0</v>
      </c>
      <c r="V50" s="697">
        <v>0</v>
      </c>
      <c r="W50" s="697">
        <v>0</v>
      </c>
      <c r="X50" s="39">
        <f t="shared" si="0"/>
        <v>46642</v>
      </c>
    </row>
    <row r="51" spans="1:27" ht="12.75" x14ac:dyDescent="0.2">
      <c r="C51" s="192" t="s">
        <v>943</v>
      </c>
      <c r="D51" s="693" t="s">
        <v>811</v>
      </c>
      <c r="E51" s="694" t="s">
        <v>602</v>
      </c>
      <c r="F51" s="695"/>
      <c r="G51" s="696">
        <f>26525+1472</f>
        <v>27997</v>
      </c>
      <c r="H51" s="697">
        <f>7152+398</f>
        <v>7550</v>
      </c>
      <c r="I51" s="697">
        <f>97956+93</f>
        <v>98049</v>
      </c>
      <c r="J51" s="697">
        <v>0</v>
      </c>
      <c r="K51" s="697">
        <v>0</v>
      </c>
      <c r="L51" s="697">
        <v>0</v>
      </c>
      <c r="M51" s="697">
        <v>0</v>
      </c>
      <c r="N51" s="697">
        <v>0</v>
      </c>
      <c r="O51" s="697">
        <v>0</v>
      </c>
      <c r="P51" s="697">
        <v>0</v>
      </c>
      <c r="Q51" s="697">
        <v>0</v>
      </c>
      <c r="R51" s="697">
        <v>0</v>
      </c>
      <c r="S51" s="697">
        <v>0</v>
      </c>
      <c r="T51" s="697">
        <v>0</v>
      </c>
      <c r="U51" s="697">
        <f>7836-7620</f>
        <v>216</v>
      </c>
      <c r="V51" s="697">
        <v>0</v>
      </c>
      <c r="W51" s="697">
        <v>0</v>
      </c>
      <c r="X51" s="39">
        <f t="shared" si="0"/>
        <v>133812</v>
      </c>
    </row>
    <row r="52" spans="1:27" s="191" customFormat="1" ht="13.5" thickBot="1" x14ac:dyDescent="0.25">
      <c r="A52" s="191">
        <v>999997</v>
      </c>
      <c r="B52" s="192"/>
      <c r="D52" s="194" t="s">
        <v>812</v>
      </c>
      <c r="E52" s="195" t="s">
        <v>623</v>
      </c>
      <c r="F52" s="196">
        <f>SUM(F8:F49)</f>
        <v>0</v>
      </c>
      <c r="G52" s="197">
        <f>SUM(G8:G51)</f>
        <v>161421</v>
      </c>
      <c r="H52" s="197">
        <f t="shared" ref="H52:X52" si="1">SUM(H8:H51)</f>
        <v>39863</v>
      </c>
      <c r="I52" s="197">
        <f t="shared" si="1"/>
        <v>528247</v>
      </c>
      <c r="J52" s="197">
        <f t="shared" si="1"/>
        <v>2800</v>
      </c>
      <c r="K52" s="197">
        <f t="shared" si="1"/>
        <v>436</v>
      </c>
      <c r="L52" s="197">
        <f t="shared" si="1"/>
        <v>199215</v>
      </c>
      <c r="M52" s="197">
        <f t="shared" si="1"/>
        <v>21668</v>
      </c>
      <c r="N52" s="197">
        <f t="shared" si="1"/>
        <v>1000</v>
      </c>
      <c r="O52" s="197">
        <f t="shared" si="1"/>
        <v>200</v>
      </c>
      <c r="P52" s="197">
        <f t="shared" si="1"/>
        <v>511</v>
      </c>
      <c r="Q52" s="197">
        <f t="shared" si="1"/>
        <v>1196</v>
      </c>
      <c r="R52" s="197">
        <f t="shared" si="1"/>
        <v>3000</v>
      </c>
      <c r="S52" s="197">
        <f t="shared" si="1"/>
        <v>195</v>
      </c>
      <c r="T52" s="197">
        <f t="shared" si="1"/>
        <v>40540</v>
      </c>
      <c r="U52" s="197">
        <f t="shared" si="1"/>
        <v>1204757</v>
      </c>
      <c r="V52" s="197">
        <f t="shared" si="1"/>
        <v>929</v>
      </c>
      <c r="W52" s="197">
        <f t="shared" si="1"/>
        <v>2729</v>
      </c>
      <c r="X52" s="198">
        <f t="shared" si="1"/>
        <v>2208707</v>
      </c>
      <c r="Y52" s="742">
        <f>SUM(G52:W52)</f>
        <v>2208707</v>
      </c>
      <c r="Z52" s="193"/>
      <c r="AA52" s="193"/>
    </row>
    <row r="53" spans="1:27" ht="12.75" x14ac:dyDescent="0.2">
      <c r="E53" s="741"/>
    </row>
    <row r="57" spans="1:27" x14ac:dyDescent="0.2">
      <c r="F57" s="156"/>
    </row>
  </sheetData>
  <mergeCells count="27">
    <mergeCell ref="D41:D48"/>
    <mergeCell ref="C1:C2"/>
    <mergeCell ref="R5:R6"/>
    <mergeCell ref="T5:T6"/>
    <mergeCell ref="G4:W4"/>
    <mergeCell ref="S1:X1"/>
    <mergeCell ref="D29:D32"/>
    <mergeCell ref="M5:M6"/>
    <mergeCell ref="J5:J6"/>
    <mergeCell ref="L5:L6"/>
    <mergeCell ref="X4:X6"/>
    <mergeCell ref="U5:U6"/>
    <mergeCell ref="V5:V6"/>
    <mergeCell ref="Q5:Q6"/>
    <mergeCell ref="E2:X2"/>
    <mergeCell ref="E4:E6"/>
    <mergeCell ref="W5:W6"/>
    <mergeCell ref="N5:N6"/>
    <mergeCell ref="S5:S6"/>
    <mergeCell ref="P5:P6"/>
    <mergeCell ref="O5:O6"/>
    <mergeCell ref="D4:D7"/>
    <mergeCell ref="G5:G6"/>
    <mergeCell ref="H5:H6"/>
    <mergeCell ref="K5:K6"/>
    <mergeCell ref="I5:I6"/>
    <mergeCell ref="F4:F6"/>
  </mergeCells>
  <phoneticPr fontId="0" type="noConversion"/>
  <printOptions horizontalCentered="1"/>
  <pageMargins left="7.874015748031496E-2" right="7.874015748031496E-2" top="0.98425196850393704" bottom="0.98425196850393704" header="0.11811023622047245" footer="0.19685039370078741"/>
  <pageSetup paperSize="9" scale="73" orientation="landscape" r:id="rId1"/>
  <headerFooter alignWithMargins="0"/>
  <rowBreaks count="1" manualBreakCount="1">
    <brk id="27" min="3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75"/>
  <sheetViews>
    <sheetView zoomScaleNormal="100" workbookViewId="0">
      <selection activeCell="G2" sqref="G2"/>
    </sheetView>
  </sheetViews>
  <sheetFormatPr defaultRowHeight="12.75" x14ac:dyDescent="0.2"/>
  <cols>
    <col min="1" max="1" width="5.140625" customWidth="1"/>
    <col min="2" max="2" width="31.7109375" customWidth="1"/>
    <col min="3" max="3" width="14.42578125" customWidth="1"/>
    <col min="4" max="6" width="13.7109375" bestFit="1" customWidth="1"/>
    <col min="7" max="11" width="12.85546875" customWidth="1"/>
    <col min="12" max="12" width="15" customWidth="1"/>
    <col min="13" max="13" width="17" bestFit="1" customWidth="1"/>
  </cols>
  <sheetData>
    <row r="1" spans="1:27" x14ac:dyDescent="0.2">
      <c r="A1" s="248"/>
      <c r="B1" s="249"/>
      <c r="C1" s="250"/>
      <c r="D1" s="250"/>
      <c r="E1" s="250"/>
      <c r="F1" s="250"/>
      <c r="G1" s="846" t="s">
        <v>1088</v>
      </c>
      <c r="H1" s="846"/>
      <c r="I1" s="847"/>
      <c r="J1" s="847"/>
      <c r="K1" s="847"/>
      <c r="L1" s="847"/>
      <c r="M1" s="847"/>
      <c r="N1" s="249"/>
      <c r="O1" s="249"/>
      <c r="P1" s="249"/>
      <c r="Q1" s="249"/>
      <c r="R1" s="253"/>
      <c r="S1" s="253"/>
      <c r="T1" s="253"/>
      <c r="U1" s="249"/>
    </row>
    <row r="2" spans="1:27" x14ac:dyDescent="0.2">
      <c r="A2" s="248"/>
      <c r="B2" s="249"/>
      <c r="C2" s="250"/>
      <c r="D2" s="250"/>
      <c r="E2" s="250"/>
      <c r="F2" s="250"/>
      <c r="G2" s="251"/>
      <c r="H2" s="251"/>
      <c r="I2" s="252"/>
      <c r="J2" s="252"/>
      <c r="K2" s="252"/>
      <c r="L2" s="252"/>
      <c r="M2" s="252"/>
      <c r="N2" s="249"/>
      <c r="O2" s="249"/>
      <c r="P2" s="249"/>
      <c r="Q2" s="249"/>
      <c r="R2" s="253"/>
      <c r="S2" s="253"/>
      <c r="T2" s="253"/>
      <c r="U2" s="249"/>
    </row>
    <row r="3" spans="1:27" ht="15.75" customHeight="1" x14ac:dyDescent="0.2">
      <c r="A3" s="851" t="s">
        <v>922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</row>
    <row r="4" spans="1:27" ht="13.5" thickBot="1" x14ac:dyDescent="0.25">
      <c r="A4" s="851"/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</row>
    <row r="5" spans="1:27" ht="16.5" thickBot="1" x14ac:dyDescent="0.25">
      <c r="A5" s="870" t="s">
        <v>716</v>
      </c>
      <c r="B5" s="867" t="s">
        <v>619</v>
      </c>
      <c r="C5" s="873" t="s">
        <v>785</v>
      </c>
      <c r="D5" s="873"/>
      <c r="E5" s="873"/>
      <c r="F5" s="873"/>
      <c r="G5" s="873"/>
      <c r="H5" s="873"/>
      <c r="I5" s="873"/>
      <c r="J5" s="873"/>
      <c r="K5" s="873"/>
      <c r="L5" s="873"/>
      <c r="M5" s="874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56"/>
    </row>
    <row r="6" spans="1:27" ht="12.75" customHeight="1" x14ac:dyDescent="0.2">
      <c r="A6" s="871"/>
      <c r="B6" s="868"/>
      <c r="C6" s="852" t="s">
        <v>786</v>
      </c>
      <c r="D6" s="855" t="s">
        <v>787</v>
      </c>
      <c r="E6" s="856"/>
      <c r="F6" s="857"/>
      <c r="G6" s="855" t="s">
        <v>788</v>
      </c>
      <c r="H6" s="856"/>
      <c r="I6" s="857"/>
      <c r="J6" s="855" t="s">
        <v>789</v>
      </c>
      <c r="K6" s="856"/>
      <c r="L6" s="857"/>
      <c r="M6" s="848" t="s">
        <v>629</v>
      </c>
    </row>
    <row r="7" spans="1:27" ht="12.75" customHeight="1" x14ac:dyDescent="0.2">
      <c r="A7" s="871"/>
      <c r="B7" s="868"/>
      <c r="C7" s="853"/>
      <c r="D7" s="858"/>
      <c r="E7" s="859"/>
      <c r="F7" s="860"/>
      <c r="G7" s="858"/>
      <c r="H7" s="859"/>
      <c r="I7" s="860"/>
      <c r="J7" s="858"/>
      <c r="K7" s="859"/>
      <c r="L7" s="860"/>
      <c r="M7" s="849"/>
    </row>
    <row r="8" spans="1:27" ht="24" customHeight="1" thickBot="1" x14ac:dyDescent="0.25">
      <c r="A8" s="872"/>
      <c r="B8" s="869"/>
      <c r="C8" s="854"/>
      <c r="D8" s="655" t="s">
        <v>197</v>
      </c>
      <c r="E8" s="656" t="s">
        <v>198</v>
      </c>
      <c r="F8" s="336" t="s">
        <v>199</v>
      </c>
      <c r="G8" s="657" t="s">
        <v>197</v>
      </c>
      <c r="H8" s="656" t="s">
        <v>198</v>
      </c>
      <c r="I8" s="336" t="s">
        <v>199</v>
      </c>
      <c r="J8" s="657" t="s">
        <v>197</v>
      </c>
      <c r="K8" s="656" t="s">
        <v>198</v>
      </c>
      <c r="L8" s="336" t="s">
        <v>199</v>
      </c>
      <c r="M8" s="850"/>
    </row>
    <row r="9" spans="1:27" ht="13.5" thickBot="1" x14ac:dyDescent="0.25">
      <c r="A9" s="652"/>
      <c r="B9" s="875" t="s">
        <v>790</v>
      </c>
      <c r="C9" s="876"/>
      <c r="D9" s="876"/>
      <c r="E9" s="876"/>
      <c r="F9" s="876"/>
      <c r="G9" s="876"/>
      <c r="H9" s="876"/>
      <c r="I9" s="876"/>
      <c r="J9" s="876"/>
      <c r="K9" s="876"/>
      <c r="L9" s="876"/>
      <c r="M9" s="877"/>
    </row>
    <row r="10" spans="1:27" ht="29.25" customHeight="1" x14ac:dyDescent="0.2">
      <c r="A10" s="653" t="s">
        <v>662</v>
      </c>
      <c r="B10" s="654" t="s">
        <v>157</v>
      </c>
      <c r="C10" s="315" t="s">
        <v>796</v>
      </c>
      <c r="D10" s="645">
        <f>28214+7000+3650+186+105+100+20648+5467</f>
        <v>65370</v>
      </c>
      <c r="E10" s="646">
        <v>3000</v>
      </c>
      <c r="F10" s="318">
        <f t="shared" ref="F10:F43" si="0">SUM(D10:E10)</f>
        <v>68370</v>
      </c>
      <c r="G10" s="745"/>
      <c r="H10" s="646"/>
      <c r="I10" s="318">
        <f t="shared" ref="I10:I43" si="1">SUM(G10:H10)</f>
        <v>0</v>
      </c>
      <c r="J10" s="647"/>
      <c r="K10" s="648"/>
      <c r="L10" s="318">
        <f t="shared" ref="L10:L43" si="2">SUM(J10:K10)</f>
        <v>0</v>
      </c>
      <c r="M10" s="660">
        <f t="shared" ref="M10:M24" si="3">SUM(F10+I10+L10)</f>
        <v>68370</v>
      </c>
    </row>
    <row r="11" spans="1:27" ht="29.25" customHeight="1" x14ac:dyDescent="0.2">
      <c r="A11" s="744" t="s">
        <v>663</v>
      </c>
      <c r="B11" s="644" t="s">
        <v>158</v>
      </c>
      <c r="C11" s="335"/>
      <c r="D11" s="645"/>
      <c r="E11" s="646"/>
      <c r="F11" s="318">
        <f t="shared" si="0"/>
        <v>0</v>
      </c>
      <c r="G11" s="745">
        <v>5818</v>
      </c>
      <c r="H11" s="646">
        <v>0</v>
      </c>
      <c r="I11" s="318">
        <f t="shared" si="1"/>
        <v>5818</v>
      </c>
      <c r="J11" s="647"/>
      <c r="K11" s="648"/>
      <c r="L11" s="318">
        <f t="shared" si="2"/>
        <v>0</v>
      </c>
      <c r="M11" s="660">
        <f t="shared" si="3"/>
        <v>5818</v>
      </c>
    </row>
    <row r="12" spans="1:27" ht="29.25" customHeight="1" x14ac:dyDescent="0.2">
      <c r="A12" s="744" t="s">
        <v>664</v>
      </c>
      <c r="B12" s="644" t="s">
        <v>966</v>
      </c>
      <c r="C12" s="335" t="s">
        <v>793</v>
      </c>
      <c r="D12" s="645">
        <v>100</v>
      </c>
      <c r="E12" s="646"/>
      <c r="F12" s="318">
        <f t="shared" si="0"/>
        <v>100</v>
      </c>
      <c r="G12" s="745"/>
      <c r="H12" s="646"/>
      <c r="I12" s="318">
        <f t="shared" si="1"/>
        <v>0</v>
      </c>
      <c r="J12" s="647"/>
      <c r="K12" s="648"/>
      <c r="L12" s="318">
        <f t="shared" si="2"/>
        <v>0</v>
      </c>
      <c r="M12" s="660">
        <f t="shared" si="3"/>
        <v>100</v>
      </c>
    </row>
    <row r="13" spans="1:27" ht="29.25" customHeight="1" x14ac:dyDescent="0.2">
      <c r="A13" s="744" t="s">
        <v>665</v>
      </c>
      <c r="B13" s="644" t="s">
        <v>152</v>
      </c>
      <c r="C13" s="335" t="s">
        <v>795</v>
      </c>
      <c r="D13" s="645">
        <f>68579-1650+6774-14274</f>
        <v>59429</v>
      </c>
      <c r="E13" s="646">
        <f>978+6000</f>
        <v>6978</v>
      </c>
      <c r="F13" s="318">
        <f t="shared" si="0"/>
        <v>66407</v>
      </c>
      <c r="G13" s="745"/>
      <c r="H13" s="646"/>
      <c r="I13" s="318">
        <f t="shared" si="1"/>
        <v>0</v>
      </c>
      <c r="J13" s="647"/>
      <c r="K13" s="648"/>
      <c r="L13" s="318">
        <f t="shared" si="2"/>
        <v>0</v>
      </c>
      <c r="M13" s="660">
        <f t="shared" si="3"/>
        <v>66407</v>
      </c>
    </row>
    <row r="14" spans="1:27" ht="29.25" customHeight="1" x14ac:dyDescent="0.2">
      <c r="A14" s="744" t="s">
        <v>666</v>
      </c>
      <c r="B14" s="644" t="s">
        <v>154</v>
      </c>
      <c r="C14" s="335" t="s">
        <v>795</v>
      </c>
      <c r="D14" s="645">
        <f>39791-1963</f>
        <v>37828</v>
      </c>
      <c r="E14" s="646"/>
      <c r="F14" s="318">
        <f t="shared" si="0"/>
        <v>37828</v>
      </c>
      <c r="G14" s="745"/>
      <c r="H14" s="646"/>
      <c r="I14" s="318">
        <f t="shared" si="1"/>
        <v>0</v>
      </c>
      <c r="J14" s="647"/>
      <c r="K14" s="648"/>
      <c r="L14" s="318">
        <f t="shared" si="2"/>
        <v>0</v>
      </c>
      <c r="M14" s="660">
        <f t="shared" si="3"/>
        <v>37828</v>
      </c>
    </row>
    <row r="15" spans="1:27" ht="29.25" customHeight="1" x14ac:dyDescent="0.2">
      <c r="A15" s="744" t="s">
        <v>667</v>
      </c>
      <c r="B15" s="644" t="s">
        <v>641</v>
      </c>
      <c r="C15" s="651"/>
      <c r="D15" s="645"/>
      <c r="E15" s="646"/>
      <c r="F15" s="318">
        <f t="shared" si="0"/>
        <v>0</v>
      </c>
      <c r="G15" s="745">
        <f>950+250</f>
        <v>1200</v>
      </c>
      <c r="H15" s="646"/>
      <c r="I15" s="318">
        <f t="shared" si="1"/>
        <v>1200</v>
      </c>
      <c r="J15" s="647"/>
      <c r="K15" s="648"/>
      <c r="L15" s="318">
        <f t="shared" si="2"/>
        <v>0</v>
      </c>
      <c r="M15" s="660">
        <f t="shared" si="3"/>
        <v>1200</v>
      </c>
    </row>
    <row r="16" spans="1:27" ht="29.25" customHeight="1" x14ac:dyDescent="0.2">
      <c r="A16" s="744" t="s">
        <v>668</v>
      </c>
      <c r="B16" s="644" t="s">
        <v>164</v>
      </c>
      <c r="C16" s="335" t="s">
        <v>202</v>
      </c>
      <c r="D16" s="645"/>
      <c r="E16" s="646"/>
      <c r="F16" s="318">
        <f t="shared" si="0"/>
        <v>0</v>
      </c>
      <c r="G16" s="745"/>
      <c r="H16" s="646"/>
      <c r="I16" s="318">
        <f t="shared" si="1"/>
        <v>0</v>
      </c>
      <c r="J16" s="647">
        <f>40919-911-1478-396-763</f>
        <v>37371</v>
      </c>
      <c r="K16" s="648">
        <v>161</v>
      </c>
      <c r="L16" s="318">
        <f t="shared" si="2"/>
        <v>37532</v>
      </c>
      <c r="M16" s="660">
        <f t="shared" si="3"/>
        <v>37532</v>
      </c>
    </row>
    <row r="17" spans="1:13" ht="29.25" customHeight="1" x14ac:dyDescent="0.2">
      <c r="A17" s="744" t="s">
        <v>669</v>
      </c>
      <c r="B17" s="644" t="s">
        <v>945</v>
      </c>
      <c r="C17" s="878" t="s">
        <v>820</v>
      </c>
      <c r="D17" s="645">
        <v>303</v>
      </c>
      <c r="E17" s="646"/>
      <c r="F17" s="318">
        <f t="shared" si="0"/>
        <v>303</v>
      </c>
      <c r="G17" s="745"/>
      <c r="H17" s="646"/>
      <c r="I17" s="318">
        <f t="shared" si="1"/>
        <v>0</v>
      </c>
      <c r="J17" s="647"/>
      <c r="K17" s="648"/>
      <c r="L17" s="318">
        <f t="shared" si="2"/>
        <v>0</v>
      </c>
      <c r="M17" s="660">
        <f t="shared" si="3"/>
        <v>303</v>
      </c>
    </row>
    <row r="18" spans="1:13" ht="34.5" customHeight="1" x14ac:dyDescent="0.2">
      <c r="A18" s="744" t="s">
        <v>670</v>
      </c>
      <c r="B18" s="644" t="s">
        <v>1061</v>
      </c>
      <c r="C18" s="879"/>
      <c r="D18" s="645">
        <v>24353</v>
      </c>
      <c r="E18" s="646"/>
      <c r="F18" s="318">
        <f t="shared" si="0"/>
        <v>24353</v>
      </c>
      <c r="G18" s="745"/>
      <c r="H18" s="646"/>
      <c r="I18" s="318">
        <f t="shared" si="1"/>
        <v>0</v>
      </c>
      <c r="J18" s="647"/>
      <c r="K18" s="648"/>
      <c r="L18" s="318">
        <f t="shared" si="2"/>
        <v>0</v>
      </c>
      <c r="M18" s="660">
        <f t="shared" si="3"/>
        <v>24353</v>
      </c>
    </row>
    <row r="19" spans="1:13" ht="34.5" customHeight="1" x14ac:dyDescent="0.2">
      <c r="A19" s="744" t="s">
        <v>671</v>
      </c>
      <c r="B19" s="644" t="s">
        <v>1065</v>
      </c>
      <c r="C19" s="879"/>
      <c r="D19" s="645">
        <f>75649+10213+11330-75649-10213-11330</f>
        <v>0</v>
      </c>
      <c r="E19" s="646">
        <f>8184+301-8184-301</f>
        <v>0</v>
      </c>
      <c r="F19" s="318">
        <f t="shared" si="0"/>
        <v>0</v>
      </c>
      <c r="G19" s="745"/>
      <c r="H19" s="646"/>
      <c r="I19" s="318">
        <f t="shared" si="1"/>
        <v>0</v>
      </c>
      <c r="J19" s="647"/>
      <c r="K19" s="648"/>
      <c r="L19" s="318">
        <f t="shared" si="2"/>
        <v>0</v>
      </c>
      <c r="M19" s="660">
        <f t="shared" si="3"/>
        <v>0</v>
      </c>
    </row>
    <row r="20" spans="1:13" ht="29.25" customHeight="1" x14ac:dyDescent="0.2">
      <c r="A20" s="744" t="s">
        <v>672</v>
      </c>
      <c r="B20" s="644" t="s">
        <v>946</v>
      </c>
      <c r="C20" s="880"/>
      <c r="D20" s="645">
        <f>24756+5487</f>
        <v>30243</v>
      </c>
      <c r="E20" s="646"/>
      <c r="F20" s="318">
        <f t="shared" si="0"/>
        <v>30243</v>
      </c>
      <c r="G20" s="745"/>
      <c r="H20" s="646"/>
      <c r="I20" s="318">
        <f t="shared" si="1"/>
        <v>0</v>
      </c>
      <c r="J20" s="647"/>
      <c r="K20" s="648"/>
      <c r="L20" s="318">
        <f t="shared" si="2"/>
        <v>0</v>
      </c>
      <c r="M20" s="660">
        <f t="shared" si="3"/>
        <v>30243</v>
      </c>
    </row>
    <row r="21" spans="1:13" ht="29.25" customHeight="1" x14ac:dyDescent="0.2">
      <c r="A21" s="744" t="s">
        <v>673</v>
      </c>
      <c r="B21" s="644" t="s">
        <v>953</v>
      </c>
      <c r="C21" s="737"/>
      <c r="D21" s="645"/>
      <c r="E21" s="646"/>
      <c r="F21" s="318">
        <f t="shared" si="0"/>
        <v>0</v>
      </c>
      <c r="G21" s="745">
        <v>7683</v>
      </c>
      <c r="H21" s="646"/>
      <c r="I21" s="318">
        <f t="shared" si="1"/>
        <v>7683</v>
      </c>
      <c r="J21" s="647"/>
      <c r="K21" s="648"/>
      <c r="L21" s="318">
        <f t="shared" si="2"/>
        <v>0</v>
      </c>
      <c r="M21" s="660">
        <f t="shared" si="3"/>
        <v>7683</v>
      </c>
    </row>
    <row r="22" spans="1:13" ht="29.25" customHeight="1" x14ac:dyDescent="0.2">
      <c r="A22" s="744" t="s">
        <v>674</v>
      </c>
      <c r="B22" s="644" t="s">
        <v>580</v>
      </c>
      <c r="C22" s="335" t="s">
        <v>793</v>
      </c>
      <c r="D22" s="645">
        <f>15817-8000</f>
        <v>7817</v>
      </c>
      <c r="E22" s="646"/>
      <c r="F22" s="318">
        <f t="shared" si="0"/>
        <v>7817</v>
      </c>
      <c r="G22" s="745"/>
      <c r="H22" s="646"/>
      <c r="I22" s="318">
        <f t="shared" si="1"/>
        <v>0</v>
      </c>
      <c r="J22" s="647"/>
      <c r="K22" s="648"/>
      <c r="L22" s="318">
        <f t="shared" si="2"/>
        <v>0</v>
      </c>
      <c r="M22" s="660">
        <f t="shared" si="3"/>
        <v>7817</v>
      </c>
    </row>
    <row r="23" spans="1:13" ht="29.25" customHeight="1" x14ac:dyDescent="0.2">
      <c r="A23" s="744" t="s">
        <v>675</v>
      </c>
      <c r="B23" s="644" t="s">
        <v>949</v>
      </c>
      <c r="C23" s="335" t="s">
        <v>793</v>
      </c>
      <c r="D23" s="645"/>
      <c r="E23" s="646">
        <v>250</v>
      </c>
      <c r="F23" s="318">
        <f t="shared" si="0"/>
        <v>250</v>
      </c>
      <c r="G23" s="745"/>
      <c r="H23" s="646"/>
      <c r="I23" s="318">
        <f t="shared" si="1"/>
        <v>0</v>
      </c>
      <c r="J23" s="647"/>
      <c r="K23" s="648"/>
      <c r="L23" s="318">
        <f t="shared" si="2"/>
        <v>0</v>
      </c>
      <c r="M23" s="660">
        <f t="shared" si="3"/>
        <v>250</v>
      </c>
    </row>
    <row r="24" spans="1:13" ht="29.25" customHeight="1" x14ac:dyDescent="0.2">
      <c r="A24" s="744" t="s">
        <v>676</v>
      </c>
      <c r="B24" s="644" t="s">
        <v>166</v>
      </c>
      <c r="C24" s="335" t="s">
        <v>797</v>
      </c>
      <c r="D24" s="645">
        <v>1000</v>
      </c>
      <c r="E24" s="646"/>
      <c r="F24" s="318">
        <f t="shared" si="0"/>
        <v>1000</v>
      </c>
      <c r="G24" s="745"/>
      <c r="H24" s="646"/>
      <c r="I24" s="318">
        <f t="shared" si="1"/>
        <v>0</v>
      </c>
      <c r="J24" s="647"/>
      <c r="K24" s="648"/>
      <c r="L24" s="318">
        <f t="shared" si="2"/>
        <v>0</v>
      </c>
      <c r="M24" s="660">
        <f t="shared" si="3"/>
        <v>1000</v>
      </c>
    </row>
    <row r="25" spans="1:13" ht="39.75" customHeight="1" x14ac:dyDescent="0.2">
      <c r="A25" s="257" t="s">
        <v>677</v>
      </c>
      <c r="B25" s="644" t="s">
        <v>145</v>
      </c>
      <c r="C25" s="335" t="s">
        <v>791</v>
      </c>
      <c r="D25" s="316">
        <v>1850</v>
      </c>
      <c r="E25" s="317"/>
      <c r="F25" s="318">
        <f t="shared" si="0"/>
        <v>1850</v>
      </c>
      <c r="G25" s="325"/>
      <c r="H25" s="317"/>
      <c r="I25" s="318">
        <f t="shared" si="1"/>
        <v>0</v>
      </c>
      <c r="J25" s="259"/>
      <c r="K25" s="260"/>
      <c r="L25" s="318">
        <f t="shared" si="2"/>
        <v>0</v>
      </c>
      <c r="M25" s="660">
        <f>SUM(F25+I25+L25)</f>
        <v>1850</v>
      </c>
    </row>
    <row r="26" spans="1:13" ht="31.5" customHeight="1" x14ac:dyDescent="0.2">
      <c r="A26" s="257" t="s">
        <v>678</v>
      </c>
      <c r="B26" s="644" t="s">
        <v>638</v>
      </c>
      <c r="C26" s="335" t="s">
        <v>792</v>
      </c>
      <c r="D26" s="316">
        <f>9998-122</f>
        <v>9876</v>
      </c>
      <c r="E26" s="317"/>
      <c r="F26" s="318">
        <f t="shared" si="0"/>
        <v>9876</v>
      </c>
      <c r="G26" s="325"/>
      <c r="H26" s="317"/>
      <c r="I26" s="318">
        <f t="shared" si="1"/>
        <v>0</v>
      </c>
      <c r="J26" s="259"/>
      <c r="K26" s="260"/>
      <c r="L26" s="318">
        <f t="shared" si="2"/>
        <v>0</v>
      </c>
      <c r="M26" s="660">
        <f t="shared" ref="M26:M53" si="4">SUM(F26+I26+L26)</f>
        <v>9876</v>
      </c>
    </row>
    <row r="27" spans="1:13" ht="30" customHeight="1" x14ac:dyDescent="0.2">
      <c r="A27" s="257" t="s">
        <v>679</v>
      </c>
      <c r="B27" s="644" t="s">
        <v>148</v>
      </c>
      <c r="C27" s="335" t="s">
        <v>797</v>
      </c>
      <c r="D27" s="316">
        <v>284829</v>
      </c>
      <c r="E27" s="317">
        <v>768006</v>
      </c>
      <c r="F27" s="318">
        <f t="shared" si="0"/>
        <v>1052835</v>
      </c>
      <c r="G27" s="325"/>
      <c r="H27" s="317"/>
      <c r="I27" s="318">
        <f t="shared" si="1"/>
        <v>0</v>
      </c>
      <c r="J27" s="259"/>
      <c r="K27" s="260"/>
      <c r="L27" s="318">
        <f t="shared" si="2"/>
        <v>0</v>
      </c>
      <c r="M27" s="660">
        <f t="shared" si="4"/>
        <v>1052835</v>
      </c>
    </row>
    <row r="28" spans="1:13" ht="29.25" customHeight="1" x14ac:dyDescent="0.2">
      <c r="A28" s="257" t="s">
        <v>680</v>
      </c>
      <c r="B28" s="644" t="s">
        <v>642</v>
      </c>
      <c r="C28" s="335" t="s">
        <v>793</v>
      </c>
      <c r="D28" s="316">
        <f>30048-8000</f>
        <v>22048</v>
      </c>
      <c r="E28" s="317"/>
      <c r="F28" s="318">
        <f t="shared" si="0"/>
        <v>22048</v>
      </c>
      <c r="G28" s="325"/>
      <c r="H28" s="317"/>
      <c r="I28" s="318">
        <f t="shared" si="1"/>
        <v>0</v>
      </c>
      <c r="J28" s="259"/>
      <c r="K28" s="260"/>
      <c r="L28" s="318">
        <f t="shared" si="2"/>
        <v>0</v>
      </c>
      <c r="M28" s="660">
        <f t="shared" si="4"/>
        <v>22048</v>
      </c>
    </row>
    <row r="29" spans="1:13" ht="29.25" customHeight="1" x14ac:dyDescent="0.2">
      <c r="A29" s="257" t="s">
        <v>681</v>
      </c>
      <c r="B29" s="644" t="s">
        <v>640</v>
      </c>
      <c r="C29" s="335" t="s">
        <v>793</v>
      </c>
      <c r="D29" s="316">
        <f>20653+5500</f>
        <v>26153</v>
      </c>
      <c r="E29" s="317"/>
      <c r="F29" s="318">
        <f t="shared" si="0"/>
        <v>26153</v>
      </c>
      <c r="G29" s="325"/>
      <c r="H29" s="317"/>
      <c r="I29" s="318">
        <f t="shared" si="1"/>
        <v>0</v>
      </c>
      <c r="J29" s="259"/>
      <c r="K29" s="260"/>
      <c r="L29" s="318">
        <f t="shared" si="2"/>
        <v>0</v>
      </c>
      <c r="M29" s="660">
        <f t="shared" si="4"/>
        <v>26153</v>
      </c>
    </row>
    <row r="30" spans="1:13" ht="29.25" customHeight="1" x14ac:dyDescent="0.2">
      <c r="A30" s="257" t="s">
        <v>682</v>
      </c>
      <c r="B30" s="644" t="s">
        <v>192</v>
      </c>
      <c r="C30" s="335" t="s">
        <v>200</v>
      </c>
      <c r="D30" s="316">
        <f>21253-5230-650+2000</f>
        <v>17373</v>
      </c>
      <c r="E30" s="317">
        <f>350+430+156</f>
        <v>936</v>
      </c>
      <c r="F30" s="318">
        <f t="shared" si="0"/>
        <v>18309</v>
      </c>
      <c r="G30" s="325"/>
      <c r="H30" s="317">
        <v>420421</v>
      </c>
      <c r="I30" s="318">
        <f t="shared" si="1"/>
        <v>420421</v>
      </c>
      <c r="J30" s="259"/>
      <c r="K30" s="260"/>
      <c r="L30" s="318">
        <f t="shared" si="2"/>
        <v>0</v>
      </c>
      <c r="M30" s="660">
        <f t="shared" si="4"/>
        <v>438730</v>
      </c>
    </row>
    <row r="31" spans="1:13" ht="29.25" customHeight="1" x14ac:dyDescent="0.2">
      <c r="A31" s="257" t="s">
        <v>683</v>
      </c>
      <c r="B31" s="649" t="s">
        <v>644</v>
      </c>
      <c r="C31" s="335" t="s">
        <v>799</v>
      </c>
      <c r="D31" s="316">
        <f>9609-5429</f>
        <v>4180</v>
      </c>
      <c r="E31" s="317"/>
      <c r="F31" s="318">
        <f t="shared" si="0"/>
        <v>4180</v>
      </c>
      <c r="G31" s="325"/>
      <c r="H31" s="317"/>
      <c r="I31" s="318">
        <f t="shared" si="1"/>
        <v>0</v>
      </c>
      <c r="J31" s="259"/>
      <c r="K31" s="260"/>
      <c r="L31" s="318">
        <f t="shared" si="2"/>
        <v>0</v>
      </c>
      <c r="M31" s="660">
        <f t="shared" si="4"/>
        <v>4180</v>
      </c>
    </row>
    <row r="32" spans="1:13" ht="29.25" customHeight="1" x14ac:dyDescent="0.2">
      <c r="A32" s="257" t="s">
        <v>798</v>
      </c>
      <c r="B32" s="644" t="s">
        <v>645</v>
      </c>
      <c r="C32" s="335" t="s">
        <v>801</v>
      </c>
      <c r="D32" s="316">
        <f>30617+96+26</f>
        <v>30739</v>
      </c>
      <c r="E32" s="317">
        <v>127</v>
      </c>
      <c r="F32" s="318">
        <f t="shared" si="0"/>
        <v>30866</v>
      </c>
      <c r="G32" s="325"/>
      <c r="H32" s="317"/>
      <c r="I32" s="318">
        <f t="shared" si="1"/>
        <v>0</v>
      </c>
      <c r="J32" s="259"/>
      <c r="K32" s="260"/>
      <c r="L32" s="318">
        <f t="shared" si="2"/>
        <v>0</v>
      </c>
      <c r="M32" s="660">
        <f t="shared" si="4"/>
        <v>30866</v>
      </c>
    </row>
    <row r="33" spans="1:13" ht="29.25" customHeight="1" x14ac:dyDescent="0.2">
      <c r="A33" s="257" t="s">
        <v>800</v>
      </c>
      <c r="B33" s="644" t="s">
        <v>646</v>
      </c>
      <c r="C33" s="335" t="s">
        <v>803</v>
      </c>
      <c r="D33" s="316">
        <v>120</v>
      </c>
      <c r="E33" s="317"/>
      <c r="F33" s="318">
        <f t="shared" si="0"/>
        <v>120</v>
      </c>
      <c r="G33" s="325"/>
      <c r="H33" s="317"/>
      <c r="I33" s="318">
        <f t="shared" si="1"/>
        <v>0</v>
      </c>
      <c r="J33" s="259"/>
      <c r="K33" s="260"/>
      <c r="L33" s="318">
        <f t="shared" si="2"/>
        <v>0</v>
      </c>
      <c r="M33" s="660">
        <f t="shared" si="4"/>
        <v>120</v>
      </c>
    </row>
    <row r="34" spans="1:13" ht="29.25" customHeight="1" x14ac:dyDescent="0.2">
      <c r="A34" s="257" t="s">
        <v>802</v>
      </c>
      <c r="B34" s="644" t="s">
        <v>721</v>
      </c>
      <c r="C34" s="335" t="s">
        <v>804</v>
      </c>
      <c r="D34" s="316">
        <f>15991+251+3+69</f>
        <v>16314</v>
      </c>
      <c r="E34" s="317">
        <v>490</v>
      </c>
      <c r="F34" s="318">
        <f t="shared" si="0"/>
        <v>16804</v>
      </c>
      <c r="G34" s="325"/>
      <c r="H34" s="317"/>
      <c r="I34" s="318">
        <f t="shared" si="1"/>
        <v>0</v>
      </c>
      <c r="J34" s="259"/>
      <c r="K34" s="260"/>
      <c r="L34" s="318">
        <f t="shared" si="2"/>
        <v>0</v>
      </c>
      <c r="M34" s="660">
        <f t="shared" si="4"/>
        <v>16804</v>
      </c>
    </row>
    <row r="35" spans="1:13" ht="29.25" customHeight="1" x14ac:dyDescent="0.2">
      <c r="A35" s="257" t="s">
        <v>752</v>
      </c>
      <c r="B35" s="649" t="s">
        <v>191</v>
      </c>
      <c r="C35" s="318" t="s">
        <v>823</v>
      </c>
      <c r="D35" s="316">
        <f>28917-5000</f>
        <v>23917</v>
      </c>
      <c r="E35" s="317"/>
      <c r="F35" s="318">
        <f t="shared" si="0"/>
        <v>23917</v>
      </c>
      <c r="G35" s="325"/>
      <c r="H35" s="317"/>
      <c r="I35" s="318">
        <f t="shared" si="1"/>
        <v>0</v>
      </c>
      <c r="J35" s="259"/>
      <c r="K35" s="260"/>
      <c r="L35" s="318">
        <f t="shared" si="2"/>
        <v>0</v>
      </c>
      <c r="M35" s="660">
        <f t="shared" si="4"/>
        <v>23917</v>
      </c>
    </row>
    <row r="36" spans="1:13" ht="29.25" customHeight="1" x14ac:dyDescent="0.2">
      <c r="A36" s="257" t="s">
        <v>805</v>
      </c>
      <c r="B36" s="644" t="s">
        <v>639</v>
      </c>
      <c r="C36" s="650"/>
      <c r="D36" s="316"/>
      <c r="E36" s="317"/>
      <c r="F36" s="318">
        <f t="shared" si="0"/>
        <v>0</v>
      </c>
      <c r="G36" s="325">
        <v>250</v>
      </c>
      <c r="H36" s="317"/>
      <c r="I36" s="318">
        <f t="shared" si="1"/>
        <v>250</v>
      </c>
      <c r="J36" s="259"/>
      <c r="K36" s="260"/>
      <c r="L36" s="318">
        <f t="shared" si="2"/>
        <v>0</v>
      </c>
      <c r="M36" s="660">
        <f t="shared" si="4"/>
        <v>250</v>
      </c>
    </row>
    <row r="37" spans="1:13" ht="29.25" customHeight="1" x14ac:dyDescent="0.2">
      <c r="A37" s="257" t="s">
        <v>684</v>
      </c>
      <c r="B37" s="649" t="s">
        <v>967</v>
      </c>
      <c r="C37" s="318"/>
      <c r="D37" s="316"/>
      <c r="E37" s="317"/>
      <c r="F37" s="318">
        <f t="shared" si="0"/>
        <v>0</v>
      </c>
      <c r="G37" s="325">
        <v>2110</v>
      </c>
      <c r="H37" s="317">
        <v>1830</v>
      </c>
      <c r="I37" s="318">
        <f t="shared" si="1"/>
        <v>3940</v>
      </c>
      <c r="J37" s="259"/>
      <c r="K37" s="260"/>
      <c r="L37" s="318">
        <f t="shared" si="2"/>
        <v>0</v>
      </c>
      <c r="M37" s="660">
        <f t="shared" si="4"/>
        <v>3940</v>
      </c>
    </row>
    <row r="38" spans="1:13" ht="29.25" customHeight="1" x14ac:dyDescent="0.2">
      <c r="A38" s="257" t="s">
        <v>685</v>
      </c>
      <c r="B38" s="649" t="s">
        <v>958</v>
      </c>
      <c r="C38" s="335" t="s">
        <v>821</v>
      </c>
      <c r="D38" s="316">
        <v>1070</v>
      </c>
      <c r="E38" s="317"/>
      <c r="F38" s="318">
        <f t="shared" si="0"/>
        <v>1070</v>
      </c>
      <c r="G38" s="325"/>
      <c r="H38" s="317"/>
      <c r="I38" s="318">
        <f t="shared" si="1"/>
        <v>0</v>
      </c>
      <c r="J38" s="259"/>
      <c r="K38" s="260"/>
      <c r="L38" s="318">
        <f t="shared" si="2"/>
        <v>0</v>
      </c>
      <c r="M38" s="660">
        <f t="shared" si="4"/>
        <v>1070</v>
      </c>
    </row>
    <row r="39" spans="1:13" ht="29.25" customHeight="1" x14ac:dyDescent="0.2">
      <c r="A39" s="257" t="s">
        <v>686</v>
      </c>
      <c r="B39" s="644" t="s">
        <v>647</v>
      </c>
      <c r="C39" s="335" t="s">
        <v>821</v>
      </c>
      <c r="D39" s="316">
        <f>8032-7</f>
        <v>8025</v>
      </c>
      <c r="E39" s="317"/>
      <c r="F39" s="318">
        <f t="shared" si="0"/>
        <v>8025</v>
      </c>
      <c r="G39" s="325"/>
      <c r="H39" s="317"/>
      <c r="I39" s="318">
        <f t="shared" si="1"/>
        <v>0</v>
      </c>
      <c r="J39" s="259"/>
      <c r="K39" s="260"/>
      <c r="L39" s="318">
        <f t="shared" si="2"/>
        <v>0</v>
      </c>
      <c r="M39" s="660">
        <f t="shared" si="4"/>
        <v>8025</v>
      </c>
    </row>
    <row r="40" spans="1:13" ht="29.25" customHeight="1" x14ac:dyDescent="0.2">
      <c r="A40" s="257" t="s">
        <v>807</v>
      </c>
      <c r="B40" s="644" t="s">
        <v>196</v>
      </c>
      <c r="C40" s="747" t="s">
        <v>204</v>
      </c>
      <c r="D40" s="316"/>
      <c r="E40" s="317"/>
      <c r="F40" s="318">
        <f t="shared" si="0"/>
        <v>0</v>
      </c>
      <c r="G40" s="325">
        <v>47</v>
      </c>
      <c r="H40" s="317"/>
      <c r="I40" s="318">
        <f t="shared" si="1"/>
        <v>47</v>
      </c>
      <c r="J40" s="259"/>
      <c r="K40" s="260"/>
      <c r="L40" s="318">
        <f t="shared" si="2"/>
        <v>0</v>
      </c>
      <c r="M40" s="660">
        <f t="shared" si="4"/>
        <v>47</v>
      </c>
    </row>
    <row r="41" spans="1:13" ht="33.75" x14ac:dyDescent="0.2">
      <c r="A41" s="257" t="s">
        <v>687</v>
      </c>
      <c r="B41" s="644" t="s">
        <v>189</v>
      </c>
      <c r="C41" s="335" t="s">
        <v>822</v>
      </c>
      <c r="D41" s="319">
        <f>9148-682</f>
        <v>8466</v>
      </c>
      <c r="E41" s="320">
        <v>500</v>
      </c>
      <c r="F41" s="318">
        <f t="shared" si="0"/>
        <v>8966</v>
      </c>
      <c r="G41" s="326"/>
      <c r="H41" s="320"/>
      <c r="I41" s="318">
        <f t="shared" si="1"/>
        <v>0</v>
      </c>
      <c r="J41" s="259"/>
      <c r="K41" s="260"/>
      <c r="L41" s="318">
        <f t="shared" si="2"/>
        <v>0</v>
      </c>
      <c r="M41" s="660">
        <f t="shared" si="4"/>
        <v>8966</v>
      </c>
    </row>
    <row r="42" spans="1:13" ht="24" x14ac:dyDescent="0.2">
      <c r="A42" s="257" t="s">
        <v>720</v>
      </c>
      <c r="B42" s="644" t="s">
        <v>960</v>
      </c>
      <c r="C42" s="335" t="s">
        <v>832</v>
      </c>
      <c r="D42" s="319"/>
      <c r="E42" s="320">
        <v>5500</v>
      </c>
      <c r="F42" s="318">
        <f t="shared" si="0"/>
        <v>5500</v>
      </c>
      <c r="G42" s="326"/>
      <c r="H42" s="320"/>
      <c r="I42" s="318">
        <f t="shared" si="1"/>
        <v>0</v>
      </c>
      <c r="J42" s="259"/>
      <c r="K42" s="260"/>
      <c r="L42" s="318">
        <f t="shared" si="2"/>
        <v>0</v>
      </c>
      <c r="M42" s="660">
        <f t="shared" si="4"/>
        <v>5500</v>
      </c>
    </row>
    <row r="43" spans="1:13" ht="24" x14ac:dyDescent="0.2">
      <c r="A43" s="257" t="s">
        <v>811</v>
      </c>
      <c r="B43" s="644" t="s">
        <v>193</v>
      </c>
      <c r="C43" s="747"/>
      <c r="D43" s="319"/>
      <c r="E43" s="320"/>
      <c r="F43" s="318">
        <f t="shared" si="0"/>
        <v>0</v>
      </c>
      <c r="G43" s="326">
        <f>35953-3540</f>
        <v>32413</v>
      </c>
      <c r="H43" s="320"/>
      <c r="I43" s="318">
        <f t="shared" si="1"/>
        <v>32413</v>
      </c>
      <c r="J43" s="259"/>
      <c r="K43" s="260"/>
      <c r="L43" s="318">
        <f t="shared" si="2"/>
        <v>0</v>
      </c>
      <c r="M43" s="660">
        <f t="shared" si="4"/>
        <v>32413</v>
      </c>
    </row>
    <row r="44" spans="1:13" ht="27" customHeight="1" x14ac:dyDescent="0.2">
      <c r="A44" s="257" t="s">
        <v>812</v>
      </c>
      <c r="B44" s="644" t="s">
        <v>176</v>
      </c>
      <c r="C44" s="650" t="s">
        <v>808</v>
      </c>
      <c r="D44" s="321">
        <v>6501</v>
      </c>
      <c r="E44" s="322"/>
      <c r="F44" s="318">
        <f t="shared" ref="F44:F53" si="5">SUM(D44:E44)</f>
        <v>6501</v>
      </c>
      <c r="G44" s="327"/>
      <c r="H44" s="322">
        <v>0</v>
      </c>
      <c r="I44" s="318">
        <f t="shared" ref="I44:I53" si="6">SUM(G44:H44)</f>
        <v>0</v>
      </c>
      <c r="J44" s="259"/>
      <c r="K44" s="260"/>
      <c r="L44" s="318">
        <f t="shared" ref="L44:L53" si="7">SUM(J44:K44)</f>
        <v>0</v>
      </c>
      <c r="M44" s="660">
        <f t="shared" si="4"/>
        <v>6501</v>
      </c>
    </row>
    <row r="45" spans="1:13" ht="31.5" customHeight="1" x14ac:dyDescent="0.2">
      <c r="A45" s="257" t="s">
        <v>813</v>
      </c>
      <c r="B45" s="746" t="s">
        <v>745</v>
      </c>
      <c r="C45" s="335" t="s">
        <v>806</v>
      </c>
      <c r="D45" s="316">
        <f>18174</f>
        <v>18174</v>
      </c>
      <c r="E45" s="317"/>
      <c r="F45" s="318">
        <f t="shared" si="5"/>
        <v>18174</v>
      </c>
      <c r="G45" s="325"/>
      <c r="H45" s="317"/>
      <c r="I45" s="318">
        <f t="shared" si="6"/>
        <v>0</v>
      </c>
      <c r="J45" s="259"/>
      <c r="K45" s="260"/>
      <c r="L45" s="318">
        <f t="shared" si="7"/>
        <v>0</v>
      </c>
      <c r="M45" s="660">
        <f t="shared" si="4"/>
        <v>18174</v>
      </c>
    </row>
    <row r="46" spans="1:13" ht="33.75" customHeight="1" x14ac:dyDescent="0.2">
      <c r="A46" s="257" t="s">
        <v>814</v>
      </c>
      <c r="B46" s="746" t="s">
        <v>194</v>
      </c>
      <c r="C46" s="747" t="s">
        <v>203</v>
      </c>
      <c r="D46" s="316"/>
      <c r="E46" s="317"/>
      <c r="F46" s="318">
        <f t="shared" si="5"/>
        <v>0</v>
      </c>
      <c r="G46" s="325">
        <v>1509</v>
      </c>
      <c r="H46" s="317"/>
      <c r="I46" s="318">
        <f t="shared" si="6"/>
        <v>1509</v>
      </c>
      <c r="J46" s="259"/>
      <c r="K46" s="260"/>
      <c r="L46" s="318">
        <f t="shared" si="7"/>
        <v>0</v>
      </c>
      <c r="M46" s="660">
        <f t="shared" si="4"/>
        <v>1509</v>
      </c>
    </row>
    <row r="47" spans="1:13" ht="21.75" customHeight="1" x14ac:dyDescent="0.2">
      <c r="A47" s="257" t="s">
        <v>815</v>
      </c>
      <c r="B47" s="746" t="s">
        <v>180</v>
      </c>
      <c r="C47" s="747" t="s">
        <v>203</v>
      </c>
      <c r="D47" s="316"/>
      <c r="E47" s="317"/>
      <c r="F47" s="318">
        <f t="shared" si="5"/>
        <v>0</v>
      </c>
      <c r="G47" s="325">
        <v>3405</v>
      </c>
      <c r="H47" s="317"/>
      <c r="I47" s="318">
        <f t="shared" si="6"/>
        <v>3405</v>
      </c>
      <c r="J47" s="259"/>
      <c r="K47" s="260"/>
      <c r="L47" s="318">
        <f t="shared" si="7"/>
        <v>0</v>
      </c>
      <c r="M47" s="660">
        <f t="shared" si="4"/>
        <v>3405</v>
      </c>
    </row>
    <row r="48" spans="1:13" ht="28.5" customHeight="1" x14ac:dyDescent="0.2">
      <c r="A48" s="257" t="s">
        <v>816</v>
      </c>
      <c r="B48" s="644" t="s">
        <v>747</v>
      </c>
      <c r="C48" s="650" t="s">
        <v>809</v>
      </c>
      <c r="D48" s="316">
        <f>7674-500</f>
        <v>7174</v>
      </c>
      <c r="E48" s="317"/>
      <c r="F48" s="318">
        <f t="shared" si="5"/>
        <v>7174</v>
      </c>
      <c r="G48" s="325"/>
      <c r="H48" s="317"/>
      <c r="I48" s="318">
        <f t="shared" si="6"/>
        <v>0</v>
      </c>
      <c r="J48" s="259"/>
      <c r="K48" s="260"/>
      <c r="L48" s="318">
        <f t="shared" si="7"/>
        <v>0</v>
      </c>
      <c r="M48" s="660">
        <f t="shared" si="4"/>
        <v>7174</v>
      </c>
    </row>
    <row r="49" spans="1:13" ht="20.25" customHeight="1" x14ac:dyDescent="0.2">
      <c r="A49" s="257" t="s">
        <v>817</v>
      </c>
      <c r="B49" s="644" t="s">
        <v>748</v>
      </c>
      <c r="C49" s="650" t="s">
        <v>810</v>
      </c>
      <c r="D49" s="316">
        <v>3017</v>
      </c>
      <c r="E49" s="317"/>
      <c r="F49" s="318">
        <f t="shared" si="5"/>
        <v>3017</v>
      </c>
      <c r="G49" s="325"/>
      <c r="H49" s="317"/>
      <c r="I49" s="318">
        <f t="shared" si="6"/>
        <v>0</v>
      </c>
      <c r="J49" s="259"/>
      <c r="K49" s="260"/>
      <c r="L49" s="318">
        <f t="shared" si="7"/>
        <v>0</v>
      </c>
      <c r="M49" s="660">
        <f t="shared" si="4"/>
        <v>3017</v>
      </c>
    </row>
    <row r="50" spans="1:13" ht="27" customHeight="1" x14ac:dyDescent="0.2">
      <c r="A50" s="257" t="s">
        <v>818</v>
      </c>
      <c r="B50" s="746" t="s">
        <v>746</v>
      </c>
      <c r="C50" s="650" t="s">
        <v>808</v>
      </c>
      <c r="D50" s="319">
        <v>9179</v>
      </c>
      <c r="E50" s="323"/>
      <c r="F50" s="318">
        <f t="shared" si="5"/>
        <v>9179</v>
      </c>
      <c r="G50" s="326"/>
      <c r="H50" s="323"/>
      <c r="I50" s="318">
        <f t="shared" si="6"/>
        <v>0</v>
      </c>
      <c r="J50" s="259"/>
      <c r="K50" s="260"/>
      <c r="L50" s="318">
        <f t="shared" si="7"/>
        <v>0</v>
      </c>
      <c r="M50" s="660">
        <f t="shared" si="4"/>
        <v>9179</v>
      </c>
    </row>
    <row r="51" spans="1:13" ht="38.25" customHeight="1" x14ac:dyDescent="0.2">
      <c r="A51" s="257" t="s">
        <v>819</v>
      </c>
      <c r="B51" s="644" t="s">
        <v>205</v>
      </c>
      <c r="C51" s="318" t="s">
        <v>195</v>
      </c>
      <c r="D51" s="316">
        <v>2800</v>
      </c>
      <c r="E51" s="317"/>
      <c r="F51" s="318">
        <f t="shared" si="5"/>
        <v>2800</v>
      </c>
      <c r="G51" s="325"/>
      <c r="H51" s="317"/>
      <c r="I51" s="318">
        <f t="shared" si="6"/>
        <v>0</v>
      </c>
      <c r="J51" s="259"/>
      <c r="K51" s="260"/>
      <c r="L51" s="318">
        <f t="shared" si="7"/>
        <v>0</v>
      </c>
      <c r="M51" s="660">
        <f t="shared" si="4"/>
        <v>2800</v>
      </c>
    </row>
    <row r="52" spans="1:13" s="268" customFormat="1" ht="27.75" customHeight="1" x14ac:dyDescent="0.2">
      <c r="A52" s="312" t="s">
        <v>518</v>
      </c>
      <c r="B52" s="644" t="s">
        <v>643</v>
      </c>
      <c r="C52" s="335" t="s">
        <v>201</v>
      </c>
      <c r="D52" s="332">
        <f>6719-323-3517-100-859+720+3517-250</f>
        <v>5907</v>
      </c>
      <c r="E52" s="333">
        <v>40735</v>
      </c>
      <c r="F52" s="318">
        <f t="shared" si="5"/>
        <v>46642</v>
      </c>
      <c r="G52" s="329"/>
      <c r="H52" s="324"/>
      <c r="I52" s="318">
        <f t="shared" si="6"/>
        <v>0</v>
      </c>
      <c r="J52" s="263"/>
      <c r="K52" s="263"/>
      <c r="L52" s="318">
        <f t="shared" si="7"/>
        <v>0</v>
      </c>
      <c r="M52" s="660">
        <f t="shared" si="4"/>
        <v>46642</v>
      </c>
    </row>
    <row r="53" spans="1:13" ht="23.25" customHeight="1" thickBot="1" x14ac:dyDescent="0.25">
      <c r="A53" s="257" t="s">
        <v>969</v>
      </c>
      <c r="B53" s="644" t="s">
        <v>602</v>
      </c>
      <c r="C53" s="748" t="s">
        <v>794</v>
      </c>
      <c r="D53" s="319">
        <f>131633+1963</f>
        <v>133596</v>
      </c>
      <c r="E53" s="320">
        <f>7836-7620</f>
        <v>216</v>
      </c>
      <c r="F53" s="318">
        <f t="shared" si="5"/>
        <v>133812</v>
      </c>
      <c r="G53" s="328"/>
      <c r="H53" s="323"/>
      <c r="I53" s="318">
        <f t="shared" si="6"/>
        <v>0</v>
      </c>
      <c r="J53" s="259"/>
      <c r="K53" s="259"/>
      <c r="L53" s="318">
        <f t="shared" si="7"/>
        <v>0</v>
      </c>
      <c r="M53" s="660">
        <f t="shared" si="4"/>
        <v>133812</v>
      </c>
    </row>
    <row r="54" spans="1:13" s="268" customFormat="1" ht="13.5" thickBot="1" x14ac:dyDescent="0.25">
      <c r="A54" s="864" t="s">
        <v>824</v>
      </c>
      <c r="B54" s="865"/>
      <c r="C54" s="866"/>
      <c r="D54" s="334">
        <f t="shared" ref="D54:M54" si="8">SUM(D10:D53)</f>
        <v>867751</v>
      </c>
      <c r="E54" s="334">
        <f t="shared" si="8"/>
        <v>826738</v>
      </c>
      <c r="F54" s="334">
        <f t="shared" si="8"/>
        <v>1694489</v>
      </c>
      <c r="G54" s="334">
        <f t="shared" si="8"/>
        <v>54435</v>
      </c>
      <c r="H54" s="334">
        <f t="shared" si="8"/>
        <v>422251</v>
      </c>
      <c r="I54" s="334">
        <f t="shared" si="8"/>
        <v>476686</v>
      </c>
      <c r="J54" s="334">
        <f t="shared" si="8"/>
        <v>37371</v>
      </c>
      <c r="K54" s="334">
        <f t="shared" si="8"/>
        <v>161</v>
      </c>
      <c r="L54" s="334">
        <f t="shared" si="8"/>
        <v>37532</v>
      </c>
      <c r="M54" s="698">
        <f t="shared" si="8"/>
        <v>2208707</v>
      </c>
    </row>
    <row r="55" spans="1:13" ht="30.75" customHeight="1" x14ac:dyDescent="0.2">
      <c r="A55" s="257" t="s">
        <v>662</v>
      </c>
      <c r="B55" s="644" t="s">
        <v>157</v>
      </c>
      <c r="C55" s="315" t="s">
        <v>796</v>
      </c>
      <c r="D55" s="313">
        <f>147768-20648-5467</f>
        <v>121653</v>
      </c>
      <c r="E55" s="314">
        <v>445</v>
      </c>
      <c r="F55" s="318">
        <f>SUM(D55:E55)</f>
        <v>122098</v>
      </c>
      <c r="G55" s="313"/>
      <c r="H55" s="314"/>
      <c r="I55" s="315">
        <f>SUM(G55:H55)</f>
        <v>0</v>
      </c>
      <c r="J55" s="313"/>
      <c r="K55" s="314"/>
      <c r="L55" s="315">
        <f>SUM(J55:K55)</f>
        <v>0</v>
      </c>
      <c r="M55" s="660">
        <f>SUM(L55,I55,F55)</f>
        <v>122098</v>
      </c>
    </row>
    <row r="56" spans="1:13" ht="22.5" x14ac:dyDescent="0.2">
      <c r="A56" s="257" t="s">
        <v>663</v>
      </c>
      <c r="B56" s="261" t="s">
        <v>209</v>
      </c>
      <c r="C56" s="258" t="s">
        <v>825</v>
      </c>
      <c r="D56" s="316">
        <f>26959+2580</f>
        <v>29539</v>
      </c>
      <c r="E56" s="317"/>
      <c r="F56" s="318">
        <f>SUM(D56:E56)</f>
        <v>29539</v>
      </c>
      <c r="G56" s="316"/>
      <c r="H56" s="317"/>
      <c r="I56" s="318">
        <f>SUM(G56:H56)</f>
        <v>0</v>
      </c>
      <c r="J56" s="316"/>
      <c r="K56" s="317"/>
      <c r="L56" s="318">
        <f>SUM(J56:K56)</f>
        <v>0</v>
      </c>
      <c r="M56" s="660">
        <f>SUM(L56,I56,F56)</f>
        <v>29539</v>
      </c>
    </row>
    <row r="57" spans="1:13" ht="24" x14ac:dyDescent="0.2">
      <c r="A57" s="257" t="s">
        <v>664</v>
      </c>
      <c r="B57" s="261" t="s">
        <v>206</v>
      </c>
      <c r="C57" s="258" t="s">
        <v>826</v>
      </c>
      <c r="D57" s="316">
        <v>14669</v>
      </c>
      <c r="E57" s="317"/>
      <c r="F57" s="318">
        <f>SUM(D57:E57)</f>
        <v>14669</v>
      </c>
      <c r="G57" s="316"/>
      <c r="H57" s="317"/>
      <c r="I57" s="318">
        <f>SUM(G57:H57)</f>
        <v>0</v>
      </c>
      <c r="J57" s="316"/>
      <c r="K57" s="317"/>
      <c r="L57" s="318">
        <f>SUM(J57:K57)</f>
        <v>0</v>
      </c>
      <c r="M57" s="660">
        <f>SUM(L57,I57,F57)</f>
        <v>14669</v>
      </c>
    </row>
    <row r="58" spans="1:13" ht="48" x14ac:dyDescent="0.2">
      <c r="A58" s="257" t="s">
        <v>665</v>
      </c>
      <c r="B58" s="261" t="s">
        <v>207</v>
      </c>
      <c r="C58" s="265" t="s">
        <v>208</v>
      </c>
      <c r="D58" s="316">
        <v>12626</v>
      </c>
      <c r="E58" s="317"/>
      <c r="F58" s="318">
        <f>SUM(D58:E58)</f>
        <v>12626</v>
      </c>
      <c r="G58" s="316"/>
      <c r="H58" s="317"/>
      <c r="I58" s="318">
        <f>SUM(G58:H58)</f>
        <v>0</v>
      </c>
      <c r="J58" s="316"/>
      <c r="K58" s="317"/>
      <c r="L58" s="318">
        <f>SUM(J58:K58)</f>
        <v>0</v>
      </c>
      <c r="M58" s="660">
        <f>SUM(L58,I58,F58)</f>
        <v>12626</v>
      </c>
    </row>
    <row r="59" spans="1:13" ht="24.75" thickBot="1" x14ac:dyDescent="0.25">
      <c r="A59" s="257" t="s">
        <v>666</v>
      </c>
      <c r="B59" s="261" t="s">
        <v>968</v>
      </c>
      <c r="C59" s="258" t="s">
        <v>828</v>
      </c>
      <c r="D59" s="338">
        <v>520</v>
      </c>
      <c r="E59" s="339"/>
      <c r="F59" s="340">
        <f>SUM(D59:E59)</f>
        <v>520</v>
      </c>
      <c r="G59" s="338"/>
      <c r="H59" s="339"/>
      <c r="I59" s="318">
        <f>SUM(G59:H59)</f>
        <v>0</v>
      </c>
      <c r="J59" s="338">
        <v>15</v>
      </c>
      <c r="K59" s="339"/>
      <c r="L59" s="318">
        <f>SUM(J59:K59)</f>
        <v>15</v>
      </c>
      <c r="M59" s="660">
        <f>SUM(L59,I59,F59)</f>
        <v>535</v>
      </c>
    </row>
    <row r="60" spans="1:13" s="268" customFormat="1" ht="13.5" thickBot="1" x14ac:dyDescent="0.25">
      <c r="A60" s="864" t="s">
        <v>829</v>
      </c>
      <c r="B60" s="865"/>
      <c r="C60" s="866"/>
      <c r="D60" s="341">
        <f t="shared" ref="D60:M60" si="9">SUM(D55:D59)</f>
        <v>179007</v>
      </c>
      <c r="E60" s="341">
        <f t="shared" si="9"/>
        <v>445</v>
      </c>
      <c r="F60" s="341">
        <f t="shared" si="9"/>
        <v>179452</v>
      </c>
      <c r="G60" s="341">
        <f t="shared" si="9"/>
        <v>0</v>
      </c>
      <c r="H60" s="341">
        <f t="shared" si="9"/>
        <v>0</v>
      </c>
      <c r="I60" s="341">
        <f t="shared" si="9"/>
        <v>0</v>
      </c>
      <c r="J60" s="341">
        <f t="shared" si="9"/>
        <v>15</v>
      </c>
      <c r="K60" s="341">
        <f t="shared" si="9"/>
        <v>0</v>
      </c>
      <c r="L60" s="341">
        <f t="shared" si="9"/>
        <v>15</v>
      </c>
      <c r="M60" s="659">
        <f t="shared" si="9"/>
        <v>179467</v>
      </c>
    </row>
    <row r="61" spans="1:13" x14ac:dyDescent="0.2">
      <c r="A61" s="257" t="s">
        <v>662</v>
      </c>
      <c r="B61" s="261" t="s">
        <v>830</v>
      </c>
      <c r="C61" s="262" t="s">
        <v>794</v>
      </c>
      <c r="D61" s="342">
        <f>32865-221</f>
        <v>32644</v>
      </c>
      <c r="E61" s="343"/>
      <c r="F61" s="315">
        <f>SUM(D61:E61)</f>
        <v>32644</v>
      </c>
      <c r="G61" s="342"/>
      <c r="H61" s="343"/>
      <c r="I61" s="331">
        <f>SUM(G61:H61)</f>
        <v>0</v>
      </c>
      <c r="J61" s="342"/>
      <c r="K61" s="343"/>
      <c r="L61" s="315">
        <f>SUM(J61:K61)</f>
        <v>0</v>
      </c>
      <c r="M61" s="660">
        <f>SUM(L61,I61,F61)</f>
        <v>32644</v>
      </c>
    </row>
    <row r="62" spans="1:13" x14ac:dyDescent="0.2">
      <c r="A62" s="257" t="s">
        <v>663</v>
      </c>
      <c r="B62" s="261" t="s">
        <v>831</v>
      </c>
      <c r="C62" s="258" t="s">
        <v>832</v>
      </c>
      <c r="D62" s="316">
        <f>149459-2787</f>
        <v>146672</v>
      </c>
      <c r="E62" s="317">
        <f>254-50</f>
        <v>204</v>
      </c>
      <c r="F62" s="318">
        <f>SUM(D62:E62)</f>
        <v>146876</v>
      </c>
      <c r="G62" s="316"/>
      <c r="H62" s="317"/>
      <c r="I62" s="340">
        <f>SUM(G62:H62)</f>
        <v>0</v>
      </c>
      <c r="J62" s="316"/>
      <c r="K62" s="317"/>
      <c r="L62" s="318">
        <f>SUM(J62:K62)</f>
        <v>0</v>
      </c>
      <c r="M62" s="660">
        <f>SUM(L62,I62,F62)</f>
        <v>146876</v>
      </c>
    </row>
    <row r="63" spans="1:13" ht="15.75" customHeight="1" x14ac:dyDescent="0.2">
      <c r="A63" s="337" t="s">
        <v>664</v>
      </c>
      <c r="B63" s="264" t="s">
        <v>833</v>
      </c>
      <c r="C63" s="318" t="s">
        <v>832</v>
      </c>
      <c r="D63" s="338">
        <v>11674</v>
      </c>
      <c r="E63" s="339"/>
      <c r="F63" s="340">
        <f>SUM(D63:E63)</f>
        <v>11674</v>
      </c>
      <c r="G63" s="338"/>
      <c r="H63" s="339"/>
      <c r="I63" s="340">
        <f>SUM(G63:H63)</f>
        <v>0</v>
      </c>
      <c r="J63" s="338"/>
      <c r="K63" s="339"/>
      <c r="L63" s="340">
        <f>SUM(J63:K63)</f>
        <v>0</v>
      </c>
      <c r="M63" s="660">
        <f>SUM(L63,I63,F63)</f>
        <v>11674</v>
      </c>
    </row>
    <row r="64" spans="1:13" ht="15.75" customHeight="1" thickBot="1" x14ac:dyDescent="0.25">
      <c r="A64" s="337" t="s">
        <v>665</v>
      </c>
      <c r="B64" s="264" t="s">
        <v>970</v>
      </c>
      <c r="C64" s="330"/>
      <c r="D64" s="338"/>
      <c r="E64" s="339"/>
      <c r="F64" s="340">
        <f>SUM(D64:E64)</f>
        <v>0</v>
      </c>
      <c r="G64" s="338">
        <v>6245</v>
      </c>
      <c r="H64" s="339"/>
      <c r="I64" s="340">
        <f>SUM(G64:H64)</f>
        <v>6245</v>
      </c>
      <c r="J64" s="338"/>
      <c r="K64" s="339"/>
      <c r="L64" s="340">
        <f>SUM(J64:K64)</f>
        <v>0</v>
      </c>
      <c r="M64" s="660">
        <f>SUM(L64,I64,F64)</f>
        <v>6245</v>
      </c>
    </row>
    <row r="65" spans="1:13" ht="13.5" thickBot="1" x14ac:dyDescent="0.25">
      <c r="A65" s="864" t="s">
        <v>887</v>
      </c>
      <c r="B65" s="865"/>
      <c r="C65" s="866"/>
      <c r="D65" s="345">
        <f>SUM(D61:D64)</f>
        <v>190990</v>
      </c>
      <c r="E65" s="345">
        <f t="shared" ref="E65:L65" si="10">SUM(E61:E64)</f>
        <v>204</v>
      </c>
      <c r="F65" s="345">
        <f t="shared" si="10"/>
        <v>191194</v>
      </c>
      <c r="G65" s="345">
        <f t="shared" si="10"/>
        <v>6245</v>
      </c>
      <c r="H65" s="345">
        <f t="shared" si="10"/>
        <v>0</v>
      </c>
      <c r="I65" s="345">
        <f t="shared" si="10"/>
        <v>6245</v>
      </c>
      <c r="J65" s="345">
        <f t="shared" si="10"/>
        <v>0</v>
      </c>
      <c r="K65" s="345">
        <f t="shared" si="10"/>
        <v>0</v>
      </c>
      <c r="L65" s="345">
        <f t="shared" si="10"/>
        <v>0</v>
      </c>
      <c r="M65" s="659">
        <f>SUM(M61:M64)</f>
        <v>197439</v>
      </c>
    </row>
    <row r="66" spans="1:13" s="269" customFormat="1" ht="15.75" thickBot="1" x14ac:dyDescent="0.25">
      <c r="A66" s="861" t="s">
        <v>834</v>
      </c>
      <c r="B66" s="862"/>
      <c r="C66" s="863"/>
      <c r="D66" s="344">
        <f t="shared" ref="D66:M66" si="11">D54+D60+D65</f>
        <v>1237748</v>
      </c>
      <c r="E66" s="344">
        <f t="shared" si="11"/>
        <v>827387</v>
      </c>
      <c r="F66" s="344">
        <f t="shared" si="11"/>
        <v>2065135</v>
      </c>
      <c r="G66" s="344">
        <f t="shared" si="11"/>
        <v>60680</v>
      </c>
      <c r="H66" s="344">
        <f t="shared" si="11"/>
        <v>422251</v>
      </c>
      <c r="I66" s="344">
        <f t="shared" si="11"/>
        <v>482931</v>
      </c>
      <c r="J66" s="344">
        <f t="shared" si="11"/>
        <v>37386</v>
      </c>
      <c r="K66" s="344">
        <f t="shared" si="11"/>
        <v>161</v>
      </c>
      <c r="L66" s="658">
        <f t="shared" si="11"/>
        <v>37547</v>
      </c>
      <c r="M66" s="661">
        <f t="shared" si="11"/>
        <v>2585613</v>
      </c>
    </row>
    <row r="69" spans="1:13" x14ac:dyDescent="0.2">
      <c r="A69" t="s">
        <v>835</v>
      </c>
      <c r="B69" t="s">
        <v>836</v>
      </c>
    </row>
    <row r="70" spans="1:13" x14ac:dyDescent="0.2">
      <c r="A70" t="s">
        <v>837</v>
      </c>
      <c r="B70" t="s">
        <v>838</v>
      </c>
    </row>
    <row r="71" spans="1:13" x14ac:dyDescent="0.2">
      <c r="A71" t="s">
        <v>839</v>
      </c>
      <c r="B71" t="s">
        <v>840</v>
      </c>
    </row>
    <row r="72" spans="1:13" x14ac:dyDescent="0.2">
      <c r="A72" t="s">
        <v>841</v>
      </c>
      <c r="B72" t="s">
        <v>842</v>
      </c>
    </row>
    <row r="73" spans="1:13" x14ac:dyDescent="0.2">
      <c r="A73" t="s">
        <v>843</v>
      </c>
      <c r="B73" t="s">
        <v>844</v>
      </c>
    </row>
    <row r="74" spans="1:13" x14ac:dyDescent="0.2">
      <c r="A74" t="s">
        <v>845</v>
      </c>
      <c r="B74" t="s">
        <v>846</v>
      </c>
    </row>
    <row r="75" spans="1:13" x14ac:dyDescent="0.2">
      <c r="A75" t="s">
        <v>847</v>
      </c>
      <c r="B75" t="s">
        <v>848</v>
      </c>
    </row>
  </sheetData>
  <mergeCells count="16">
    <mergeCell ref="A66:C66"/>
    <mergeCell ref="A60:C60"/>
    <mergeCell ref="D6:F7"/>
    <mergeCell ref="A65:C65"/>
    <mergeCell ref="B5:B8"/>
    <mergeCell ref="A5:A8"/>
    <mergeCell ref="C5:M5"/>
    <mergeCell ref="A54:C54"/>
    <mergeCell ref="B9:M9"/>
    <mergeCell ref="C17:C20"/>
    <mergeCell ref="G1:M1"/>
    <mergeCell ref="M6:M8"/>
    <mergeCell ref="A3:M4"/>
    <mergeCell ref="C6:C8"/>
    <mergeCell ref="G6:I7"/>
    <mergeCell ref="J6:L7"/>
  </mergeCells>
  <phoneticPr fontId="22" type="noConversion"/>
  <printOptions horizontalCentered="1" verticalCentered="1"/>
  <pageMargins left="0.39370078740157483" right="0.39370078740157483" top="0.9055118110236221" bottom="0.78740157480314965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O88"/>
  <sheetViews>
    <sheetView topLeftCell="M1" zoomScaleNormal="100" workbookViewId="0">
      <selection activeCell="T2" sqref="T2"/>
    </sheetView>
  </sheetViews>
  <sheetFormatPr defaultRowHeight="12.75" x14ac:dyDescent="0.2"/>
  <cols>
    <col min="3" max="3" width="19.140625" customWidth="1"/>
    <col min="4" max="5" width="13.85546875" bestFit="1" customWidth="1"/>
    <col min="6" max="6" width="13.42578125" customWidth="1"/>
    <col min="7" max="7" width="12.5703125" customWidth="1"/>
    <col min="8" max="8" width="18.85546875" customWidth="1"/>
    <col min="9" max="9" width="9.28515625" bestFit="1" customWidth="1"/>
    <col min="10" max="10" width="10.140625" bestFit="1" customWidth="1"/>
    <col min="11" max="11" width="19.28515625" customWidth="1"/>
    <col min="12" max="12" width="9.7109375" customWidth="1"/>
    <col min="14" max="14" width="12.5703125" customWidth="1"/>
    <col min="15" max="15" width="8.140625" customWidth="1"/>
    <col min="16" max="16" width="9.7109375" bestFit="1" customWidth="1"/>
    <col min="17" max="17" width="11.7109375" customWidth="1"/>
    <col min="21" max="21" width="9.85546875" customWidth="1"/>
    <col min="22" max="22" width="10.140625" bestFit="1" customWidth="1"/>
    <col min="23" max="23" width="13.85546875" customWidth="1"/>
    <col min="24" max="24" width="14.7109375" style="270" bestFit="1" customWidth="1"/>
    <col min="25" max="25" width="13.85546875" style="270" customWidth="1"/>
    <col min="26" max="26" width="14.7109375" style="270" bestFit="1" customWidth="1"/>
    <col min="27" max="27" width="13.140625" style="270" bestFit="1" customWidth="1"/>
    <col min="28" max="28" width="12.5703125" style="270" bestFit="1" customWidth="1"/>
    <col min="29" max="29" width="13.140625" style="270" bestFit="1" customWidth="1"/>
    <col min="30" max="223" width="9.140625" style="270"/>
  </cols>
  <sheetData>
    <row r="1" spans="1:223" ht="15" x14ac:dyDescent="0.2">
      <c r="A1" s="248"/>
      <c r="B1" s="249"/>
      <c r="C1" s="250"/>
      <c r="H1" s="249"/>
      <c r="I1" s="249"/>
      <c r="J1" s="249"/>
      <c r="K1" s="253"/>
      <c r="L1" s="253"/>
      <c r="M1" s="253"/>
      <c r="N1" s="249"/>
      <c r="T1" s="1003" t="s">
        <v>1089</v>
      </c>
      <c r="U1" s="1004"/>
      <c r="V1" s="1004"/>
      <c r="W1" s="1004"/>
      <c r="X1" s="1005"/>
      <c r="Y1" s="1005"/>
      <c r="Z1" s="1005"/>
      <c r="AA1" s="1005"/>
      <c r="AB1" s="1005"/>
    </row>
    <row r="2" spans="1:223" x14ac:dyDescent="0.2">
      <c r="A2" s="248"/>
      <c r="B2" s="249"/>
      <c r="C2" s="250"/>
      <c r="D2" s="251"/>
      <c r="E2" s="252"/>
      <c r="F2" s="252"/>
      <c r="G2" s="252"/>
      <c r="H2" s="249"/>
      <c r="I2" s="249"/>
      <c r="J2" s="249"/>
      <c r="K2" s="253"/>
      <c r="L2" s="253"/>
      <c r="M2" s="253"/>
      <c r="N2" s="249"/>
    </row>
    <row r="3" spans="1:223" ht="15.75" customHeight="1" x14ac:dyDescent="0.2">
      <c r="A3" s="1007" t="s">
        <v>923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  <c r="V3" s="1007"/>
      <c r="W3" s="1007"/>
      <c r="X3" s="1007"/>
    </row>
    <row r="4" spans="1:223" ht="13.5" thickBot="1" x14ac:dyDescent="0.25">
      <c r="A4" s="1008"/>
      <c r="B4" s="1008"/>
      <c r="C4" s="1008"/>
      <c r="D4" s="1008"/>
      <c r="E4" s="1008"/>
      <c r="F4" s="1008"/>
      <c r="G4" s="1008"/>
      <c r="H4" s="1008"/>
      <c r="I4" s="1008"/>
      <c r="J4" s="1008"/>
      <c r="K4" s="1008"/>
      <c r="L4" s="1008"/>
      <c r="M4" s="1008"/>
      <c r="N4" s="1008"/>
      <c r="O4" s="1008"/>
      <c r="P4" s="1008"/>
      <c r="Q4" s="1008"/>
      <c r="R4" s="1008"/>
      <c r="S4" s="1008"/>
      <c r="T4" s="1008"/>
      <c r="U4" s="1008"/>
      <c r="V4" s="1008"/>
      <c r="W4" s="1008"/>
      <c r="X4" s="1008"/>
    </row>
    <row r="5" spans="1:223" s="271" customFormat="1" ht="15" customHeight="1" thickTop="1" thickBot="1" x14ac:dyDescent="0.25">
      <c r="A5" s="960" t="s">
        <v>210</v>
      </c>
      <c r="B5" s="961"/>
      <c r="C5" s="961"/>
      <c r="D5" s="964" t="s">
        <v>620</v>
      </c>
      <c r="E5" s="965"/>
      <c r="F5" s="966"/>
      <c r="G5" s="943" t="s">
        <v>849</v>
      </c>
      <c r="H5" s="1009"/>
      <c r="I5" s="1009"/>
      <c r="J5" s="1009"/>
      <c r="K5" s="1010"/>
      <c r="L5" s="916" t="s">
        <v>850</v>
      </c>
      <c r="M5" s="917"/>
      <c r="N5" s="917"/>
      <c r="O5" s="917"/>
      <c r="P5" s="917"/>
      <c r="Q5" s="933"/>
      <c r="R5" s="916" t="s">
        <v>851</v>
      </c>
      <c r="S5" s="917"/>
      <c r="T5" s="917"/>
      <c r="U5" s="917"/>
      <c r="V5" s="917"/>
      <c r="W5" s="917"/>
      <c r="X5" s="1006" t="s">
        <v>852</v>
      </c>
      <c r="Y5" s="932"/>
      <c r="Z5" s="932"/>
      <c r="AA5" s="923" t="s">
        <v>211</v>
      </c>
      <c r="AB5" s="924"/>
      <c r="AC5" s="925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0"/>
      <c r="DG5" s="270"/>
      <c r="DH5" s="270"/>
      <c r="DI5" s="270"/>
      <c r="DJ5" s="270"/>
      <c r="DK5" s="270"/>
      <c r="DL5" s="270"/>
      <c r="DM5" s="270"/>
      <c r="DN5" s="270"/>
      <c r="DO5" s="270"/>
      <c r="DP5" s="270"/>
      <c r="DQ5" s="270"/>
      <c r="DR5" s="270"/>
      <c r="DS5" s="270"/>
      <c r="DT5" s="270"/>
      <c r="DU5" s="270"/>
      <c r="DV5" s="270"/>
      <c r="DW5" s="270"/>
      <c r="DX5" s="270"/>
      <c r="DY5" s="270"/>
      <c r="DZ5" s="270"/>
      <c r="EA5" s="270"/>
      <c r="EB5" s="270"/>
      <c r="EC5" s="270"/>
      <c r="ED5" s="270"/>
      <c r="EE5" s="270"/>
      <c r="EF5" s="270"/>
      <c r="EG5" s="270"/>
      <c r="EH5" s="270"/>
      <c r="EI5" s="270"/>
      <c r="EJ5" s="270"/>
      <c r="EK5" s="270"/>
      <c r="EL5" s="270"/>
      <c r="EM5" s="270"/>
      <c r="EN5" s="270"/>
      <c r="EO5" s="270"/>
      <c r="EP5" s="270"/>
      <c r="EQ5" s="270"/>
      <c r="ER5" s="270"/>
      <c r="ES5" s="270"/>
      <c r="ET5" s="270"/>
      <c r="EU5" s="270"/>
      <c r="EV5" s="270"/>
      <c r="EW5" s="270"/>
      <c r="EX5" s="270"/>
      <c r="EY5" s="270"/>
      <c r="EZ5" s="270"/>
      <c r="FA5" s="270"/>
      <c r="FB5" s="270"/>
      <c r="FC5" s="270"/>
      <c r="FD5" s="270"/>
      <c r="FE5" s="270"/>
      <c r="FF5" s="270"/>
      <c r="FG5" s="270"/>
      <c r="FH5" s="270"/>
      <c r="FI5" s="270"/>
      <c r="FJ5" s="270"/>
      <c r="FK5" s="270"/>
      <c r="FL5" s="270"/>
      <c r="FM5" s="270"/>
      <c r="FN5" s="270"/>
      <c r="FO5" s="270"/>
      <c r="FP5" s="270"/>
      <c r="FQ5" s="270"/>
      <c r="FR5" s="270"/>
      <c r="FS5" s="270"/>
      <c r="FT5" s="270"/>
      <c r="FU5" s="270"/>
      <c r="FV5" s="270"/>
      <c r="FW5" s="270"/>
      <c r="FX5" s="270"/>
      <c r="FY5" s="270"/>
      <c r="FZ5" s="270"/>
      <c r="GA5" s="270"/>
      <c r="GB5" s="270"/>
      <c r="GC5" s="270"/>
      <c r="GD5" s="270"/>
      <c r="GE5" s="270"/>
      <c r="GF5" s="270"/>
      <c r="GG5" s="270"/>
      <c r="GH5" s="270"/>
      <c r="GI5" s="270"/>
      <c r="GJ5" s="270"/>
      <c r="GK5" s="270"/>
      <c r="GL5" s="270"/>
      <c r="GM5" s="270"/>
      <c r="GN5" s="270"/>
      <c r="GO5" s="270"/>
      <c r="GP5" s="270"/>
      <c r="GQ5" s="270"/>
      <c r="GR5" s="270"/>
      <c r="GS5" s="270"/>
      <c r="GT5" s="270"/>
      <c r="GU5" s="270"/>
      <c r="GV5" s="270"/>
      <c r="GW5" s="270"/>
      <c r="GX5" s="270"/>
      <c r="GY5" s="270"/>
      <c r="GZ5" s="270"/>
      <c r="HA5" s="270"/>
      <c r="HB5" s="270"/>
      <c r="HC5" s="270"/>
      <c r="HD5" s="270"/>
      <c r="HE5" s="270"/>
      <c r="HF5" s="270"/>
      <c r="HG5" s="270"/>
      <c r="HH5" s="270"/>
      <c r="HI5" s="270"/>
      <c r="HJ5" s="270"/>
      <c r="HK5" s="270"/>
      <c r="HL5" s="270"/>
      <c r="HM5" s="270"/>
      <c r="HN5" s="270"/>
      <c r="HO5" s="270"/>
    </row>
    <row r="6" spans="1:223" s="270" customFormat="1" ht="16.5" customHeight="1" thickBot="1" x14ac:dyDescent="0.25">
      <c r="A6" s="962"/>
      <c r="B6" s="963"/>
      <c r="C6" s="963"/>
      <c r="D6" s="347" t="s">
        <v>212</v>
      </c>
      <c r="E6" s="348" t="s">
        <v>198</v>
      </c>
      <c r="F6" s="349" t="s">
        <v>213</v>
      </c>
      <c r="G6" s="1011"/>
      <c r="H6" s="1012"/>
      <c r="I6" s="1012"/>
      <c r="J6" s="1012"/>
      <c r="K6" s="1013"/>
      <c r="L6" s="919"/>
      <c r="M6" s="920"/>
      <c r="N6" s="920"/>
      <c r="O6" s="920"/>
      <c r="P6" s="920"/>
      <c r="Q6" s="934"/>
      <c r="R6" s="919"/>
      <c r="S6" s="920"/>
      <c r="T6" s="920"/>
      <c r="U6" s="920"/>
      <c r="V6" s="920"/>
      <c r="W6" s="920"/>
      <c r="X6" s="350" t="s">
        <v>212</v>
      </c>
      <c r="Y6" s="351" t="s">
        <v>198</v>
      </c>
      <c r="Z6" s="352" t="s">
        <v>213</v>
      </c>
      <c r="AA6" s="353" t="s">
        <v>212</v>
      </c>
      <c r="AB6" s="354" t="s">
        <v>198</v>
      </c>
      <c r="AC6" s="355" t="s">
        <v>213</v>
      </c>
    </row>
    <row r="7" spans="1:223" s="272" customFormat="1" ht="26.25" customHeight="1" x14ac:dyDescent="0.2">
      <c r="A7" s="356"/>
      <c r="B7" s="357"/>
      <c r="C7" s="358"/>
      <c r="D7" s="359"/>
      <c r="E7" s="357"/>
      <c r="F7" s="360"/>
      <c r="G7" s="1014" t="s">
        <v>853</v>
      </c>
      <c r="H7" s="951"/>
      <c r="I7" s="951"/>
      <c r="J7" s="364">
        <v>80739</v>
      </c>
      <c r="K7" s="904">
        <f>SUM(J7:J20)</f>
        <v>209049</v>
      </c>
      <c r="L7" s="987" t="s">
        <v>237</v>
      </c>
      <c r="M7" s="941"/>
      <c r="N7" s="941"/>
      <c r="O7" s="941"/>
      <c r="P7" s="361">
        <v>1365</v>
      </c>
      <c r="Q7" s="1015">
        <f>SUM(P7:P20)</f>
        <v>110740</v>
      </c>
      <c r="R7" s="906" t="s">
        <v>854</v>
      </c>
      <c r="S7" s="907"/>
      <c r="T7" s="907"/>
      <c r="U7" s="907"/>
      <c r="V7" s="364">
        <v>248</v>
      </c>
      <c r="W7" s="974">
        <f>SUM(V7:V20)</f>
        <v>573394</v>
      </c>
      <c r="X7" s="365"/>
      <c r="Y7" s="366"/>
      <c r="Z7" s="367"/>
      <c r="AA7" s="368"/>
      <c r="AB7" s="369"/>
      <c r="AC7" s="370"/>
    </row>
    <row r="8" spans="1:223" s="272" customFormat="1" ht="30.75" customHeight="1" x14ac:dyDescent="0.2">
      <c r="A8" s="356"/>
      <c r="B8" s="357"/>
      <c r="C8" s="359"/>
      <c r="D8" s="359"/>
      <c r="E8" s="357"/>
      <c r="F8" s="360"/>
      <c r="G8" s="1019" t="s">
        <v>857</v>
      </c>
      <c r="H8" s="1020"/>
      <c r="I8" s="1020"/>
      <c r="J8" s="364">
        <v>7276</v>
      </c>
      <c r="K8" s="905"/>
      <c r="L8" s="922" t="s">
        <v>855</v>
      </c>
      <c r="M8" s="908"/>
      <c r="N8" s="908"/>
      <c r="O8" s="908"/>
      <c r="P8" s="364">
        <v>2960</v>
      </c>
      <c r="Q8" s="1016"/>
      <c r="R8" s="922" t="s">
        <v>856</v>
      </c>
      <c r="S8" s="908"/>
      <c r="T8" s="908"/>
      <c r="U8" s="908"/>
      <c r="V8" s="364">
        <v>1007</v>
      </c>
      <c r="W8" s="936"/>
      <c r="X8" s="371"/>
      <c r="Y8" s="366"/>
      <c r="Z8" s="372"/>
      <c r="AA8" s="356"/>
      <c r="AB8" s="373"/>
      <c r="AC8" s="374"/>
    </row>
    <row r="9" spans="1:223" s="272" customFormat="1" ht="24.75" customHeight="1" x14ac:dyDescent="0.2">
      <c r="A9" s="375"/>
      <c r="B9" s="376"/>
      <c r="C9" s="377" t="s">
        <v>787</v>
      </c>
      <c r="D9" s="378">
        <v>867751</v>
      </c>
      <c r="E9" s="379">
        <v>826738</v>
      </c>
      <c r="F9" s="380">
        <f>SUM(D9:E9)</f>
        <v>1694489</v>
      </c>
      <c r="G9" s="935" t="s">
        <v>860</v>
      </c>
      <c r="H9" s="908"/>
      <c r="I9" s="908"/>
      <c r="J9" s="364">
        <v>10499</v>
      </c>
      <c r="K9" s="905"/>
      <c r="L9" s="906" t="s">
        <v>858</v>
      </c>
      <c r="M9" s="907"/>
      <c r="N9" s="907"/>
      <c r="O9" s="907"/>
      <c r="P9" s="364">
        <v>12792</v>
      </c>
      <c r="Q9" s="1016"/>
      <c r="R9" s="906" t="s">
        <v>859</v>
      </c>
      <c r="S9" s="907"/>
      <c r="T9" s="907"/>
      <c r="U9" s="907"/>
      <c r="V9" s="364">
        <v>97395</v>
      </c>
      <c r="W9" s="936"/>
      <c r="X9" s="381"/>
      <c r="Y9" s="382"/>
      <c r="Z9" s="372"/>
      <c r="AA9" s="383"/>
      <c r="AB9" s="384"/>
      <c r="AC9" s="385"/>
    </row>
    <row r="10" spans="1:223" s="272" customFormat="1" ht="28.5" customHeight="1" x14ac:dyDescent="0.2">
      <c r="A10" s="386"/>
      <c r="B10" s="387"/>
      <c r="C10" s="388"/>
      <c r="D10" s="388"/>
      <c r="E10" s="357"/>
      <c r="F10" s="360"/>
      <c r="G10" s="908" t="s">
        <v>974</v>
      </c>
      <c r="H10" s="908"/>
      <c r="I10" s="908"/>
      <c r="J10" s="364">
        <v>14804</v>
      </c>
      <c r="K10" s="905"/>
      <c r="L10" s="922" t="s">
        <v>861</v>
      </c>
      <c r="M10" s="908"/>
      <c r="N10" s="908"/>
      <c r="O10" s="908"/>
      <c r="P10" s="364">
        <v>18000</v>
      </c>
      <c r="Q10" s="1016"/>
      <c r="R10" s="906" t="s">
        <v>862</v>
      </c>
      <c r="S10" s="907"/>
      <c r="T10" s="907"/>
      <c r="U10" s="907"/>
      <c r="V10" s="364">
        <v>4943</v>
      </c>
      <c r="W10" s="936"/>
      <c r="X10" s="381"/>
      <c r="Y10" s="382"/>
      <c r="Z10" s="372"/>
      <c r="AA10" s="383"/>
      <c r="AB10" s="384"/>
      <c r="AC10" s="385"/>
    </row>
    <row r="11" spans="1:223" s="272" customFormat="1" ht="24.75" customHeight="1" x14ac:dyDescent="0.2">
      <c r="A11" s="386"/>
      <c r="B11" s="387"/>
      <c r="C11" s="388"/>
      <c r="D11" s="388"/>
      <c r="E11" s="357"/>
      <c r="F11" s="360"/>
      <c r="G11" s="935" t="s">
        <v>515</v>
      </c>
      <c r="H11" s="908"/>
      <c r="I11" s="908"/>
      <c r="J11" s="364">
        <v>25652</v>
      </c>
      <c r="K11" s="905"/>
      <c r="L11" s="922" t="s">
        <v>981</v>
      </c>
      <c r="M11" s="908"/>
      <c r="N11" s="908"/>
      <c r="O11" s="908"/>
      <c r="P11" s="364">
        <v>303</v>
      </c>
      <c r="Q11" s="1016"/>
      <c r="R11" s="922" t="s">
        <v>863</v>
      </c>
      <c r="S11" s="908"/>
      <c r="T11" s="908"/>
      <c r="U11" s="908"/>
      <c r="V11" s="364">
        <f>168900+1970</f>
        <v>170870</v>
      </c>
      <c r="W11" s="936"/>
      <c r="X11" s="381"/>
      <c r="Y11" s="382"/>
      <c r="Z11" s="372"/>
      <c r="AA11" s="383"/>
      <c r="AB11" s="384"/>
      <c r="AC11" s="385"/>
    </row>
    <row r="12" spans="1:223" s="272" customFormat="1" ht="25.5" customHeight="1" x14ac:dyDescent="0.2">
      <c r="A12" s="386"/>
      <c r="B12" s="387"/>
      <c r="C12" s="388"/>
      <c r="D12" s="388"/>
      <c r="E12" s="357"/>
      <c r="F12" s="390"/>
      <c r="G12" s="907" t="s">
        <v>973</v>
      </c>
      <c r="H12" s="907"/>
      <c r="I12" s="907"/>
      <c r="J12" s="364">
        <v>70079</v>
      </c>
      <c r="K12" s="905"/>
      <c r="L12" s="922" t="s">
        <v>982</v>
      </c>
      <c r="M12" s="908"/>
      <c r="N12" s="908"/>
      <c r="O12" s="908"/>
      <c r="P12" s="364">
        <v>24353</v>
      </c>
      <c r="Q12" s="1016"/>
      <c r="R12" s="922" t="s">
        <v>238</v>
      </c>
      <c r="S12" s="908"/>
      <c r="T12" s="908"/>
      <c r="U12" s="908"/>
      <c r="V12" s="364">
        <f>5550+500</f>
        <v>6050</v>
      </c>
      <c r="W12" s="936"/>
      <c r="X12" s="391">
        <f>SUM(W7,Q7,K7)</f>
        <v>893183</v>
      </c>
      <c r="Y12" s="392">
        <f>SUM(Q21,W21,K21)</f>
        <v>819855</v>
      </c>
      <c r="Z12" s="393">
        <f>SUM(Y12,X12)</f>
        <v>1713038</v>
      </c>
      <c r="AA12" s="391">
        <f>X12-D9</f>
        <v>25432</v>
      </c>
      <c r="AB12" s="392">
        <f>Y12-E9</f>
        <v>-6883</v>
      </c>
      <c r="AC12" s="394">
        <f>SUM(AA12:AB12)</f>
        <v>18549</v>
      </c>
    </row>
    <row r="13" spans="1:223" s="270" customFormat="1" ht="27.75" customHeight="1" x14ac:dyDescent="0.2">
      <c r="A13" s="395"/>
      <c r="B13" s="396"/>
      <c r="C13" s="397"/>
      <c r="D13" s="397"/>
      <c r="E13" s="398"/>
      <c r="F13" s="399"/>
      <c r="G13" s="935"/>
      <c r="H13" s="908"/>
      <c r="I13" s="908"/>
      <c r="J13" s="364"/>
      <c r="K13" s="905"/>
      <c r="L13" s="922" t="s">
        <v>983</v>
      </c>
      <c r="M13" s="908"/>
      <c r="N13" s="908"/>
      <c r="O13" s="908"/>
      <c r="P13" s="364">
        <v>24756</v>
      </c>
      <c r="Q13" s="1016"/>
      <c r="R13" s="906" t="s">
        <v>864</v>
      </c>
      <c r="S13" s="907"/>
      <c r="T13" s="907"/>
      <c r="U13" s="907"/>
      <c r="V13" s="400">
        <v>512</v>
      </c>
      <c r="W13" s="936"/>
      <c r="X13" s="381"/>
      <c r="Y13" s="382"/>
      <c r="Z13" s="372"/>
      <c r="AA13" s="383"/>
      <c r="AB13" s="384"/>
      <c r="AC13" s="385"/>
    </row>
    <row r="14" spans="1:223" s="270" customFormat="1" ht="16.5" customHeight="1" x14ac:dyDescent="0.2">
      <c r="A14" s="395"/>
      <c r="B14" s="396"/>
      <c r="C14" s="397"/>
      <c r="D14" s="397"/>
      <c r="E14" s="398"/>
      <c r="F14" s="399"/>
      <c r="G14" s="935"/>
      <c r="H14" s="908"/>
      <c r="I14" s="908"/>
      <c r="J14" s="364"/>
      <c r="K14" s="905"/>
      <c r="L14" s="922" t="s">
        <v>244</v>
      </c>
      <c r="M14" s="908"/>
      <c r="N14" s="908"/>
      <c r="O14" s="908"/>
      <c r="P14" s="364"/>
      <c r="Q14" s="1016"/>
      <c r="R14" s="906" t="s">
        <v>876</v>
      </c>
      <c r="S14" s="907"/>
      <c r="T14" s="907"/>
      <c r="U14" s="907"/>
      <c r="V14" s="400">
        <v>447</v>
      </c>
      <c r="W14" s="936"/>
      <c r="X14" s="381"/>
      <c r="Y14" s="382"/>
      <c r="Z14" s="372"/>
      <c r="AA14" s="383"/>
      <c r="AB14" s="384"/>
      <c r="AC14" s="385"/>
    </row>
    <row r="15" spans="1:223" s="270" customFormat="1" ht="12.75" customHeight="1" x14ac:dyDescent="0.2">
      <c r="A15" s="395"/>
      <c r="B15" s="396"/>
      <c r="C15" s="397"/>
      <c r="D15" s="397"/>
      <c r="E15" s="398"/>
      <c r="F15" s="399"/>
      <c r="G15" s="935"/>
      <c r="H15" s="908"/>
      <c r="I15" s="908"/>
      <c r="J15" s="364"/>
      <c r="K15" s="905"/>
      <c r="L15" s="906" t="s">
        <v>975</v>
      </c>
      <c r="M15" s="907"/>
      <c r="N15" s="907"/>
      <c r="O15" s="907"/>
      <c r="P15" s="401">
        <v>842</v>
      </c>
      <c r="Q15" s="1016"/>
      <c r="R15" s="906" t="s">
        <v>215</v>
      </c>
      <c r="S15" s="907"/>
      <c r="T15" s="907"/>
      <c r="U15" s="907"/>
      <c r="V15" s="400">
        <v>127</v>
      </c>
      <c r="W15" s="936"/>
      <c r="X15" s="381"/>
      <c r="Y15" s="382"/>
      <c r="Z15" s="372"/>
      <c r="AA15" s="383"/>
      <c r="AB15" s="384"/>
      <c r="AC15" s="385"/>
    </row>
    <row r="16" spans="1:223" s="270" customFormat="1" ht="12.75" customHeight="1" x14ac:dyDescent="0.2">
      <c r="A16" s="395"/>
      <c r="B16" s="396"/>
      <c r="C16" s="397"/>
      <c r="D16" s="397"/>
      <c r="E16" s="398"/>
      <c r="F16" s="399"/>
      <c r="J16" s="569"/>
      <c r="K16" s="905"/>
      <c r="L16" s="906" t="s">
        <v>976</v>
      </c>
      <c r="M16" s="907"/>
      <c r="N16" s="907"/>
      <c r="O16" s="907"/>
      <c r="P16" s="423">
        <v>14668</v>
      </c>
      <c r="Q16" s="1016"/>
      <c r="R16" s="906" t="s">
        <v>985</v>
      </c>
      <c r="S16" s="907"/>
      <c r="T16" s="907"/>
      <c r="U16" s="907"/>
      <c r="V16" s="400">
        <v>364</v>
      </c>
      <c r="W16" s="936"/>
      <c r="X16" s="381"/>
      <c r="Y16" s="382"/>
      <c r="Z16" s="372"/>
      <c r="AA16" s="383"/>
      <c r="AB16" s="384"/>
      <c r="AC16" s="385"/>
    </row>
    <row r="17" spans="1:223" s="270" customFormat="1" ht="12.75" customHeight="1" x14ac:dyDescent="0.2">
      <c r="A17" s="395"/>
      <c r="B17" s="396"/>
      <c r="C17" s="397"/>
      <c r="D17" s="397"/>
      <c r="E17" s="398"/>
      <c r="F17" s="399"/>
      <c r="G17" s="978"/>
      <c r="H17" s="915"/>
      <c r="I17" s="915"/>
      <c r="J17" s="569"/>
      <c r="K17" s="905"/>
      <c r="L17" s="906" t="s">
        <v>980</v>
      </c>
      <c r="M17" s="907"/>
      <c r="N17" s="907"/>
      <c r="O17" s="907"/>
      <c r="P17" s="423">
        <f>9130-5429</f>
        <v>3701</v>
      </c>
      <c r="Q17" s="1016"/>
      <c r="R17" s="906" t="s">
        <v>866</v>
      </c>
      <c r="S17" s="907"/>
      <c r="T17" s="907"/>
      <c r="U17" s="907"/>
      <c r="V17" s="400">
        <v>270</v>
      </c>
      <c r="W17" s="936"/>
      <c r="X17" s="381"/>
      <c r="Y17" s="382"/>
      <c r="Z17" s="372"/>
      <c r="AA17" s="383"/>
      <c r="AB17" s="384"/>
      <c r="AC17" s="385"/>
    </row>
    <row r="18" spans="1:223" s="270" customFormat="1" ht="26.25" customHeight="1" x14ac:dyDescent="0.2">
      <c r="A18" s="395"/>
      <c r="B18" s="396"/>
      <c r="C18" s="397"/>
      <c r="D18" s="397"/>
      <c r="E18" s="398"/>
      <c r="F18" s="399"/>
      <c r="G18" s="571"/>
      <c r="H18" s="570"/>
      <c r="I18" s="570"/>
      <c r="J18" s="569"/>
      <c r="K18" s="905"/>
      <c r="L18" s="922" t="s">
        <v>1067</v>
      </c>
      <c r="M18" s="908"/>
      <c r="N18" s="908"/>
      <c r="O18" s="908"/>
      <c r="P18" s="423">
        <v>7000</v>
      </c>
      <c r="Q18" s="1016"/>
      <c r="R18" s="922" t="s">
        <v>239</v>
      </c>
      <c r="S18" s="908"/>
      <c r="T18" s="908"/>
      <c r="U18" s="908"/>
      <c r="V18" s="401">
        <v>2964</v>
      </c>
      <c r="W18" s="936"/>
      <c r="X18" s="381"/>
      <c r="Y18" s="382"/>
      <c r="Z18" s="372"/>
      <c r="AA18" s="383"/>
      <c r="AB18" s="384"/>
      <c r="AC18" s="385"/>
    </row>
    <row r="19" spans="1:223" s="270" customFormat="1" ht="14.25" customHeight="1" x14ac:dyDescent="0.2">
      <c r="A19" s="395"/>
      <c r="B19" s="396"/>
      <c r="C19" s="397"/>
      <c r="D19" s="397"/>
      <c r="E19" s="398"/>
      <c r="F19" s="399"/>
      <c r="G19" s="571"/>
      <c r="H19" s="570"/>
      <c r="I19" s="570"/>
      <c r="J19" s="569"/>
      <c r="K19" s="905"/>
      <c r="L19" s="922" t="s">
        <v>1068</v>
      </c>
      <c r="M19" s="908"/>
      <c r="N19" s="908"/>
      <c r="O19" s="908"/>
      <c r="P19" s="423">
        <f>96734-96734</f>
        <v>0</v>
      </c>
      <c r="Q19" s="1016"/>
      <c r="R19" s="362" t="s">
        <v>521</v>
      </c>
      <c r="S19" s="363"/>
      <c r="T19" s="363"/>
      <c r="U19" s="363"/>
      <c r="V19" s="401">
        <v>284628</v>
      </c>
      <c r="W19" s="936"/>
      <c r="X19" s="381"/>
      <c r="Y19" s="382"/>
      <c r="Z19" s="372"/>
      <c r="AA19" s="383"/>
      <c r="AB19" s="384"/>
      <c r="AC19" s="385"/>
    </row>
    <row r="20" spans="1:223" s="270" customFormat="1" ht="14.25" customHeight="1" thickBot="1" x14ac:dyDescent="0.25">
      <c r="A20" s="395"/>
      <c r="B20" s="396"/>
      <c r="C20" s="397"/>
      <c r="D20" s="397"/>
      <c r="E20" s="398"/>
      <c r="F20" s="399"/>
      <c r="G20" s="571"/>
      <c r="H20" s="570"/>
      <c r="I20" s="570"/>
      <c r="J20" s="569"/>
      <c r="K20" s="905"/>
      <c r="L20" s="1018"/>
      <c r="M20" s="939"/>
      <c r="N20" s="939"/>
      <c r="O20" s="939"/>
      <c r="P20" s="423"/>
      <c r="Q20" s="1017"/>
      <c r="R20" s="922" t="s">
        <v>987</v>
      </c>
      <c r="S20" s="908"/>
      <c r="T20" s="908"/>
      <c r="U20" s="908"/>
      <c r="V20" s="401">
        <v>3569</v>
      </c>
      <c r="W20" s="936"/>
      <c r="X20" s="381"/>
      <c r="Y20" s="382"/>
      <c r="Z20" s="372"/>
      <c r="AA20" s="383"/>
      <c r="AB20" s="384"/>
      <c r="AC20" s="385"/>
    </row>
    <row r="21" spans="1:223" s="270" customFormat="1" ht="12.75" customHeight="1" x14ac:dyDescent="0.2">
      <c r="A21" s="395"/>
      <c r="B21" s="396"/>
      <c r="C21" s="397"/>
      <c r="D21" s="397"/>
      <c r="E21" s="402" t="s">
        <v>216</v>
      </c>
      <c r="F21" s="399"/>
      <c r="G21" s="988"/>
      <c r="H21" s="989"/>
      <c r="I21" s="989"/>
      <c r="J21" s="572"/>
      <c r="K21" s="904">
        <f>SUM(J21:J26)</f>
        <v>0</v>
      </c>
      <c r="L21" s="987" t="s">
        <v>977</v>
      </c>
      <c r="M21" s="941"/>
      <c r="N21" s="941"/>
      <c r="O21" s="941"/>
      <c r="P21" s="403">
        <v>40540</v>
      </c>
      <c r="Q21" s="904">
        <f>SUM(P21:P26)</f>
        <v>776583</v>
      </c>
      <c r="R21" s="987" t="s">
        <v>217</v>
      </c>
      <c r="S21" s="941"/>
      <c r="T21" s="941"/>
      <c r="U21" s="941"/>
      <c r="V21" s="404">
        <f>16000+10000+17272</f>
        <v>43272</v>
      </c>
      <c r="W21" s="974">
        <f>SUM(V21:V26)</f>
        <v>43272</v>
      </c>
      <c r="X21" s="381"/>
      <c r="Y21" s="382"/>
      <c r="Z21" s="372"/>
      <c r="AA21" s="383"/>
      <c r="AB21" s="384"/>
      <c r="AC21" s="385"/>
    </row>
    <row r="22" spans="1:223" s="270" customFormat="1" ht="12.75" customHeight="1" x14ac:dyDescent="0.2">
      <c r="A22" s="395"/>
      <c r="B22" s="396"/>
      <c r="C22" s="397"/>
      <c r="D22" s="397"/>
      <c r="E22" s="398"/>
      <c r="F22" s="399"/>
      <c r="G22" s="978"/>
      <c r="H22" s="915"/>
      <c r="I22" s="915"/>
      <c r="J22" s="573"/>
      <c r="K22" s="905"/>
      <c r="L22" s="906" t="s">
        <v>519</v>
      </c>
      <c r="M22" s="907"/>
      <c r="N22" s="907"/>
      <c r="O22" s="907"/>
      <c r="P22" s="423">
        <v>172401</v>
      </c>
      <c r="Q22" s="975"/>
      <c r="R22" s="362"/>
      <c r="S22" s="363"/>
      <c r="T22" s="363"/>
      <c r="U22" s="363"/>
      <c r="V22" s="401"/>
      <c r="W22" s="998"/>
      <c r="X22" s="381"/>
      <c r="Y22" s="382"/>
      <c r="Z22" s="372"/>
      <c r="AA22" s="383"/>
      <c r="AB22" s="384"/>
      <c r="AC22" s="385"/>
    </row>
    <row r="23" spans="1:223" s="270" customFormat="1" ht="12.75" customHeight="1" x14ac:dyDescent="0.2">
      <c r="A23" s="395"/>
      <c r="B23" s="396"/>
      <c r="C23" s="397"/>
      <c r="D23" s="397"/>
      <c r="E23" s="398"/>
      <c r="F23" s="399"/>
      <c r="G23" s="574"/>
      <c r="H23" s="575"/>
      <c r="I23" s="575"/>
      <c r="J23" s="575"/>
      <c r="K23" s="905"/>
      <c r="L23" s="906" t="s">
        <v>520</v>
      </c>
      <c r="M23" s="907"/>
      <c r="N23" s="907"/>
      <c r="O23" s="907"/>
      <c r="P23" s="423">
        <v>560125</v>
      </c>
      <c r="Q23" s="975"/>
      <c r="R23" s="362"/>
      <c r="S23" s="363"/>
      <c r="T23" s="363"/>
      <c r="U23" s="363"/>
      <c r="V23" s="401"/>
      <c r="W23" s="998"/>
      <c r="X23" s="381"/>
      <c r="Y23" s="382"/>
      <c r="Z23" s="372"/>
      <c r="AA23" s="383"/>
      <c r="AB23" s="384"/>
      <c r="AC23" s="385"/>
    </row>
    <row r="24" spans="1:223" s="270" customFormat="1" ht="13.5" customHeight="1" thickBot="1" x14ac:dyDescent="0.25">
      <c r="A24" s="395"/>
      <c r="B24" s="396"/>
      <c r="C24" s="397"/>
      <c r="D24" s="397"/>
      <c r="E24" s="398"/>
      <c r="F24" s="399"/>
      <c r="G24" s="405"/>
      <c r="H24" s="398"/>
      <c r="I24" s="398"/>
      <c r="J24" s="398"/>
      <c r="K24" s="905"/>
      <c r="L24" s="922" t="s">
        <v>1069</v>
      </c>
      <c r="M24" s="908"/>
      <c r="N24" s="908"/>
      <c r="O24" s="908"/>
      <c r="P24" s="973">
        <f>8223-8223</f>
        <v>0</v>
      </c>
      <c r="Q24" s="975"/>
      <c r="R24" s="914"/>
      <c r="S24" s="915"/>
      <c r="T24" s="915"/>
      <c r="U24" s="915"/>
      <c r="V24" s="576"/>
      <c r="W24" s="998"/>
      <c r="X24" s="381"/>
      <c r="Y24" s="382"/>
      <c r="Z24" s="372"/>
      <c r="AA24" s="383"/>
      <c r="AB24" s="384"/>
      <c r="AC24" s="385"/>
    </row>
    <row r="25" spans="1:223" s="274" customFormat="1" ht="15.75" customHeight="1" x14ac:dyDescent="0.2">
      <c r="A25" s="395"/>
      <c r="B25" s="396"/>
      <c r="C25" s="397"/>
      <c r="D25" s="397"/>
      <c r="E25" s="398"/>
      <c r="F25" s="399"/>
      <c r="G25" s="405"/>
      <c r="H25" s="406"/>
      <c r="I25" s="406"/>
      <c r="J25" s="398"/>
      <c r="K25" s="905"/>
      <c r="L25" s="922"/>
      <c r="M25" s="908"/>
      <c r="N25" s="908"/>
      <c r="O25" s="908"/>
      <c r="P25" s="973"/>
      <c r="Q25" s="975"/>
      <c r="R25" s="590"/>
      <c r="S25" s="270"/>
      <c r="T25" s="270"/>
      <c r="U25" s="270"/>
      <c r="V25" s="279"/>
      <c r="W25" s="998"/>
      <c r="X25" s="381"/>
      <c r="Y25" s="382"/>
      <c r="Z25" s="372"/>
      <c r="AA25" s="383"/>
      <c r="AB25" s="384"/>
      <c r="AC25" s="385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</row>
    <row r="26" spans="1:223" s="275" customFormat="1" ht="24.75" customHeight="1" thickBot="1" x14ac:dyDescent="0.25">
      <c r="A26" s="395"/>
      <c r="B26" s="396"/>
      <c r="C26" s="397"/>
      <c r="D26" s="397"/>
      <c r="E26" s="398"/>
      <c r="F26" s="399"/>
      <c r="G26" s="405"/>
      <c r="H26" s="406"/>
      <c r="I26" s="406"/>
      <c r="J26" s="398"/>
      <c r="K26" s="905"/>
      <c r="L26" s="981" t="s">
        <v>1076</v>
      </c>
      <c r="M26" s="982"/>
      <c r="N26" s="982"/>
      <c r="O26" s="982"/>
      <c r="P26" s="398">
        <v>3517</v>
      </c>
      <c r="Q26" s="905"/>
      <c r="R26" s="585"/>
      <c r="S26" s="570"/>
      <c r="T26" s="570"/>
      <c r="U26" s="570"/>
      <c r="V26" s="587"/>
      <c r="W26" s="936"/>
      <c r="X26" s="381"/>
      <c r="Y26" s="382"/>
      <c r="Z26" s="372"/>
      <c r="AA26" s="383"/>
      <c r="AB26" s="384"/>
      <c r="AC26" s="385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</row>
    <row r="27" spans="1:223" ht="19.5" customHeight="1" thickTop="1" thickBot="1" x14ac:dyDescent="0.3">
      <c r="A27" s="407"/>
      <c r="B27" s="992" t="s">
        <v>218</v>
      </c>
      <c r="C27" s="993"/>
      <c r="D27" s="408">
        <v>37371</v>
      </c>
      <c r="E27" s="409">
        <v>161</v>
      </c>
      <c r="F27" s="410">
        <f>SUM(D27:E27)</f>
        <v>37532</v>
      </c>
      <c r="G27" s="990"/>
      <c r="H27" s="991"/>
      <c r="I27" s="991"/>
      <c r="J27" s="584"/>
      <c r="K27" s="411">
        <f>SUM(J27)</f>
        <v>0</v>
      </c>
      <c r="L27" s="979" t="s">
        <v>868</v>
      </c>
      <c r="M27" s="980"/>
      <c r="N27" s="980"/>
      <c r="O27" s="980"/>
      <c r="P27" s="412">
        <v>29532</v>
      </c>
      <c r="Q27" s="411">
        <f>SUM(P27)</f>
        <v>29532</v>
      </c>
      <c r="R27" s="979"/>
      <c r="S27" s="980"/>
      <c r="T27" s="980"/>
      <c r="U27" s="980"/>
      <c r="V27" s="414"/>
      <c r="W27" s="415">
        <f>SUM(V27)</f>
        <v>0</v>
      </c>
      <c r="X27" s="416">
        <f>SUM(W27,Q27,K27)</f>
        <v>29532</v>
      </c>
      <c r="Y27" s="417">
        <v>0</v>
      </c>
      <c r="Z27" s="418">
        <f>SUM(X27:Y27)</f>
        <v>29532</v>
      </c>
      <c r="AA27" s="416">
        <f>X27-D27</f>
        <v>-7839</v>
      </c>
      <c r="AB27" s="417">
        <f>Y27-E27</f>
        <v>-161</v>
      </c>
      <c r="AC27" s="419">
        <f>SUM(AA27:AB27)</f>
        <v>-8000</v>
      </c>
    </row>
    <row r="28" spans="1:223" ht="24.75" customHeight="1" thickTop="1" x14ac:dyDescent="0.2">
      <c r="A28" s="420"/>
      <c r="B28" s="398"/>
      <c r="C28" s="421"/>
      <c r="D28" s="422"/>
      <c r="E28" s="422"/>
      <c r="F28" s="399"/>
      <c r="G28" s="571"/>
      <c r="H28" s="570"/>
      <c r="I28" s="570"/>
      <c r="J28" s="663"/>
      <c r="K28" s="976">
        <f>SUM(J28:J29)</f>
        <v>0</v>
      </c>
      <c r="L28" s="906" t="s">
        <v>242</v>
      </c>
      <c r="M28" s="907"/>
      <c r="N28" s="907"/>
      <c r="O28" s="907"/>
      <c r="P28" s="364">
        <v>12456</v>
      </c>
      <c r="Q28" s="976">
        <f>SUM(P28:P29)</f>
        <v>15388</v>
      </c>
      <c r="R28" s="922" t="s">
        <v>986</v>
      </c>
      <c r="S28" s="908"/>
      <c r="T28" s="908"/>
      <c r="U28" s="908"/>
      <c r="V28" s="401">
        <v>7937</v>
      </c>
      <c r="W28" s="999">
        <f>SUM(V28:V29)</f>
        <v>7937</v>
      </c>
      <c r="X28" s="424"/>
      <c r="Y28" s="425"/>
      <c r="Z28" s="597"/>
      <c r="AA28" s="424"/>
      <c r="AB28" s="425"/>
      <c r="AC28" s="426"/>
    </row>
    <row r="29" spans="1:223" ht="22.5" customHeight="1" thickBot="1" x14ac:dyDescent="0.25">
      <c r="A29" s="420"/>
      <c r="B29" s="398"/>
      <c r="C29" s="421"/>
      <c r="D29" s="422"/>
      <c r="E29" s="398"/>
      <c r="F29" s="399"/>
      <c r="G29" s="389"/>
      <c r="H29" s="363"/>
      <c r="I29" s="363"/>
      <c r="J29" s="423"/>
      <c r="K29" s="928"/>
      <c r="L29" s="906" t="s">
        <v>522</v>
      </c>
      <c r="M29" s="907"/>
      <c r="N29" s="907"/>
      <c r="O29" s="907"/>
      <c r="P29" s="364">
        <v>2932</v>
      </c>
      <c r="Q29" s="928"/>
      <c r="R29" s="1001"/>
      <c r="S29" s="1002"/>
      <c r="T29" s="1002"/>
      <c r="U29" s="1002"/>
      <c r="V29" s="586"/>
      <c r="W29" s="1000"/>
      <c r="X29" s="427">
        <f>SUM(W28,Q28,K28)</f>
        <v>23325</v>
      </c>
      <c r="Y29" s="392">
        <f>SUM(Q30,W30,K30)</f>
        <v>464486</v>
      </c>
      <c r="Z29" s="393">
        <f>SUM(X29:Y29)</f>
        <v>487811</v>
      </c>
      <c r="AA29" s="391">
        <f>X29-D30</f>
        <v>-31110</v>
      </c>
      <c r="AB29" s="392">
        <f>Y29-E30</f>
        <v>42235</v>
      </c>
      <c r="AC29" s="394">
        <f>SUM(AA29:AB29)</f>
        <v>11125</v>
      </c>
    </row>
    <row r="30" spans="1:223" ht="27" customHeight="1" x14ac:dyDescent="0.2">
      <c r="A30" s="911" t="s">
        <v>788</v>
      </c>
      <c r="B30" s="912"/>
      <c r="C30" s="913"/>
      <c r="D30" s="429">
        <v>54435</v>
      </c>
      <c r="E30" s="379">
        <v>422251</v>
      </c>
      <c r="F30" s="380">
        <f>SUM(D30:E30)</f>
        <v>476686</v>
      </c>
      <c r="G30" s="577"/>
      <c r="H30" s="578"/>
      <c r="I30" s="578"/>
      <c r="J30" s="579"/>
      <c r="K30" s="904">
        <f>SUM(J30:J33)</f>
        <v>0</v>
      </c>
      <c r="L30" s="987" t="s">
        <v>978</v>
      </c>
      <c r="M30" s="941"/>
      <c r="N30" s="941"/>
      <c r="O30" s="941"/>
      <c r="P30" s="403">
        <v>65850</v>
      </c>
      <c r="Q30" s="904">
        <f>SUM(P30:P33)</f>
        <v>464486</v>
      </c>
      <c r="R30" s="906"/>
      <c r="S30" s="907"/>
      <c r="T30" s="907"/>
      <c r="U30" s="907"/>
      <c r="V30" s="401"/>
      <c r="W30" s="904">
        <f>SUM(V30:V33)</f>
        <v>0</v>
      </c>
      <c r="X30" s="430"/>
      <c r="Y30" s="428"/>
      <c r="Z30" s="393"/>
      <c r="AA30" s="391"/>
      <c r="AB30" s="392"/>
      <c r="AC30" s="385"/>
    </row>
    <row r="31" spans="1:223" ht="27" customHeight="1" x14ac:dyDescent="0.2">
      <c r="A31" s="566"/>
      <c r="B31" s="376"/>
      <c r="C31" s="377"/>
      <c r="D31" s="429"/>
      <c r="E31" s="379"/>
      <c r="F31" s="380"/>
      <c r="G31" s="571"/>
      <c r="H31" s="570"/>
      <c r="I31" s="570"/>
      <c r="J31" s="583"/>
      <c r="K31" s="905"/>
      <c r="L31" s="922" t="s">
        <v>240</v>
      </c>
      <c r="M31" s="908"/>
      <c r="N31" s="908"/>
      <c r="O31" s="908"/>
      <c r="P31" s="423">
        <v>373150</v>
      </c>
      <c r="Q31" s="905"/>
      <c r="R31" s="922"/>
      <c r="S31" s="908"/>
      <c r="T31" s="908"/>
      <c r="U31" s="908"/>
      <c r="V31" s="400"/>
      <c r="W31" s="905"/>
      <c r="X31" s="430"/>
      <c r="Y31" s="428"/>
      <c r="Z31" s="393"/>
      <c r="AA31" s="391"/>
      <c r="AB31" s="392"/>
      <c r="AC31" s="385"/>
    </row>
    <row r="32" spans="1:223" ht="27" customHeight="1" x14ac:dyDescent="0.2">
      <c r="A32" s="566"/>
      <c r="B32" s="376"/>
      <c r="C32" s="377"/>
      <c r="D32" s="429"/>
      <c r="E32" s="379"/>
      <c r="F32" s="380"/>
      <c r="G32" s="571"/>
      <c r="H32" s="570"/>
      <c r="I32" s="570"/>
      <c r="J32" s="583"/>
      <c r="K32" s="905"/>
      <c r="L32" s="922" t="s">
        <v>246</v>
      </c>
      <c r="M32" s="908"/>
      <c r="N32" s="908"/>
      <c r="O32" s="908"/>
      <c r="P32" s="423">
        <v>11195</v>
      </c>
      <c r="Q32" s="905"/>
      <c r="R32" s="692"/>
      <c r="S32" s="692"/>
      <c r="T32" s="692"/>
      <c r="U32" s="692"/>
      <c r="V32" s="400"/>
      <c r="W32" s="905"/>
      <c r="X32" s="430"/>
      <c r="Y32" s="428"/>
      <c r="Z32" s="393"/>
      <c r="AA32" s="391"/>
      <c r="AB32" s="392"/>
      <c r="AC32" s="385"/>
    </row>
    <row r="33" spans="1:223" ht="16.5" customHeight="1" thickBot="1" x14ac:dyDescent="0.25">
      <c r="A33" s="431"/>
      <c r="B33" s="432"/>
      <c r="C33" s="433"/>
      <c r="D33" s="434"/>
      <c r="E33" s="435"/>
      <c r="F33" s="436"/>
      <c r="G33" s="634"/>
      <c r="H33" s="633"/>
      <c r="I33" s="633"/>
      <c r="J33" s="586"/>
      <c r="K33" s="977"/>
      <c r="L33" s="906" t="s">
        <v>984</v>
      </c>
      <c r="M33" s="907"/>
      <c r="N33" s="907"/>
      <c r="O33" s="907"/>
      <c r="P33" s="423">
        <v>14291</v>
      </c>
      <c r="Q33" s="977"/>
      <c r="R33" s="398"/>
      <c r="S33" s="398"/>
      <c r="T33" s="398"/>
      <c r="U33" s="398"/>
      <c r="V33" s="398"/>
      <c r="W33" s="977"/>
      <c r="X33" s="430"/>
      <c r="Y33" s="428"/>
      <c r="Z33" s="372"/>
      <c r="AA33" s="383"/>
      <c r="AB33" s="384"/>
      <c r="AC33" s="437"/>
    </row>
    <row r="34" spans="1:223" ht="25.5" customHeight="1" thickBot="1" x14ac:dyDescent="0.3">
      <c r="A34" s="952" t="s">
        <v>219</v>
      </c>
      <c r="B34" s="953"/>
      <c r="C34" s="954"/>
      <c r="D34" s="438">
        <f>SUM(D8:D33)</f>
        <v>959557</v>
      </c>
      <c r="E34" s="439">
        <f>SUM(E7:E33)</f>
        <v>1249150</v>
      </c>
      <c r="F34" s="440">
        <f>SUM(F7:F33)</f>
        <v>2208707</v>
      </c>
      <c r="G34" s="441"/>
      <c r="H34" s="896" t="s">
        <v>220</v>
      </c>
      <c r="I34" s="897"/>
      <c r="J34" s="898"/>
      <c r="K34" s="442">
        <f>SUM(K7:K33)</f>
        <v>209049</v>
      </c>
      <c r="L34" s="445"/>
      <c r="M34" s="899" t="s">
        <v>221</v>
      </c>
      <c r="N34" s="899"/>
      <c r="O34" s="899"/>
      <c r="P34" s="900"/>
      <c r="Q34" s="444">
        <f>SUM(Q7:Q33)</f>
        <v>1396729</v>
      </c>
      <c r="R34" s="445"/>
      <c r="S34" s="899" t="s">
        <v>222</v>
      </c>
      <c r="T34" s="899"/>
      <c r="U34" s="899"/>
      <c r="V34" s="900"/>
      <c r="W34" s="446">
        <f>SUM(W7:W33)</f>
        <v>624603</v>
      </c>
      <c r="X34" s="447">
        <f>SUM(X7:X33)</f>
        <v>946040</v>
      </c>
      <c r="Y34" s="448">
        <f>SUM(Y7:Y33)</f>
        <v>1284341</v>
      </c>
      <c r="Z34" s="449">
        <f>SUM(X34:Y34)</f>
        <v>2230381</v>
      </c>
      <c r="AA34" s="450">
        <f>SUM(AA10:AA33)</f>
        <v>-13517</v>
      </c>
      <c r="AB34" s="451">
        <f>SUM(AB9:AB33)</f>
        <v>35191</v>
      </c>
      <c r="AC34" s="596">
        <f>SUM(AA34:AB34)</f>
        <v>21674</v>
      </c>
    </row>
    <row r="35" spans="1:223" ht="27.75" customHeight="1" thickTop="1" thickBot="1" x14ac:dyDescent="0.25">
      <c r="A35" s="960" t="s">
        <v>223</v>
      </c>
      <c r="B35" s="944"/>
      <c r="C35" s="985"/>
      <c r="D35" s="964" t="s">
        <v>620</v>
      </c>
      <c r="E35" s="965"/>
      <c r="F35" s="966"/>
      <c r="G35" s="943" t="s">
        <v>849</v>
      </c>
      <c r="H35" s="944"/>
      <c r="I35" s="944"/>
      <c r="J35" s="944"/>
      <c r="K35" s="945"/>
      <c r="L35" s="916" t="s">
        <v>850</v>
      </c>
      <c r="M35" s="944"/>
      <c r="N35" s="944"/>
      <c r="O35" s="944"/>
      <c r="P35" s="944"/>
      <c r="Q35" s="945"/>
      <c r="R35" s="916" t="s">
        <v>851</v>
      </c>
      <c r="S35" s="944"/>
      <c r="T35" s="944"/>
      <c r="U35" s="944"/>
      <c r="V35" s="944"/>
      <c r="W35" s="995"/>
      <c r="X35" s="931" t="s">
        <v>852</v>
      </c>
      <c r="Y35" s="932"/>
      <c r="Z35" s="997"/>
      <c r="AA35" s="994" t="s">
        <v>211</v>
      </c>
      <c r="AB35" s="924"/>
      <c r="AC35" s="925"/>
    </row>
    <row r="36" spans="1:223" s="276" customFormat="1" ht="18.75" customHeight="1" thickTop="1" thickBot="1" x14ac:dyDescent="0.25">
      <c r="A36" s="946"/>
      <c r="B36" s="947"/>
      <c r="C36" s="986"/>
      <c r="D36" s="347" t="s">
        <v>212</v>
      </c>
      <c r="E36" s="348" t="s">
        <v>198</v>
      </c>
      <c r="F36" s="349" t="s">
        <v>213</v>
      </c>
      <c r="G36" s="946"/>
      <c r="H36" s="947"/>
      <c r="I36" s="947"/>
      <c r="J36" s="948"/>
      <c r="K36" s="949"/>
      <c r="L36" s="983"/>
      <c r="M36" s="947"/>
      <c r="N36" s="947"/>
      <c r="O36" s="947"/>
      <c r="P36" s="947"/>
      <c r="Q36" s="949"/>
      <c r="R36" s="983"/>
      <c r="S36" s="947"/>
      <c r="T36" s="947"/>
      <c r="U36" s="947"/>
      <c r="V36" s="947"/>
      <c r="W36" s="996"/>
      <c r="X36" s="452" t="s">
        <v>212</v>
      </c>
      <c r="Y36" s="453" t="s">
        <v>198</v>
      </c>
      <c r="Z36" s="454" t="s">
        <v>213</v>
      </c>
      <c r="AA36" s="455" t="s">
        <v>212</v>
      </c>
      <c r="AB36" s="354" t="s">
        <v>198</v>
      </c>
      <c r="AC36" s="355" t="s">
        <v>213</v>
      </c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0"/>
      <c r="CH36" s="270"/>
      <c r="CI36" s="270"/>
      <c r="CJ36" s="270"/>
      <c r="CK36" s="270"/>
      <c r="CL36" s="270"/>
      <c r="CM36" s="270"/>
      <c r="CN36" s="270"/>
      <c r="CO36" s="270"/>
      <c r="CP36" s="270"/>
      <c r="CQ36" s="270"/>
      <c r="CR36" s="270"/>
      <c r="CS36" s="270"/>
      <c r="CT36" s="270"/>
      <c r="CU36" s="270"/>
      <c r="CV36" s="270"/>
      <c r="CW36" s="270"/>
      <c r="CX36" s="270"/>
      <c r="CY36" s="270"/>
      <c r="CZ36" s="270"/>
      <c r="DA36" s="270"/>
      <c r="DB36" s="270"/>
      <c r="DC36" s="270"/>
      <c r="DD36" s="270"/>
      <c r="DE36" s="270"/>
      <c r="DF36" s="270"/>
      <c r="DG36" s="270"/>
      <c r="DH36" s="270"/>
      <c r="DI36" s="270"/>
      <c r="DJ36" s="270"/>
      <c r="DK36" s="270"/>
      <c r="DL36" s="270"/>
      <c r="DM36" s="270"/>
      <c r="DN36" s="270"/>
      <c r="DO36" s="270"/>
      <c r="DP36" s="270"/>
      <c r="DQ36" s="270"/>
      <c r="DR36" s="270"/>
      <c r="DS36" s="270"/>
      <c r="DT36" s="270"/>
      <c r="DU36" s="270"/>
      <c r="DV36" s="270"/>
      <c r="DW36" s="270"/>
      <c r="DX36" s="270"/>
      <c r="DY36" s="270"/>
      <c r="DZ36" s="270"/>
      <c r="EA36" s="270"/>
      <c r="EB36" s="270"/>
      <c r="EC36" s="270"/>
      <c r="ED36" s="270"/>
      <c r="EE36" s="270"/>
      <c r="EF36" s="270"/>
      <c r="EG36" s="270"/>
      <c r="EH36" s="270"/>
      <c r="EI36" s="270"/>
      <c r="EJ36" s="270"/>
      <c r="EK36" s="270"/>
      <c r="EL36" s="270"/>
      <c r="EM36" s="270"/>
      <c r="EN36" s="270"/>
      <c r="EO36" s="270"/>
      <c r="EP36" s="270"/>
      <c r="EQ36" s="270"/>
      <c r="ER36" s="270"/>
      <c r="ES36" s="270"/>
      <c r="ET36" s="270"/>
      <c r="EU36" s="270"/>
      <c r="EV36" s="270"/>
      <c r="EW36" s="270"/>
      <c r="EX36" s="270"/>
      <c r="EY36" s="270"/>
      <c r="EZ36" s="270"/>
      <c r="FA36" s="270"/>
      <c r="FB36" s="270"/>
      <c r="FC36" s="270"/>
      <c r="FD36" s="270"/>
      <c r="FE36" s="270"/>
      <c r="FF36" s="270"/>
      <c r="FG36" s="270"/>
      <c r="FH36" s="270"/>
      <c r="FI36" s="270"/>
      <c r="FJ36" s="270"/>
      <c r="FK36" s="270"/>
      <c r="FL36" s="270"/>
      <c r="FM36" s="270"/>
      <c r="FN36" s="270"/>
      <c r="FO36" s="270"/>
      <c r="FP36" s="270"/>
      <c r="FQ36" s="270"/>
      <c r="FR36" s="270"/>
      <c r="FS36" s="270"/>
      <c r="FT36" s="270"/>
      <c r="FU36" s="270"/>
      <c r="FV36" s="270"/>
      <c r="FW36" s="270"/>
      <c r="FX36" s="270"/>
      <c r="FY36" s="270"/>
      <c r="FZ36" s="270"/>
      <c r="GA36" s="270"/>
      <c r="GB36" s="270"/>
      <c r="GC36" s="270"/>
      <c r="GD36" s="270"/>
      <c r="GE36" s="270"/>
      <c r="GF36" s="270"/>
      <c r="GG36" s="270"/>
      <c r="GH36" s="270"/>
      <c r="GI36" s="270"/>
      <c r="GJ36" s="270"/>
      <c r="GK36" s="270"/>
      <c r="GL36" s="270"/>
      <c r="GM36" s="270"/>
      <c r="GN36" s="270"/>
      <c r="GO36" s="270"/>
      <c r="GP36" s="270"/>
      <c r="GQ36" s="270"/>
      <c r="GR36" s="270"/>
      <c r="GS36" s="270"/>
      <c r="GT36" s="270"/>
      <c r="GU36" s="270"/>
      <c r="GV36" s="270"/>
      <c r="GW36" s="270"/>
      <c r="GX36" s="270"/>
      <c r="GY36" s="270"/>
      <c r="GZ36" s="270"/>
      <c r="HA36" s="270"/>
      <c r="HB36" s="270"/>
      <c r="HC36" s="270"/>
      <c r="HD36" s="270"/>
      <c r="HE36" s="270"/>
      <c r="HF36" s="270"/>
      <c r="HG36" s="270"/>
      <c r="HH36" s="270"/>
      <c r="HI36" s="270"/>
      <c r="HJ36" s="270"/>
      <c r="HK36" s="270"/>
      <c r="HL36" s="270"/>
      <c r="HM36" s="270"/>
      <c r="HN36" s="270"/>
      <c r="HO36" s="270"/>
    </row>
    <row r="37" spans="1:223" ht="12.75" customHeight="1" x14ac:dyDescent="0.2">
      <c r="A37" s="356"/>
      <c r="B37" s="398"/>
      <c r="C37" s="398"/>
      <c r="D37" s="422"/>
      <c r="E37" s="398"/>
      <c r="F37" s="360"/>
      <c r="G37" s="940" t="s">
        <v>758</v>
      </c>
      <c r="H37" s="941"/>
      <c r="I37" s="941"/>
      <c r="J37" s="752">
        <v>123156</v>
      </c>
      <c r="K37" s="984">
        <f>SUM(J37:J47)</f>
        <v>167375</v>
      </c>
      <c r="L37" s="950" t="s">
        <v>245</v>
      </c>
      <c r="M37" s="951"/>
      <c r="N37" s="951"/>
      <c r="O37" s="951"/>
      <c r="P37" s="972">
        <v>12000</v>
      </c>
      <c r="Q37" s="904">
        <f>SUM(P37:P47)</f>
        <v>12276</v>
      </c>
      <c r="R37" s="922" t="s">
        <v>870</v>
      </c>
      <c r="S37" s="908"/>
      <c r="T37" s="908"/>
      <c r="U37" s="908"/>
      <c r="V37" s="364">
        <v>50</v>
      </c>
      <c r="W37" s="974">
        <f>SUM(V37:V47)</f>
        <v>9430</v>
      </c>
      <c r="X37" s="456"/>
      <c r="Y37" s="457"/>
      <c r="Z37" s="458"/>
      <c r="AA37" s="356"/>
      <c r="AB37" s="373"/>
      <c r="AC37" s="374"/>
    </row>
    <row r="38" spans="1:223" ht="12.75" customHeight="1" x14ac:dyDescent="0.2">
      <c r="A38" s="405"/>
      <c r="B38" s="396"/>
      <c r="C38" s="396"/>
      <c r="D38" s="459"/>
      <c r="E38" s="398"/>
      <c r="F38" s="399"/>
      <c r="G38" s="930" t="s">
        <v>869</v>
      </c>
      <c r="H38" s="907"/>
      <c r="I38" s="907"/>
      <c r="J38" s="676">
        <f>21869+1721</f>
        <v>23590</v>
      </c>
      <c r="K38" s="905"/>
      <c r="L38" s="922"/>
      <c r="M38" s="908"/>
      <c r="N38" s="908"/>
      <c r="O38" s="908"/>
      <c r="P38" s="973"/>
      <c r="Q38" s="905"/>
      <c r="R38" s="906" t="s">
        <v>871</v>
      </c>
      <c r="S38" s="907"/>
      <c r="T38" s="907"/>
      <c r="U38" s="907"/>
      <c r="V38" s="364">
        <v>50</v>
      </c>
      <c r="W38" s="936"/>
      <c r="X38" s="460"/>
      <c r="Y38" s="382"/>
      <c r="Z38" s="372"/>
      <c r="AA38" s="383"/>
      <c r="AB38" s="384"/>
      <c r="AC38" s="385"/>
    </row>
    <row r="39" spans="1:223" ht="12.75" customHeight="1" x14ac:dyDescent="0.2">
      <c r="A39" s="405"/>
      <c r="B39" s="912" t="s">
        <v>787</v>
      </c>
      <c r="C39" s="913"/>
      <c r="D39" s="429">
        <v>179007</v>
      </c>
      <c r="E39" s="379">
        <v>445</v>
      </c>
      <c r="F39" s="380">
        <f>SUM(D39:E39)</f>
        <v>179452</v>
      </c>
      <c r="G39" s="363" t="s">
        <v>872</v>
      </c>
      <c r="H39" s="363"/>
      <c r="I39" s="363"/>
      <c r="J39" s="676">
        <v>13202</v>
      </c>
      <c r="K39" s="905"/>
      <c r="L39" s="922" t="s">
        <v>243</v>
      </c>
      <c r="M39" s="908"/>
      <c r="N39" s="908"/>
      <c r="O39" s="908"/>
      <c r="P39" s="973">
        <v>276</v>
      </c>
      <c r="Q39" s="905"/>
      <c r="R39" s="906" t="s">
        <v>873</v>
      </c>
      <c r="S39" s="907"/>
      <c r="T39" s="907"/>
      <c r="U39" s="907"/>
      <c r="V39" s="591">
        <v>120</v>
      </c>
      <c r="W39" s="936"/>
      <c r="X39" s="460">
        <f>SUM(W37,Q37,K37)</f>
        <v>189081</v>
      </c>
      <c r="Y39" s="382">
        <v>0</v>
      </c>
      <c r="Z39" s="393">
        <f>SUM(Y39,X39)</f>
        <v>189081</v>
      </c>
      <c r="AA39" s="391">
        <f>X39-D39</f>
        <v>10074</v>
      </c>
      <c r="AB39" s="392">
        <f>Y39-E39</f>
        <v>-445</v>
      </c>
      <c r="AC39" s="385">
        <f>SUM(AA39:AB39)</f>
        <v>9629</v>
      </c>
    </row>
    <row r="40" spans="1:223" ht="20.25" customHeight="1" x14ac:dyDescent="0.2">
      <c r="A40" s="405"/>
      <c r="B40" s="396"/>
      <c r="C40" s="396"/>
      <c r="D40" s="461"/>
      <c r="E40" s="462"/>
      <c r="F40" s="463"/>
      <c r="G40" s="363" t="s">
        <v>875</v>
      </c>
      <c r="H40" s="363"/>
      <c r="I40" s="363"/>
      <c r="J40" s="754">
        <v>350</v>
      </c>
      <c r="K40" s="905"/>
      <c r="L40" s="922"/>
      <c r="M40" s="908"/>
      <c r="N40" s="908"/>
      <c r="O40" s="908"/>
      <c r="P40" s="973"/>
      <c r="Q40" s="905"/>
      <c r="R40" s="906" t="s">
        <v>874</v>
      </c>
      <c r="S40" s="907"/>
      <c r="T40" s="907"/>
      <c r="U40" s="907"/>
      <c r="V40" s="364">
        <v>7599</v>
      </c>
      <c r="W40" s="936"/>
      <c r="X40" s="460"/>
      <c r="Y40" s="382"/>
      <c r="Z40" s="372"/>
      <c r="AA40" s="383"/>
      <c r="AB40" s="384"/>
      <c r="AC40" s="385"/>
    </row>
    <row r="41" spans="1:223" ht="14.25" customHeight="1" x14ac:dyDescent="0.2">
      <c r="A41" s="405"/>
      <c r="B41" s="396"/>
      <c r="C41" s="396"/>
      <c r="D41" s="461"/>
      <c r="E41" s="462"/>
      <c r="F41" s="463"/>
      <c r="G41" s="907" t="s">
        <v>973</v>
      </c>
      <c r="H41" s="907"/>
      <c r="I41" s="907"/>
      <c r="J41" s="754">
        <v>7077</v>
      </c>
      <c r="K41" s="905"/>
      <c r="L41" s="362"/>
      <c r="M41" s="363"/>
      <c r="N41" s="363"/>
      <c r="O41" s="363"/>
      <c r="P41" s="364"/>
      <c r="Q41" s="905"/>
      <c r="R41" s="906" t="s">
        <v>247</v>
      </c>
      <c r="S41" s="907"/>
      <c r="T41" s="907"/>
      <c r="U41" s="907"/>
      <c r="V41" s="364">
        <v>1596</v>
      </c>
      <c r="W41" s="936"/>
      <c r="X41" s="460"/>
      <c r="Y41" s="382"/>
      <c r="Z41" s="372"/>
      <c r="AA41" s="383"/>
      <c r="AB41" s="384"/>
      <c r="AC41" s="385"/>
    </row>
    <row r="42" spans="1:223" ht="12.75" customHeight="1" x14ac:dyDescent="0.2">
      <c r="A42" s="405"/>
      <c r="B42" s="396"/>
      <c r="C42" s="396"/>
      <c r="D42" s="461"/>
      <c r="E42" s="462"/>
      <c r="F42" s="463"/>
      <c r="K42" s="905"/>
      <c r="L42" s="362"/>
      <c r="M42" s="363" t="s">
        <v>216</v>
      </c>
      <c r="N42" s="363"/>
      <c r="O42" s="363"/>
      <c r="P42" s="364"/>
      <c r="Q42" s="905"/>
      <c r="R42" s="906" t="s">
        <v>876</v>
      </c>
      <c r="S42" s="907"/>
      <c r="T42" s="907"/>
      <c r="U42" s="907"/>
      <c r="V42" s="400">
        <v>15</v>
      </c>
      <c r="W42" s="936"/>
      <c r="X42" s="460"/>
      <c r="Y42" s="382"/>
      <c r="Z42" s="372"/>
      <c r="AA42" s="383"/>
      <c r="AB42" s="384"/>
      <c r="AC42" s="385"/>
    </row>
    <row r="43" spans="1:223" ht="12.75" customHeight="1" x14ac:dyDescent="0.2">
      <c r="A43" s="405"/>
      <c r="B43" s="396"/>
      <c r="C43" s="396"/>
      <c r="D43" s="461"/>
      <c r="E43" s="462"/>
      <c r="F43" s="463"/>
      <c r="K43" s="905"/>
      <c r="L43" s="362"/>
      <c r="M43" s="363"/>
      <c r="N43" s="363"/>
      <c r="O43" s="363"/>
      <c r="P43" s="364"/>
      <c r="Q43" s="905"/>
      <c r="R43" s="914"/>
      <c r="S43" s="915"/>
      <c r="T43" s="915"/>
      <c r="U43" s="915"/>
      <c r="V43" s="573"/>
      <c r="W43" s="936"/>
      <c r="X43" s="364"/>
      <c r="Y43" s="384"/>
      <c r="Z43" s="372"/>
      <c r="AA43" s="383"/>
      <c r="AB43" s="384"/>
      <c r="AC43" s="385"/>
    </row>
    <row r="44" spans="1:223" ht="13.5" customHeight="1" x14ac:dyDescent="0.2">
      <c r="A44" s="405"/>
      <c r="B44" s="396"/>
      <c r="C44" s="396"/>
      <c r="D44" s="461"/>
      <c r="E44" s="462"/>
      <c r="F44" s="463"/>
      <c r="K44" s="905"/>
      <c r="L44" s="362"/>
      <c r="M44" s="363"/>
      <c r="N44" s="363"/>
      <c r="O44" s="363"/>
      <c r="P44" s="364"/>
      <c r="Q44" s="905"/>
      <c r="R44" s="914"/>
      <c r="S44" s="915"/>
      <c r="T44" s="915"/>
      <c r="U44" s="915"/>
      <c r="V44" s="573"/>
      <c r="W44" s="936"/>
      <c r="X44" s="383"/>
      <c r="Y44" s="384"/>
      <c r="Z44" s="372"/>
      <c r="AA44" s="383"/>
      <c r="AB44" s="384"/>
      <c r="AC44" s="385"/>
    </row>
    <row r="45" spans="1:223" ht="15" x14ac:dyDescent="0.2">
      <c r="A45" s="405"/>
      <c r="B45" s="396"/>
      <c r="C45" s="396"/>
      <c r="D45" s="461"/>
      <c r="E45" s="462"/>
      <c r="F45" s="463"/>
      <c r="K45" s="905"/>
      <c r="L45" s="362"/>
      <c r="M45" s="363"/>
      <c r="N45" s="363"/>
      <c r="O45" s="363"/>
      <c r="P45" s="364"/>
      <c r="Q45" s="905"/>
      <c r="R45" s="914"/>
      <c r="S45" s="915"/>
      <c r="T45" s="915"/>
      <c r="U45" s="915"/>
      <c r="V45" s="573"/>
      <c r="W45" s="936"/>
      <c r="X45" s="383"/>
      <c r="Y45" s="384"/>
      <c r="Z45" s="372"/>
      <c r="AA45" s="383"/>
      <c r="AB45" s="384"/>
      <c r="AC45" s="385"/>
    </row>
    <row r="46" spans="1:223" ht="15" x14ac:dyDescent="0.2">
      <c r="A46" s="405"/>
      <c r="B46" s="396"/>
      <c r="C46" s="396"/>
      <c r="D46" s="461"/>
      <c r="E46" s="462"/>
      <c r="F46" s="463"/>
      <c r="J46" s="569"/>
      <c r="K46" s="905"/>
      <c r="L46" s="362"/>
      <c r="M46" s="363"/>
      <c r="N46" s="363"/>
      <c r="O46" s="363"/>
      <c r="P46" s="364"/>
      <c r="Q46" s="905"/>
      <c r="R46" s="363"/>
      <c r="S46" s="363"/>
      <c r="T46" s="363"/>
      <c r="U46" s="363"/>
      <c r="V46" s="357"/>
      <c r="W46" s="936"/>
      <c r="X46" s="364"/>
      <c r="Y46" s="384"/>
      <c r="Z46" s="372"/>
      <c r="AA46" s="383"/>
      <c r="AB46" s="384"/>
      <c r="AC46" s="385"/>
    </row>
    <row r="47" spans="1:223" ht="16.5" thickBot="1" x14ac:dyDescent="0.25">
      <c r="A47" s="405"/>
      <c r="B47" s="396"/>
      <c r="C47" s="396"/>
      <c r="D47" s="461"/>
      <c r="E47" s="462"/>
      <c r="F47" s="464"/>
      <c r="G47" s="571"/>
      <c r="H47" s="570"/>
      <c r="I47" s="570"/>
      <c r="J47" s="569"/>
      <c r="K47" s="928"/>
      <c r="L47" s="362"/>
      <c r="M47" s="363"/>
      <c r="N47" s="363"/>
      <c r="O47" s="363"/>
      <c r="P47" s="364"/>
      <c r="Q47" s="928"/>
      <c r="R47" s="396"/>
      <c r="S47" s="266"/>
      <c r="T47" s="398"/>
      <c r="U47" s="398"/>
      <c r="V47" s="398"/>
      <c r="W47" s="937"/>
      <c r="X47" s="465"/>
      <c r="Y47" s="466"/>
      <c r="Z47" s="467"/>
      <c r="AA47" s="468"/>
      <c r="AB47" s="466"/>
      <c r="AC47" s="385"/>
    </row>
    <row r="48" spans="1:223" ht="16.5" thickBot="1" x14ac:dyDescent="0.3">
      <c r="A48" s="469"/>
      <c r="B48" s="957" t="s">
        <v>867</v>
      </c>
      <c r="C48" s="958"/>
      <c r="D48" s="470">
        <v>15</v>
      </c>
      <c r="E48" s="471">
        <v>0</v>
      </c>
      <c r="F48" s="472">
        <f>SUM(D48:E48)</f>
        <v>15</v>
      </c>
      <c r="G48" s="959" t="s">
        <v>877</v>
      </c>
      <c r="H48" s="959"/>
      <c r="I48" s="959"/>
      <c r="J48" s="473">
        <v>15</v>
      </c>
      <c r="K48" s="474">
        <f>SUM(J48)</f>
        <v>15</v>
      </c>
      <c r="L48" s="475"/>
      <c r="M48" s="476"/>
      <c r="N48" s="476"/>
      <c r="O48" s="476"/>
      <c r="P48" s="477"/>
      <c r="Q48" s="474">
        <v>0</v>
      </c>
      <c r="R48" s="476"/>
      <c r="S48" s="476"/>
      <c r="T48" s="476"/>
      <c r="U48" s="476"/>
      <c r="V48" s="478"/>
      <c r="W48" s="479">
        <v>0</v>
      </c>
      <c r="X48" s="480">
        <f>SUM(W48,Q48,K48)</f>
        <v>15</v>
      </c>
      <c r="Y48" s="481">
        <v>0</v>
      </c>
      <c r="Z48" s="482">
        <f>SUM(X48:Y48)</f>
        <v>15</v>
      </c>
      <c r="AA48" s="483">
        <f>X48-D48</f>
        <v>0</v>
      </c>
      <c r="AB48" s="484">
        <v>0</v>
      </c>
      <c r="AC48" s="485">
        <v>0</v>
      </c>
    </row>
    <row r="49" spans="1:29" ht="15.75" x14ac:dyDescent="0.25">
      <c r="A49" s="405"/>
      <c r="B49" s="376"/>
      <c r="C49" s="376"/>
      <c r="D49" s="429"/>
      <c r="E49" s="379"/>
      <c r="F49" s="463"/>
      <c r="G49" s="363"/>
      <c r="H49" s="363"/>
      <c r="I49" s="363"/>
      <c r="J49" s="486"/>
      <c r="K49" s="487"/>
      <c r="L49" s="420"/>
      <c r="M49" s="398"/>
      <c r="N49" s="398"/>
      <c r="O49" s="398"/>
      <c r="P49" s="488"/>
      <c r="Q49" s="487"/>
      <c r="R49" s="398"/>
      <c r="S49" s="398"/>
      <c r="T49" s="398"/>
      <c r="U49" s="398"/>
      <c r="V49" s="398"/>
      <c r="W49" s="489"/>
      <c r="X49" s="490"/>
      <c r="Y49" s="428"/>
      <c r="Z49" s="372"/>
      <c r="AA49" s="383"/>
      <c r="AB49" s="384"/>
      <c r="AC49" s="385"/>
    </row>
    <row r="50" spans="1:29" ht="16.5" thickBot="1" x14ac:dyDescent="0.3">
      <c r="A50" s="952" t="s">
        <v>224</v>
      </c>
      <c r="B50" s="953"/>
      <c r="C50" s="954"/>
      <c r="D50" s="438">
        <f>SUM(D37:D49)</f>
        <v>179022</v>
      </c>
      <c r="E50" s="439">
        <f>SUM(E37:E49)</f>
        <v>445</v>
      </c>
      <c r="F50" s="440">
        <f>SUM(F37:F49)</f>
        <v>179467</v>
      </c>
      <c r="G50" s="491"/>
      <c r="H50" s="896" t="s">
        <v>220</v>
      </c>
      <c r="I50" s="897"/>
      <c r="J50" s="898"/>
      <c r="K50" s="444">
        <f>SUM(K37:K48)</f>
        <v>167390</v>
      </c>
      <c r="L50" s="443"/>
      <c r="M50" s="955" t="s">
        <v>221</v>
      </c>
      <c r="N50" s="955"/>
      <c r="O50" s="955"/>
      <c r="P50" s="956"/>
      <c r="Q50" s="444">
        <f>SUM(Q37:Q48)</f>
        <v>12276</v>
      </c>
      <c r="R50" s="441"/>
      <c r="S50" s="955" t="s">
        <v>222</v>
      </c>
      <c r="T50" s="955"/>
      <c r="U50" s="955"/>
      <c r="V50" s="956"/>
      <c r="W50" s="492">
        <f>SUM(W37:W48)</f>
        <v>9430</v>
      </c>
      <c r="X50" s="493">
        <f>SUM(X37:X48)</f>
        <v>189096</v>
      </c>
      <c r="Y50" s="494">
        <v>0</v>
      </c>
      <c r="Z50" s="495">
        <f>SUM(X50:Y50)</f>
        <v>189096</v>
      </c>
      <c r="AA50" s="496">
        <f>X50-D50</f>
        <v>10074</v>
      </c>
      <c r="AB50" s="497">
        <f>Y50-E50</f>
        <v>-445</v>
      </c>
      <c r="AC50" s="498">
        <f>SUM(AA50:AB50)</f>
        <v>9629</v>
      </c>
    </row>
    <row r="51" spans="1:29" ht="17.25" thickTop="1" thickBot="1" x14ac:dyDescent="0.3">
      <c r="A51" s="499"/>
      <c r="B51" s="500"/>
      <c r="C51" s="500"/>
      <c r="D51" s="501"/>
      <c r="E51" s="502"/>
      <c r="F51" s="503"/>
      <c r="G51" s="502"/>
      <c r="H51" s="502"/>
      <c r="I51" s="504"/>
      <c r="J51" s="504"/>
      <c r="K51" s="505"/>
      <c r="L51" s="506"/>
      <c r="M51" s="502"/>
      <c r="N51" s="502"/>
      <c r="O51" s="502"/>
      <c r="P51" s="502"/>
      <c r="Q51" s="505"/>
      <c r="R51" s="502"/>
      <c r="S51" s="502"/>
      <c r="T51" s="502"/>
      <c r="U51" s="502"/>
      <c r="V51" s="502"/>
      <c r="W51" s="507"/>
      <c r="X51" s="508"/>
      <c r="Y51" s="509"/>
      <c r="Z51" s="510"/>
      <c r="AA51" s="499"/>
      <c r="AB51" s="511"/>
      <c r="AC51" s="512"/>
    </row>
    <row r="52" spans="1:29" ht="14.25" thickTop="1" thickBot="1" x14ac:dyDescent="0.25">
      <c r="A52" s="960" t="s">
        <v>886</v>
      </c>
      <c r="B52" s="961"/>
      <c r="C52" s="961"/>
      <c r="D52" s="964" t="s">
        <v>620</v>
      </c>
      <c r="E52" s="965"/>
      <c r="F52" s="966"/>
      <c r="G52" s="943" t="s">
        <v>849</v>
      </c>
      <c r="H52" s="967"/>
      <c r="I52" s="967"/>
      <c r="J52" s="967"/>
      <c r="K52" s="968"/>
      <c r="L52" s="916" t="s">
        <v>850</v>
      </c>
      <c r="M52" s="917"/>
      <c r="N52" s="917"/>
      <c r="O52" s="917"/>
      <c r="P52" s="917"/>
      <c r="Q52" s="933"/>
      <c r="R52" s="916" t="s">
        <v>851</v>
      </c>
      <c r="S52" s="917"/>
      <c r="T52" s="917"/>
      <c r="U52" s="917"/>
      <c r="V52" s="917"/>
      <c r="W52" s="918"/>
      <c r="X52" s="931" t="s">
        <v>852</v>
      </c>
      <c r="Y52" s="932"/>
      <c r="Z52" s="932"/>
      <c r="AA52" s="923" t="s">
        <v>211</v>
      </c>
      <c r="AB52" s="924"/>
      <c r="AC52" s="925"/>
    </row>
    <row r="53" spans="1:29" ht="19.5" customHeight="1" thickBot="1" x14ac:dyDescent="0.25">
      <c r="A53" s="962"/>
      <c r="B53" s="963"/>
      <c r="C53" s="963"/>
      <c r="D53" s="347" t="s">
        <v>212</v>
      </c>
      <c r="E53" s="348" t="s">
        <v>198</v>
      </c>
      <c r="F53" s="349" t="s">
        <v>213</v>
      </c>
      <c r="G53" s="969"/>
      <c r="H53" s="970"/>
      <c r="I53" s="970"/>
      <c r="J53" s="970"/>
      <c r="K53" s="971"/>
      <c r="L53" s="919"/>
      <c r="M53" s="920"/>
      <c r="N53" s="920"/>
      <c r="O53" s="920"/>
      <c r="P53" s="920"/>
      <c r="Q53" s="934"/>
      <c r="R53" s="919"/>
      <c r="S53" s="920"/>
      <c r="T53" s="920"/>
      <c r="U53" s="920"/>
      <c r="V53" s="920"/>
      <c r="W53" s="921"/>
      <c r="X53" s="452" t="s">
        <v>212</v>
      </c>
      <c r="Y53" s="351" t="s">
        <v>198</v>
      </c>
      <c r="Z53" s="352" t="s">
        <v>213</v>
      </c>
      <c r="AA53" s="350" t="s">
        <v>212</v>
      </c>
      <c r="AB53" s="354" t="s">
        <v>198</v>
      </c>
      <c r="AC53" s="355" t="s">
        <v>213</v>
      </c>
    </row>
    <row r="54" spans="1:29" ht="15.75" customHeight="1" x14ac:dyDescent="0.2">
      <c r="A54" s="405"/>
      <c r="B54" s="398"/>
      <c r="C54" s="398"/>
      <c r="D54" s="422"/>
      <c r="E54" s="513"/>
      <c r="F54" s="399"/>
      <c r="G54" s="930" t="s">
        <v>771</v>
      </c>
      <c r="H54" s="907"/>
      <c r="I54" s="907"/>
      <c r="J54" s="423">
        <v>15143</v>
      </c>
      <c r="K54" s="909">
        <f>SUM(J54:J58)</f>
        <v>150467</v>
      </c>
      <c r="L54" s="420"/>
      <c r="M54" s="398"/>
      <c r="N54" s="398"/>
      <c r="O54" s="398"/>
      <c r="P54" s="398"/>
      <c r="Q54" s="514"/>
      <c r="R54" s="513"/>
      <c r="S54" s="513"/>
      <c r="T54" s="513"/>
      <c r="U54" s="513"/>
      <c r="V54" s="513"/>
      <c r="W54" s="515"/>
      <c r="X54" s="398"/>
      <c r="Y54" s="422"/>
      <c r="Z54" s="516"/>
      <c r="AA54" s="405"/>
      <c r="AB54" s="422"/>
      <c r="AC54" s="374"/>
    </row>
    <row r="55" spans="1:29" ht="25.5" customHeight="1" x14ac:dyDescent="0.2">
      <c r="A55" s="405"/>
      <c r="B55" s="398"/>
      <c r="C55" s="398"/>
      <c r="D55" s="422"/>
      <c r="E55" s="513"/>
      <c r="F55" s="399"/>
      <c r="G55" s="908" t="s">
        <v>241</v>
      </c>
      <c r="H55" s="908"/>
      <c r="I55" s="908"/>
      <c r="J55" s="423">
        <v>7408</v>
      </c>
      <c r="K55" s="910"/>
      <c r="L55" s="926"/>
      <c r="M55" s="927"/>
      <c r="N55" s="927"/>
      <c r="O55" s="927"/>
      <c r="P55" s="569"/>
      <c r="Q55" s="905">
        <f>SUM(P55)</f>
        <v>0</v>
      </c>
      <c r="R55" s="922" t="s">
        <v>878</v>
      </c>
      <c r="S55" s="929"/>
      <c r="T55" s="929"/>
      <c r="U55" s="929"/>
      <c r="V55" s="592">
        <f>8722-712</f>
        <v>8010</v>
      </c>
      <c r="W55" s="936">
        <f>SUM(V55:V58)</f>
        <v>9424</v>
      </c>
      <c r="X55" s="364"/>
      <c r="Y55" s="384"/>
      <c r="Z55" s="372"/>
      <c r="AA55" s="383"/>
      <c r="AB55" s="384"/>
      <c r="AC55" s="385"/>
    </row>
    <row r="56" spans="1:29" ht="28.5" customHeight="1" x14ac:dyDescent="0.2">
      <c r="A56" s="901" t="s">
        <v>787</v>
      </c>
      <c r="B56" s="902"/>
      <c r="C56" s="903"/>
      <c r="D56" s="429">
        <v>190990</v>
      </c>
      <c r="E56" s="379">
        <v>204</v>
      </c>
      <c r="F56" s="380">
        <f>SUM(D56:E56)</f>
        <v>191194</v>
      </c>
      <c r="G56" s="935" t="s">
        <v>766</v>
      </c>
      <c r="H56" s="908"/>
      <c r="I56" s="908"/>
      <c r="J56" s="423">
        <v>110979</v>
      </c>
      <c r="K56" s="910"/>
      <c r="L56" s="420"/>
      <c r="M56" s="398"/>
      <c r="N56" s="398"/>
      <c r="O56" s="398"/>
      <c r="P56" s="398"/>
      <c r="Q56" s="905"/>
      <c r="R56" s="906" t="s">
        <v>879</v>
      </c>
      <c r="S56" s="907"/>
      <c r="T56" s="907"/>
      <c r="U56" s="907"/>
      <c r="V56" s="592">
        <v>108</v>
      </c>
      <c r="W56" s="936"/>
      <c r="X56" s="518">
        <f>SUM(W55+Q55+K54)</f>
        <v>159891</v>
      </c>
      <c r="Y56" s="392">
        <v>0</v>
      </c>
      <c r="Z56" s="393">
        <f>SUM(X56:Y56)</f>
        <v>159891</v>
      </c>
      <c r="AA56" s="519">
        <f>X56-D56</f>
        <v>-31099</v>
      </c>
      <c r="AB56" s="392">
        <f>Y56-E56</f>
        <v>-204</v>
      </c>
      <c r="AC56" s="394">
        <f>SUM(AA56:AB56)</f>
        <v>-31303</v>
      </c>
    </row>
    <row r="57" spans="1:29" ht="14.25" customHeight="1" x14ac:dyDescent="0.2">
      <c r="A57" s="375"/>
      <c r="B57" s="346"/>
      <c r="C57" s="273"/>
      <c r="D57" s="429"/>
      <c r="E57" s="379"/>
      <c r="F57" s="380"/>
      <c r="G57" s="908" t="s">
        <v>516</v>
      </c>
      <c r="H57" s="908"/>
      <c r="I57" s="908"/>
      <c r="J57" s="423">
        <v>12835</v>
      </c>
      <c r="K57" s="910"/>
      <c r="L57" s="420"/>
      <c r="M57" s="398"/>
      <c r="N57" s="398"/>
      <c r="O57" s="398"/>
      <c r="P57" s="520"/>
      <c r="Q57" s="905"/>
      <c r="R57" s="906" t="s">
        <v>876</v>
      </c>
      <c r="S57" s="907"/>
      <c r="T57" s="907"/>
      <c r="U57" s="907"/>
      <c r="V57" s="593">
        <v>25</v>
      </c>
      <c r="W57" s="936"/>
      <c r="X57" s="460"/>
      <c r="Y57" s="382"/>
      <c r="Z57" s="393"/>
      <c r="AA57" s="391"/>
      <c r="AB57" s="392"/>
      <c r="AC57" s="385"/>
    </row>
    <row r="58" spans="1:29" ht="25.5" customHeight="1" thickBot="1" x14ac:dyDescent="0.25">
      <c r="A58" s="375"/>
      <c r="B58" s="346"/>
      <c r="C58" s="273"/>
      <c r="D58" s="429"/>
      <c r="E58" s="379"/>
      <c r="F58" s="380"/>
      <c r="G58" s="938" t="s">
        <v>972</v>
      </c>
      <c r="H58" s="939"/>
      <c r="I58" s="939"/>
      <c r="J58" s="753">
        <v>4102</v>
      </c>
      <c r="K58" s="910"/>
      <c r="L58" s="521"/>
      <c r="M58" s="522"/>
      <c r="N58" s="522"/>
      <c r="O58" s="522"/>
      <c r="P58" s="523"/>
      <c r="Q58" s="928"/>
      <c r="R58" s="922" t="s">
        <v>987</v>
      </c>
      <c r="S58" s="908"/>
      <c r="T58" s="908"/>
      <c r="U58" s="908"/>
      <c r="V58" s="589">
        <v>1281</v>
      </c>
      <c r="W58" s="937"/>
      <c r="X58" s="460"/>
      <c r="Y58" s="382"/>
      <c r="Z58" s="393"/>
      <c r="AA58" s="391"/>
      <c r="AB58" s="392"/>
      <c r="AC58" s="385"/>
    </row>
    <row r="59" spans="1:29" ht="15.75" x14ac:dyDescent="0.2">
      <c r="A59" s="687"/>
      <c r="B59" s="688"/>
      <c r="C59" s="688"/>
      <c r="D59" s="689"/>
      <c r="E59" s="690"/>
      <c r="F59" s="691"/>
      <c r="G59" s="940"/>
      <c r="H59" s="941"/>
      <c r="I59" s="941"/>
      <c r="J59" s="755"/>
      <c r="K59" s="909">
        <f>SUM(J59:J62)</f>
        <v>0</v>
      </c>
      <c r="L59" s="940" t="s">
        <v>979</v>
      </c>
      <c r="M59" s="941"/>
      <c r="N59" s="941"/>
      <c r="O59" s="941"/>
      <c r="P59" s="755">
        <v>6245</v>
      </c>
      <c r="Q59" s="904">
        <f>SUM(P59:P62)</f>
        <v>6245</v>
      </c>
      <c r="R59" s="513"/>
      <c r="S59" s="513"/>
      <c r="T59" s="513"/>
      <c r="U59" s="513"/>
      <c r="V59" s="513"/>
      <c r="W59" s="524"/>
      <c r="X59" s="681"/>
      <c r="Y59" s="682"/>
      <c r="Z59" s="683"/>
      <c r="AA59" s="684"/>
      <c r="AB59" s="685"/>
      <c r="AC59" s="686"/>
    </row>
    <row r="60" spans="1:29" ht="15.75" x14ac:dyDescent="0.2">
      <c r="A60" s="911" t="s">
        <v>788</v>
      </c>
      <c r="B60" s="912"/>
      <c r="C60" s="913"/>
      <c r="D60" s="429">
        <v>6245</v>
      </c>
      <c r="E60" s="379">
        <v>0</v>
      </c>
      <c r="F60" s="380">
        <f>SUM(D60:E60)</f>
        <v>6245</v>
      </c>
      <c r="G60" s="571"/>
      <c r="H60" s="570"/>
      <c r="I60" s="570"/>
      <c r="J60" s="662"/>
      <c r="K60" s="910"/>
      <c r="L60" s="906"/>
      <c r="M60" s="907"/>
      <c r="N60" s="907"/>
      <c r="O60" s="907"/>
      <c r="P60" s="364"/>
      <c r="Q60" s="905"/>
      <c r="R60" s="914"/>
      <c r="S60" s="915"/>
      <c r="T60" s="915"/>
      <c r="U60" s="915"/>
      <c r="V60" s="588"/>
      <c r="W60" s="524">
        <f>SUM(V60)</f>
        <v>0</v>
      </c>
      <c r="X60" s="460">
        <f>SUM(K60+Q59+W62)</f>
        <v>6245</v>
      </c>
      <c r="Y60" s="382">
        <v>0</v>
      </c>
      <c r="Z60" s="393">
        <f>SUM(X60:Y60)</f>
        <v>6245</v>
      </c>
      <c r="AA60" s="519">
        <f>X60-D60</f>
        <v>0</v>
      </c>
      <c r="AB60" s="392">
        <f>Y60-E60</f>
        <v>0</v>
      </c>
      <c r="AC60" s="394">
        <f>SUM(AA60:AB60)</f>
        <v>0</v>
      </c>
    </row>
    <row r="61" spans="1:29" ht="15.75" x14ac:dyDescent="0.2">
      <c r="A61" s="375"/>
      <c r="B61" s="346"/>
      <c r="C61" s="273"/>
      <c r="D61" s="429"/>
      <c r="E61" s="379"/>
      <c r="F61" s="380"/>
      <c r="G61" s="571"/>
      <c r="H61" s="570"/>
      <c r="I61" s="570"/>
      <c r="J61" s="662"/>
      <c r="K61" s="910"/>
      <c r="L61" s="420"/>
      <c r="M61" s="398"/>
      <c r="N61" s="398"/>
      <c r="O61" s="398"/>
      <c r="P61" s="398"/>
      <c r="Q61" s="905"/>
      <c r="R61" s="570"/>
      <c r="S61" s="570"/>
      <c r="T61" s="570"/>
      <c r="U61" s="570"/>
      <c r="V61" s="588"/>
      <c r="W61" s="524"/>
      <c r="X61" s="460"/>
      <c r="Y61" s="382"/>
      <c r="Z61" s="393"/>
      <c r="AA61" s="391"/>
      <c r="AB61" s="392"/>
      <c r="AC61" s="385"/>
    </row>
    <row r="62" spans="1:29" ht="16.5" thickBot="1" x14ac:dyDescent="0.3">
      <c r="A62" s="386"/>
      <c r="B62" s="387"/>
      <c r="C62" s="387"/>
      <c r="D62" s="461"/>
      <c r="E62" s="462"/>
      <c r="F62" s="525"/>
      <c r="G62" s="580"/>
      <c r="H62" s="581"/>
      <c r="I62" s="581"/>
      <c r="J62" s="582"/>
      <c r="K62" s="942"/>
      <c r="L62" s="420"/>
      <c r="M62" s="398"/>
      <c r="N62" s="398"/>
      <c r="O62" s="398"/>
      <c r="P62" s="398"/>
      <c r="Q62" s="905"/>
      <c r="R62" s="513"/>
      <c r="S62" s="513"/>
      <c r="T62" s="513"/>
      <c r="U62" s="513"/>
      <c r="V62" s="513"/>
      <c r="W62" s="526"/>
      <c r="X62" s="527"/>
      <c r="Y62" s="528"/>
      <c r="Z62" s="482"/>
      <c r="AA62" s="529"/>
      <c r="AB62" s="530"/>
      <c r="AC62" s="437"/>
    </row>
    <row r="63" spans="1:29" ht="47.25" customHeight="1" thickTop="1" thickBot="1" x14ac:dyDescent="0.3">
      <c r="A63" s="893" t="s">
        <v>225</v>
      </c>
      <c r="B63" s="894"/>
      <c r="C63" s="895"/>
      <c r="D63" s="567">
        <f>SUM(D55:D62)</f>
        <v>197235</v>
      </c>
      <c r="E63" s="568">
        <f>SUM(E55:E62)</f>
        <v>204</v>
      </c>
      <c r="F63" s="531">
        <f>SUM(D63:E63)</f>
        <v>197439</v>
      </c>
      <c r="G63" s="532"/>
      <c r="H63" s="896" t="s">
        <v>220</v>
      </c>
      <c r="I63" s="897"/>
      <c r="J63" s="898"/>
      <c r="K63" s="533">
        <f>SUM(K54:K62)</f>
        <v>150467</v>
      </c>
      <c r="L63" s="445"/>
      <c r="M63" s="899" t="s">
        <v>221</v>
      </c>
      <c r="N63" s="899"/>
      <c r="O63" s="899"/>
      <c r="P63" s="900"/>
      <c r="Q63" s="594">
        <f>SUM(Q55:Q62)</f>
        <v>6245</v>
      </c>
      <c r="R63" s="595"/>
      <c r="S63" s="899" t="s">
        <v>222</v>
      </c>
      <c r="T63" s="899"/>
      <c r="U63" s="899"/>
      <c r="V63" s="900"/>
      <c r="W63" s="534">
        <f>SUM(W55:W62)</f>
        <v>9424</v>
      </c>
      <c r="X63" s="535">
        <f>SUM(X53:X62)</f>
        <v>166136</v>
      </c>
      <c r="Y63" s="536">
        <f>SUM(Y53:Y62)</f>
        <v>0</v>
      </c>
      <c r="Z63" s="537">
        <f>SUM(X63:Y63)</f>
        <v>166136</v>
      </c>
      <c r="AA63" s="535">
        <f>X63-D63</f>
        <v>-31099</v>
      </c>
      <c r="AB63" s="538">
        <f>Y63-E63</f>
        <v>-204</v>
      </c>
      <c r="AC63" s="537">
        <f>SUM(AA63:AB63)</f>
        <v>-31303</v>
      </c>
    </row>
    <row r="64" spans="1:29" ht="20.25" thickTop="1" thickBot="1" x14ac:dyDescent="0.35">
      <c r="A64" s="883" t="s">
        <v>623</v>
      </c>
      <c r="B64" s="884"/>
      <c r="C64" s="885"/>
      <c r="D64" s="539">
        <f>SUM(D63,D50,D34)</f>
        <v>1335814</v>
      </c>
      <c r="E64" s="540">
        <f>SUM(E63,E50,E34)</f>
        <v>1249799</v>
      </c>
      <c r="F64" s="541">
        <f>SUM(D64:E64)</f>
        <v>2585613</v>
      </c>
      <c r="G64" s="413"/>
      <c r="H64" s="886" t="s">
        <v>226</v>
      </c>
      <c r="I64" s="887"/>
      <c r="J64" s="888"/>
      <c r="K64" s="542">
        <f>SUM(K63,K50,K34)</f>
        <v>526906</v>
      </c>
      <c r="L64" s="543"/>
      <c r="M64" s="889" t="s">
        <v>227</v>
      </c>
      <c r="N64" s="889"/>
      <c r="O64" s="889"/>
      <c r="P64" s="890"/>
      <c r="Q64" s="411">
        <f>SUM(Q63,Q50,Q34)</f>
        <v>1415250</v>
      </c>
      <c r="R64" s="544"/>
      <c r="S64" s="889" t="s">
        <v>228</v>
      </c>
      <c r="T64" s="889"/>
      <c r="U64" s="889"/>
      <c r="V64" s="890"/>
      <c r="W64" s="415">
        <f>SUM(W63,W50,W34)</f>
        <v>643457</v>
      </c>
      <c r="X64" s="678">
        <f>SUM(X63,X50,X34)</f>
        <v>1301272</v>
      </c>
      <c r="Y64" s="679">
        <f>SUM(Y63,Y50,Y34)</f>
        <v>1284341</v>
      </c>
      <c r="Z64" s="680">
        <f>SUM(W64+Q64+K64)</f>
        <v>2585613</v>
      </c>
      <c r="AA64" s="546">
        <f>SUM(AA63,AA50,AA34)</f>
        <v>-34542</v>
      </c>
      <c r="AB64" s="545">
        <f>SUM(AB63,AB50,AB34)</f>
        <v>34542</v>
      </c>
      <c r="AC64" s="547">
        <f>SUM(AC63,AC50,AC34)</f>
        <v>0</v>
      </c>
    </row>
    <row r="65" spans="1:29" ht="16.5" thickTop="1" x14ac:dyDescent="0.2">
      <c r="A65" s="513"/>
      <c r="B65" s="513"/>
      <c r="C65" s="513"/>
      <c r="D65" s="513"/>
      <c r="E65" s="513"/>
      <c r="F65" s="513"/>
      <c r="G65" s="548"/>
      <c r="H65" s="548"/>
      <c r="I65" s="548"/>
      <c r="J65" s="549"/>
      <c r="K65" s="456"/>
      <c r="L65" s="550"/>
      <c r="M65" s="398"/>
      <c r="N65" s="398"/>
      <c r="O65" s="398"/>
      <c r="P65" s="398"/>
      <c r="Q65" s="398"/>
      <c r="R65" s="550"/>
      <c r="S65" s="513"/>
      <c r="T65" s="513"/>
      <c r="U65" s="513"/>
      <c r="V65" s="513"/>
      <c r="W65" s="513"/>
      <c r="X65" s="513"/>
      <c r="Y65" s="513"/>
      <c r="Z65" s="513"/>
      <c r="AA65" s="513"/>
      <c r="AB65" s="513"/>
      <c r="AC65" s="550"/>
    </row>
    <row r="66" spans="1:29" ht="15.75" x14ac:dyDescent="0.2">
      <c r="A66" s="513"/>
      <c r="B66" s="513"/>
      <c r="C66" s="513"/>
      <c r="D66" s="881" t="s">
        <v>785</v>
      </c>
      <c r="E66" s="891"/>
      <c r="F66" s="891"/>
      <c r="G66" s="363"/>
      <c r="H66" s="363"/>
      <c r="I66" s="363"/>
      <c r="J66" s="357"/>
      <c r="K66" s="456"/>
      <c r="L66" s="398"/>
      <c r="M66" s="398"/>
      <c r="N66" s="398"/>
      <c r="O66" s="398"/>
      <c r="P66" s="398"/>
      <c r="Q66" s="398"/>
      <c r="R66" s="398"/>
      <c r="S66" s="513"/>
      <c r="T66" s="513"/>
      <c r="U66" s="513"/>
      <c r="V66" s="513"/>
      <c r="W66" s="881" t="s">
        <v>229</v>
      </c>
      <c r="X66" s="882"/>
      <c r="Y66" s="882"/>
      <c r="Z66" s="551"/>
      <c r="AA66" s="881" t="s">
        <v>211</v>
      </c>
      <c r="AB66" s="882"/>
      <c r="AC66" s="882"/>
    </row>
    <row r="67" spans="1:29" ht="15.75" x14ac:dyDescent="0.2">
      <c r="A67" s="513"/>
      <c r="B67" s="513"/>
      <c r="C67" s="513"/>
      <c r="D67" s="552" t="s">
        <v>212</v>
      </c>
      <c r="E67" s="552" t="s">
        <v>230</v>
      </c>
      <c r="F67" s="552" t="s">
        <v>213</v>
      </c>
      <c r="G67" s="363"/>
      <c r="H67" s="363"/>
      <c r="I67" s="363"/>
      <c r="J67" s="357"/>
      <c r="K67" s="456"/>
      <c r="L67" s="398"/>
      <c r="M67" s="398"/>
      <c r="N67" s="398"/>
      <c r="O67" s="398"/>
      <c r="P67" s="398"/>
      <c r="Q67" s="398"/>
      <c r="R67" s="398"/>
      <c r="S67" s="892"/>
      <c r="T67" s="892"/>
      <c r="U67" s="892"/>
      <c r="V67" s="892"/>
      <c r="W67" s="552" t="s">
        <v>212</v>
      </c>
      <c r="X67" s="552" t="s">
        <v>230</v>
      </c>
      <c r="Y67" s="552" t="s">
        <v>213</v>
      </c>
      <c r="Z67" s="553"/>
      <c r="AA67" s="552" t="s">
        <v>212</v>
      </c>
      <c r="AB67" s="552" t="s">
        <v>230</v>
      </c>
      <c r="AC67" s="552" t="s">
        <v>213</v>
      </c>
    </row>
    <row r="68" spans="1:29" ht="15.75" x14ac:dyDescent="0.2">
      <c r="A68" s="513"/>
      <c r="B68" s="513"/>
      <c r="C68" s="554" t="s">
        <v>231</v>
      </c>
      <c r="D68" s="513"/>
      <c r="E68" s="513"/>
      <c r="F68" s="513"/>
      <c r="G68" s="363"/>
      <c r="H68" s="363"/>
      <c r="I68" s="363"/>
      <c r="J68" s="357"/>
      <c r="K68" s="456"/>
      <c r="L68" s="398"/>
      <c r="M68" s="398"/>
      <c r="N68" s="398"/>
      <c r="O68" s="398"/>
      <c r="P68" s="398"/>
      <c r="Q68" s="398"/>
      <c r="R68" s="398"/>
      <c r="S68" s="513"/>
      <c r="T68" s="554" t="s">
        <v>231</v>
      </c>
      <c r="U68" s="513"/>
      <c r="V68" s="881"/>
      <c r="W68" s="882"/>
      <c r="X68" s="513"/>
      <c r="Y68" s="513"/>
      <c r="Z68" s="513"/>
      <c r="AA68" s="513"/>
      <c r="AB68" s="513"/>
      <c r="AC68" s="398"/>
    </row>
    <row r="69" spans="1:29" ht="15.75" x14ac:dyDescent="0.2">
      <c r="A69" s="513"/>
      <c r="B69" s="513"/>
      <c r="C69" s="555" t="s">
        <v>232</v>
      </c>
      <c r="D69" s="517">
        <f>SUM(D9)</f>
        <v>867751</v>
      </c>
      <c r="E69" s="517">
        <f>SUM(E9)</f>
        <v>826738</v>
      </c>
      <c r="F69" s="517">
        <f>SUM(D69:E69)</f>
        <v>1694489</v>
      </c>
      <c r="G69" s="363"/>
      <c r="H69" s="363"/>
      <c r="I69" s="363"/>
      <c r="J69" s="357"/>
      <c r="K69" s="456"/>
      <c r="L69" s="398"/>
      <c r="M69" s="398"/>
      <c r="N69" s="398"/>
      <c r="O69" s="398"/>
      <c r="P69" s="398"/>
      <c r="Q69" s="398"/>
      <c r="R69" s="398"/>
      <c r="S69" s="513"/>
      <c r="T69" s="555" t="s">
        <v>232</v>
      </c>
      <c r="U69" s="513"/>
      <c r="V69" s="555"/>
      <c r="W69" s="517">
        <f>SUM(X12)</f>
        <v>893183</v>
      </c>
      <c r="X69" s="517">
        <f>Y12</f>
        <v>819855</v>
      </c>
      <c r="Y69" s="517">
        <f>SUM(W69:X69)</f>
        <v>1713038</v>
      </c>
      <c r="Z69" s="488"/>
      <c r="AA69" s="517">
        <f t="shared" ref="AA69:AB71" si="0">W69-D69</f>
        <v>25432</v>
      </c>
      <c r="AB69" s="517">
        <f t="shared" si="0"/>
        <v>-6883</v>
      </c>
      <c r="AC69" s="488">
        <f>SUM(AA69:AB69)</f>
        <v>18549</v>
      </c>
    </row>
    <row r="70" spans="1:29" ht="15.75" x14ac:dyDescent="0.2">
      <c r="A70" s="513"/>
      <c r="B70" s="513"/>
      <c r="C70" s="555" t="s">
        <v>633</v>
      </c>
      <c r="D70" s="517">
        <f>SUM(D39)</f>
        <v>179007</v>
      </c>
      <c r="E70" s="517">
        <f>SUM(E39)</f>
        <v>445</v>
      </c>
      <c r="F70" s="517">
        <f>SUM(D70:E70)</f>
        <v>179452</v>
      </c>
      <c r="G70" s="363"/>
      <c r="H70" s="363"/>
      <c r="I70" s="363"/>
      <c r="J70" s="556"/>
      <c r="K70" s="456"/>
      <c r="L70" s="398"/>
      <c r="M70" s="398"/>
      <c r="N70" s="398"/>
      <c r="O70" s="398"/>
      <c r="P70" s="398"/>
      <c r="Q70" s="398"/>
      <c r="R70" s="398"/>
      <c r="S70" s="513"/>
      <c r="T70" s="555" t="s">
        <v>633</v>
      </c>
      <c r="U70" s="513"/>
      <c r="V70" s="555"/>
      <c r="W70" s="517">
        <f>SUM(X39)</f>
        <v>189081</v>
      </c>
      <c r="X70" s="517">
        <f>Y39</f>
        <v>0</v>
      </c>
      <c r="Y70" s="517">
        <f>SUM(W70:X70)</f>
        <v>189081</v>
      </c>
      <c r="Z70" s="488"/>
      <c r="AA70" s="517">
        <f t="shared" si="0"/>
        <v>10074</v>
      </c>
      <c r="AB70" s="517">
        <f t="shared" si="0"/>
        <v>-445</v>
      </c>
      <c r="AC70" s="488">
        <f>SUM(AA70:AB70)</f>
        <v>9629</v>
      </c>
    </row>
    <row r="71" spans="1:29" x14ac:dyDescent="0.2">
      <c r="A71" s="513"/>
      <c r="B71" s="513"/>
      <c r="C71" s="557" t="s">
        <v>233</v>
      </c>
      <c r="D71" s="558">
        <f>SUM(D56)</f>
        <v>190990</v>
      </c>
      <c r="E71" s="558">
        <f>SUM(E56)</f>
        <v>204</v>
      </c>
      <c r="F71" s="558">
        <f>SUM(D71:E71)</f>
        <v>191194</v>
      </c>
      <c r="G71" s="513"/>
      <c r="H71" s="513"/>
      <c r="I71" s="513"/>
      <c r="J71" s="513"/>
      <c r="K71" s="398"/>
      <c r="L71" s="398"/>
      <c r="M71" s="398"/>
      <c r="N71" s="398"/>
      <c r="O71" s="398"/>
      <c r="P71" s="398"/>
      <c r="Q71" s="398"/>
      <c r="R71" s="398"/>
      <c r="S71" s="513"/>
      <c r="T71" s="557" t="s">
        <v>233</v>
      </c>
      <c r="U71" s="559"/>
      <c r="V71" s="560"/>
      <c r="W71" s="558">
        <f>SUM(X56)</f>
        <v>159891</v>
      </c>
      <c r="X71" s="558">
        <f>Y56</f>
        <v>0</v>
      </c>
      <c r="Y71" s="558">
        <f>SUM(W71:X71)</f>
        <v>159891</v>
      </c>
      <c r="Z71" s="488"/>
      <c r="AA71" s="558">
        <f t="shared" si="0"/>
        <v>-31099</v>
      </c>
      <c r="AB71" s="558">
        <f t="shared" si="0"/>
        <v>-204</v>
      </c>
      <c r="AC71" s="558">
        <f>SUM(AA71:AB71)</f>
        <v>-31303</v>
      </c>
    </row>
    <row r="72" spans="1:29" x14ac:dyDescent="0.2">
      <c r="A72" s="513"/>
      <c r="B72" s="513"/>
      <c r="C72" s="561" t="s">
        <v>622</v>
      </c>
      <c r="D72" s="517">
        <f>SUM(D69:D71)</f>
        <v>1237748</v>
      </c>
      <c r="E72" s="517">
        <f>SUM(E69:E71)</f>
        <v>827387</v>
      </c>
      <c r="F72" s="517">
        <f>SUM(F69:F71)</f>
        <v>2065135</v>
      </c>
      <c r="G72" s="513"/>
      <c r="H72" s="513"/>
      <c r="I72" s="513"/>
      <c r="J72" s="513"/>
      <c r="K72" s="398"/>
      <c r="L72" s="398"/>
      <c r="M72" s="398"/>
      <c r="N72" s="398"/>
      <c r="O72" s="398"/>
      <c r="P72" s="398"/>
      <c r="Q72" s="398"/>
      <c r="R72" s="398"/>
      <c r="S72" s="513"/>
      <c r="T72" s="561" t="s">
        <v>622</v>
      </c>
      <c r="U72" s="513"/>
      <c r="V72" s="561"/>
      <c r="W72" s="517">
        <f>SUM(W69:W71)</f>
        <v>1242155</v>
      </c>
      <c r="X72" s="517">
        <f>SUM(X69:X71)</f>
        <v>819855</v>
      </c>
      <c r="Y72" s="517">
        <f>SUM(Y69:Y71)</f>
        <v>2062010</v>
      </c>
      <c r="Z72" s="488"/>
      <c r="AA72" s="517">
        <f>SUM(AA69:AA71)</f>
        <v>4407</v>
      </c>
      <c r="AB72" s="517">
        <f>SUM(AB69:AB71)</f>
        <v>-7532</v>
      </c>
      <c r="AC72" s="517">
        <f>SUM(AC69:AC71)</f>
        <v>-3125</v>
      </c>
    </row>
    <row r="73" spans="1:29" x14ac:dyDescent="0.2">
      <c r="A73" s="513"/>
      <c r="B73" s="513"/>
      <c r="C73" s="513"/>
      <c r="D73" s="517"/>
      <c r="E73" s="517"/>
      <c r="F73" s="517"/>
      <c r="G73" s="513"/>
      <c r="H73" s="513"/>
      <c r="I73" s="513"/>
      <c r="J73" s="513"/>
      <c r="K73" s="513"/>
      <c r="L73" s="398"/>
      <c r="M73" s="398"/>
      <c r="N73" s="398"/>
      <c r="O73" s="398"/>
      <c r="P73" s="398"/>
      <c r="Q73" s="398"/>
      <c r="R73" s="398"/>
      <c r="S73" s="513"/>
      <c r="T73" s="513"/>
      <c r="U73" s="513"/>
      <c r="V73" s="513"/>
      <c r="W73" s="513"/>
      <c r="X73" s="513"/>
      <c r="Y73" s="513"/>
      <c r="Z73" s="513"/>
      <c r="AA73" s="513"/>
      <c r="AB73" s="513"/>
      <c r="AC73" s="398"/>
    </row>
    <row r="74" spans="1:29" x14ac:dyDescent="0.2">
      <c r="A74" s="513"/>
      <c r="B74" s="513"/>
      <c r="C74" s="554" t="s">
        <v>234</v>
      </c>
      <c r="D74" s="517"/>
      <c r="E74" s="517"/>
      <c r="F74" s="517"/>
      <c r="G74" s="513"/>
      <c r="H74" s="513"/>
      <c r="I74" s="513"/>
      <c r="J74" s="513"/>
      <c r="K74" s="513"/>
      <c r="L74" s="398"/>
      <c r="M74" s="398"/>
      <c r="N74" s="398"/>
      <c r="O74" s="398"/>
      <c r="P74" s="398"/>
      <c r="Q74" s="398"/>
      <c r="R74" s="398"/>
      <c r="S74" s="513"/>
      <c r="T74" s="554" t="s">
        <v>234</v>
      </c>
      <c r="U74" s="562"/>
      <c r="V74" s="554"/>
      <c r="W74" s="563"/>
      <c r="X74" s="563"/>
      <c r="Y74" s="513"/>
      <c r="Z74" s="513"/>
      <c r="AA74" s="513"/>
      <c r="AB74" s="513"/>
      <c r="AC74" s="398"/>
    </row>
    <row r="75" spans="1:29" x14ac:dyDescent="0.2">
      <c r="A75" s="513"/>
      <c r="B75" s="513"/>
      <c r="C75" s="555" t="s">
        <v>232</v>
      </c>
      <c r="D75" s="517">
        <f>SUM(D30)</f>
        <v>54435</v>
      </c>
      <c r="E75" s="517">
        <f>SUM(E30)</f>
        <v>422251</v>
      </c>
      <c r="F75" s="517">
        <f>SUM(D75:E75)</f>
        <v>476686</v>
      </c>
      <c r="G75" s="513"/>
      <c r="H75" s="513"/>
      <c r="I75" s="513"/>
      <c r="J75" s="513"/>
      <c r="K75" s="513"/>
      <c r="L75" s="398"/>
      <c r="M75" s="398"/>
      <c r="N75" s="398"/>
      <c r="O75" s="398"/>
      <c r="P75" s="398"/>
      <c r="Q75" s="398"/>
      <c r="R75" s="398"/>
      <c r="S75" s="513"/>
      <c r="T75" s="555" t="s">
        <v>232</v>
      </c>
      <c r="U75" s="513"/>
      <c r="V75" s="555"/>
      <c r="W75" s="517">
        <f>SUM(X29)</f>
        <v>23325</v>
      </c>
      <c r="X75" s="517">
        <f>Y29</f>
        <v>464486</v>
      </c>
      <c r="Y75" s="517">
        <f>SUM(W75:X75)</f>
        <v>487811</v>
      </c>
      <c r="Z75" s="488"/>
      <c r="AA75" s="517">
        <f t="shared" ref="AA75:AB77" si="1">W75-D75</f>
        <v>-31110</v>
      </c>
      <c r="AB75" s="517">
        <f t="shared" si="1"/>
        <v>42235</v>
      </c>
      <c r="AC75" s="488">
        <f>SUM(AA75:AB75)</f>
        <v>11125</v>
      </c>
    </row>
    <row r="76" spans="1:29" x14ac:dyDescent="0.2">
      <c r="A76" s="513"/>
      <c r="B76" s="513"/>
      <c r="C76" s="555" t="s">
        <v>633</v>
      </c>
      <c r="D76" s="517">
        <v>0</v>
      </c>
      <c r="E76" s="517">
        <v>0</v>
      </c>
      <c r="F76" s="517">
        <f>SUM(D76:E76)</f>
        <v>0</v>
      </c>
      <c r="G76" s="513"/>
      <c r="H76" s="513"/>
      <c r="I76" s="513"/>
      <c r="J76" s="513"/>
      <c r="K76" s="513"/>
      <c r="L76" s="398"/>
      <c r="M76" s="398"/>
      <c r="N76" s="398"/>
      <c r="O76" s="398"/>
      <c r="P76" s="398"/>
      <c r="Q76" s="398"/>
      <c r="R76" s="398"/>
      <c r="S76" s="513"/>
      <c r="T76" s="555" t="s">
        <v>633</v>
      </c>
      <c r="U76" s="513"/>
      <c r="V76" s="555"/>
      <c r="W76" s="517">
        <v>0</v>
      </c>
      <c r="X76" s="517">
        <v>0</v>
      </c>
      <c r="Y76" s="517">
        <f>SUM(W76:X76)</f>
        <v>0</v>
      </c>
      <c r="Z76" s="488"/>
      <c r="AA76" s="517">
        <f t="shared" si="1"/>
        <v>0</v>
      </c>
      <c r="AB76" s="517">
        <f t="shared" si="1"/>
        <v>0</v>
      </c>
      <c r="AC76" s="488">
        <f>SUM(AA76:AB76)</f>
        <v>0</v>
      </c>
    </row>
    <row r="77" spans="1:29" x14ac:dyDescent="0.2">
      <c r="A77" s="513"/>
      <c r="B77" s="513"/>
      <c r="C77" s="557" t="s">
        <v>233</v>
      </c>
      <c r="D77" s="558">
        <f>SUM(D60)</f>
        <v>6245</v>
      </c>
      <c r="E77" s="558">
        <v>0</v>
      </c>
      <c r="F77" s="558">
        <f>SUM(D77:E77)</f>
        <v>6245</v>
      </c>
      <c r="G77" s="513"/>
      <c r="H77" s="513"/>
      <c r="I77" s="513"/>
      <c r="J77" s="513"/>
      <c r="K77" s="513"/>
      <c r="L77" s="398"/>
      <c r="M77" s="398"/>
      <c r="N77" s="398"/>
      <c r="O77" s="398"/>
      <c r="P77" s="398"/>
      <c r="Q77" s="398"/>
      <c r="R77" s="398"/>
      <c r="S77" s="513"/>
      <c r="T77" s="557" t="s">
        <v>233</v>
      </c>
      <c r="U77" s="559"/>
      <c r="V77" s="560"/>
      <c r="W77" s="558">
        <f>SUM(X60)</f>
        <v>6245</v>
      </c>
      <c r="X77" s="558">
        <v>0</v>
      </c>
      <c r="Y77" s="558">
        <f>SUM(W77:X77)</f>
        <v>6245</v>
      </c>
      <c r="Z77" s="488"/>
      <c r="AA77" s="558">
        <f t="shared" si="1"/>
        <v>0</v>
      </c>
      <c r="AB77" s="558">
        <f t="shared" si="1"/>
        <v>0</v>
      </c>
      <c r="AC77" s="558">
        <f>SUM(AA77:AB77)</f>
        <v>0</v>
      </c>
    </row>
    <row r="78" spans="1:29" x14ac:dyDescent="0.2">
      <c r="A78" s="513"/>
      <c r="B78" s="513"/>
      <c r="C78" s="561" t="s">
        <v>622</v>
      </c>
      <c r="D78" s="517">
        <f>SUM(D75:D77)</f>
        <v>60680</v>
      </c>
      <c r="E78" s="517">
        <f>SUM(E75:E77)</f>
        <v>422251</v>
      </c>
      <c r="F78" s="517">
        <f>SUM(F75:F77)</f>
        <v>482931</v>
      </c>
      <c r="G78" s="513"/>
      <c r="H78" s="513"/>
      <c r="I78" s="513"/>
      <c r="J78" s="513"/>
      <c r="K78" s="513"/>
      <c r="L78" s="398"/>
      <c r="M78" s="398"/>
      <c r="N78" s="398"/>
      <c r="O78" s="398"/>
      <c r="P78" s="398"/>
      <c r="Q78" s="398"/>
      <c r="R78" s="398"/>
      <c r="S78" s="513"/>
      <c r="T78" s="561" t="s">
        <v>622</v>
      </c>
      <c r="U78" s="513"/>
      <c r="V78" s="561"/>
      <c r="W78" s="517">
        <f>SUM(W75:W77)</f>
        <v>29570</v>
      </c>
      <c r="X78" s="517">
        <f>SUM(X75:X77)</f>
        <v>464486</v>
      </c>
      <c r="Y78" s="517">
        <f>SUM(Y75:Y77)</f>
        <v>494056</v>
      </c>
      <c r="Z78" s="488"/>
      <c r="AA78" s="517">
        <f>SUM(AA75:AA77)</f>
        <v>-31110</v>
      </c>
      <c r="AB78" s="517">
        <f>SUM(AB75:AB77)</f>
        <v>42235</v>
      </c>
      <c r="AC78" s="517">
        <f>SUM(AC75:AC77)</f>
        <v>11125</v>
      </c>
    </row>
    <row r="79" spans="1:29" x14ac:dyDescent="0.2">
      <c r="A79" s="513"/>
      <c r="B79" s="513"/>
      <c r="C79" s="513"/>
      <c r="D79" s="517"/>
      <c r="E79" s="517"/>
      <c r="F79" s="517"/>
      <c r="G79" s="513"/>
      <c r="H79" s="513"/>
      <c r="I79" s="513"/>
      <c r="J79" s="513"/>
      <c r="K79" s="513"/>
      <c r="L79" s="513"/>
      <c r="M79" s="513"/>
      <c r="N79" s="513"/>
      <c r="O79" s="513"/>
      <c r="P79" s="513"/>
      <c r="Q79" s="513"/>
      <c r="R79" s="513"/>
      <c r="S79" s="513"/>
      <c r="T79" s="513"/>
      <c r="U79" s="513"/>
      <c r="V79" s="513"/>
      <c r="W79" s="513"/>
      <c r="X79" s="513"/>
      <c r="Y79" s="513"/>
      <c r="Z79" s="398"/>
      <c r="AA79" s="517"/>
      <c r="AB79" s="517"/>
      <c r="AC79" s="398"/>
    </row>
    <row r="80" spans="1:29" x14ac:dyDescent="0.2">
      <c r="A80" s="513"/>
      <c r="B80" s="513"/>
      <c r="C80" s="554" t="s">
        <v>235</v>
      </c>
      <c r="D80" s="517"/>
      <c r="E80" s="517"/>
      <c r="F80" s="517"/>
      <c r="G80" s="513"/>
      <c r="H80" s="513"/>
      <c r="I80" s="513"/>
      <c r="J80" s="513"/>
      <c r="K80" s="513"/>
      <c r="L80" s="513"/>
      <c r="M80" s="513"/>
      <c r="N80" s="513"/>
      <c r="O80" s="513"/>
      <c r="P80" s="513"/>
      <c r="Q80" s="513"/>
      <c r="R80" s="513"/>
      <c r="S80" s="513"/>
      <c r="T80" s="554" t="s">
        <v>235</v>
      </c>
      <c r="U80" s="513"/>
      <c r="V80" s="554"/>
      <c r="W80" s="513"/>
      <c r="X80" s="513"/>
      <c r="Y80" s="513"/>
      <c r="Z80" s="398"/>
      <c r="AA80" s="517"/>
      <c r="AB80" s="517"/>
      <c r="AC80" s="398"/>
    </row>
    <row r="81" spans="1:29" x14ac:dyDescent="0.2">
      <c r="A81" s="513"/>
      <c r="B81" s="513"/>
      <c r="C81" s="555" t="s">
        <v>232</v>
      </c>
      <c r="D81" s="517">
        <f>SUM(D27)</f>
        <v>37371</v>
      </c>
      <c r="E81" s="517">
        <f>SUM(E27)</f>
        <v>161</v>
      </c>
      <c r="F81" s="517">
        <f>SUM(D81:E81)</f>
        <v>37532</v>
      </c>
      <c r="G81" s="513"/>
      <c r="H81" s="513"/>
      <c r="I81" s="513"/>
      <c r="J81" s="513"/>
      <c r="K81" s="513"/>
      <c r="L81" s="513"/>
      <c r="M81" s="513"/>
      <c r="N81" s="513"/>
      <c r="O81" s="513"/>
      <c r="P81" s="513"/>
      <c r="Q81" s="513"/>
      <c r="R81" s="513"/>
      <c r="S81" s="513"/>
      <c r="T81" s="555" t="s">
        <v>232</v>
      </c>
      <c r="U81" s="513"/>
      <c r="V81" s="555"/>
      <c r="W81" s="517">
        <f>SUM(X27)</f>
        <v>29532</v>
      </c>
      <c r="X81" s="517">
        <v>0</v>
      </c>
      <c r="Y81" s="517">
        <f>SUM(W81:X81)</f>
        <v>29532</v>
      </c>
      <c r="Z81" s="488"/>
      <c r="AA81" s="517">
        <f t="shared" ref="AA81:AB83" si="2">W81-D81</f>
        <v>-7839</v>
      </c>
      <c r="AB81" s="517">
        <f t="shared" si="2"/>
        <v>-161</v>
      </c>
      <c r="AC81" s="488">
        <f>SUM(AA81:AB81)</f>
        <v>-8000</v>
      </c>
    </row>
    <row r="82" spans="1:29" x14ac:dyDescent="0.2">
      <c r="A82" s="513"/>
      <c r="B82" s="513"/>
      <c r="C82" s="555" t="s">
        <v>633</v>
      </c>
      <c r="D82" s="517">
        <f>SUM(D48)</f>
        <v>15</v>
      </c>
      <c r="E82" s="517">
        <f>SUM(E48)</f>
        <v>0</v>
      </c>
      <c r="F82" s="517">
        <f>SUM(D82:E82)</f>
        <v>15</v>
      </c>
      <c r="G82" s="513"/>
      <c r="H82" s="513"/>
      <c r="I82" s="513"/>
      <c r="J82" s="513"/>
      <c r="K82" s="513"/>
      <c r="L82" s="513"/>
      <c r="M82" s="513"/>
      <c r="N82" s="513"/>
      <c r="O82" s="513"/>
      <c r="P82" s="513"/>
      <c r="Q82" s="513"/>
      <c r="R82" s="513"/>
      <c r="S82" s="513"/>
      <c r="T82" s="555" t="s">
        <v>633</v>
      </c>
      <c r="U82" s="513"/>
      <c r="V82" s="555"/>
      <c r="W82" s="517">
        <f>SUM(X48)</f>
        <v>15</v>
      </c>
      <c r="X82" s="517">
        <v>0</v>
      </c>
      <c r="Y82" s="517">
        <f>SUM(W82:X82)</f>
        <v>15</v>
      </c>
      <c r="Z82" s="488"/>
      <c r="AA82" s="517">
        <f t="shared" si="2"/>
        <v>0</v>
      </c>
      <c r="AB82" s="517">
        <f t="shared" si="2"/>
        <v>0</v>
      </c>
      <c r="AC82" s="488">
        <f>SUM(AA82:AB82)</f>
        <v>0</v>
      </c>
    </row>
    <row r="83" spans="1:29" x14ac:dyDescent="0.2">
      <c r="A83" s="513"/>
      <c r="B83" s="513"/>
      <c r="C83" s="557" t="s">
        <v>233</v>
      </c>
      <c r="D83" s="558">
        <v>0</v>
      </c>
      <c r="E83" s="558">
        <v>0</v>
      </c>
      <c r="F83" s="558">
        <f>SUM(D83:E83)</f>
        <v>0</v>
      </c>
      <c r="G83" s="513"/>
      <c r="H83" s="513"/>
      <c r="I83" s="513"/>
      <c r="J83" s="513"/>
      <c r="K83" s="513"/>
      <c r="L83" s="513"/>
      <c r="M83" s="513"/>
      <c r="N83" s="513"/>
      <c r="O83" s="513"/>
      <c r="P83" s="513"/>
      <c r="Q83" s="513"/>
      <c r="R83" s="513"/>
      <c r="S83" s="513"/>
      <c r="T83" s="557" t="s">
        <v>233</v>
      </c>
      <c r="U83" s="559"/>
      <c r="V83" s="560"/>
      <c r="W83" s="558">
        <v>0</v>
      </c>
      <c r="X83" s="558">
        <v>0</v>
      </c>
      <c r="Y83" s="558">
        <f>SUM(W83:X83)</f>
        <v>0</v>
      </c>
      <c r="Z83" s="488"/>
      <c r="AA83" s="558">
        <f t="shared" si="2"/>
        <v>0</v>
      </c>
      <c r="AB83" s="558">
        <f t="shared" si="2"/>
        <v>0</v>
      </c>
      <c r="AC83" s="558">
        <f>SUM(AA83:AB83)</f>
        <v>0</v>
      </c>
    </row>
    <row r="84" spans="1:29" x14ac:dyDescent="0.2">
      <c r="A84" s="513"/>
      <c r="B84" s="513"/>
      <c r="C84" s="561" t="s">
        <v>622</v>
      </c>
      <c r="D84" s="517">
        <f>SUM(D81:D83)</f>
        <v>37386</v>
      </c>
      <c r="E84" s="517">
        <f>SUM(E81:E83)</f>
        <v>161</v>
      </c>
      <c r="F84" s="517">
        <f>SUM(F81:F83)</f>
        <v>37547</v>
      </c>
      <c r="G84" s="513"/>
      <c r="H84" s="513"/>
      <c r="I84" s="513"/>
      <c r="J84" s="513"/>
      <c r="K84" s="513"/>
      <c r="L84" s="513"/>
      <c r="M84" s="513"/>
      <c r="N84" s="513"/>
      <c r="O84" s="513"/>
      <c r="P84" s="513"/>
      <c r="Q84" s="513"/>
      <c r="R84" s="513"/>
      <c r="S84" s="513"/>
      <c r="T84" s="561" t="s">
        <v>622</v>
      </c>
      <c r="U84" s="513"/>
      <c r="V84" s="561"/>
      <c r="W84" s="517">
        <f>SUM(W81:W83)</f>
        <v>29547</v>
      </c>
      <c r="X84" s="517">
        <f>SUM(X81:X83)</f>
        <v>0</v>
      </c>
      <c r="Y84" s="517">
        <f>SUM(Y81:Y83)</f>
        <v>29547</v>
      </c>
      <c r="Z84" s="488"/>
      <c r="AA84" s="517">
        <f>SUM(AA81:AA83)</f>
        <v>-7839</v>
      </c>
      <c r="AB84" s="517">
        <f>SUM(AB81:AB83)</f>
        <v>-161</v>
      </c>
      <c r="AC84" s="517">
        <f>SUM(AC81:AC83)</f>
        <v>-8000</v>
      </c>
    </row>
    <row r="85" spans="1:29" x14ac:dyDescent="0.2">
      <c r="A85" s="513"/>
      <c r="B85" s="513"/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13"/>
      <c r="O85" s="513"/>
      <c r="P85" s="513"/>
      <c r="Q85" s="513"/>
      <c r="R85" s="513"/>
      <c r="S85" s="513"/>
      <c r="T85" s="513"/>
      <c r="U85" s="513"/>
      <c r="V85" s="513"/>
      <c r="W85" s="513"/>
      <c r="X85" s="513"/>
      <c r="Y85" s="513"/>
      <c r="Z85" s="398"/>
      <c r="AA85" s="517"/>
      <c r="AB85" s="517"/>
      <c r="AC85" s="398"/>
    </row>
    <row r="86" spans="1:29" x14ac:dyDescent="0.2">
      <c r="A86" s="564"/>
      <c r="B86" s="564"/>
      <c r="C86" s="564" t="s">
        <v>236</v>
      </c>
      <c r="D86" s="565">
        <f>SUM(D84,D78,D72)</f>
        <v>1335814</v>
      </c>
      <c r="E86" s="565">
        <f>SUM(E84,E78,E72)</f>
        <v>1249799</v>
      </c>
      <c r="F86" s="565">
        <f>SUM(F84,F78,F72)</f>
        <v>2585613</v>
      </c>
      <c r="G86" s="564"/>
      <c r="H86" s="564"/>
      <c r="I86" s="564"/>
      <c r="J86" s="564"/>
      <c r="K86" s="564"/>
      <c r="L86" s="564"/>
      <c r="M86" s="564"/>
      <c r="N86" s="564"/>
      <c r="O86" s="564"/>
      <c r="P86" s="564"/>
      <c r="Q86" s="564"/>
      <c r="R86" s="564"/>
      <c r="S86" s="564"/>
      <c r="T86" s="564" t="s">
        <v>236</v>
      </c>
      <c r="U86" s="564"/>
      <c r="V86" s="564"/>
      <c r="W86" s="565">
        <f>SUM(W84,W78,W72)</f>
        <v>1301272</v>
      </c>
      <c r="X86" s="565">
        <f>SUM(X84,X78,X72)</f>
        <v>1284341</v>
      </c>
      <c r="Y86" s="565">
        <f>SUM(Y84,Y78,Y72)</f>
        <v>2585613</v>
      </c>
      <c r="Z86" s="379"/>
      <c r="AA86" s="565">
        <f>SUM(AA84,AA78,AA72)</f>
        <v>-34542</v>
      </c>
      <c r="AB86" s="565">
        <f>SUM(AB84,AB78,AB72)</f>
        <v>34542</v>
      </c>
      <c r="AC86" s="565">
        <f>SUM(AC84,AC78,AC72)</f>
        <v>0</v>
      </c>
    </row>
    <row r="87" spans="1:29" x14ac:dyDescent="0.2">
      <c r="A87" s="513"/>
      <c r="B87" s="513"/>
      <c r="C87" s="513"/>
      <c r="D87" s="513"/>
      <c r="E87" s="513"/>
      <c r="F87" s="513"/>
      <c r="G87" s="513"/>
      <c r="H87" s="513"/>
      <c r="I87" s="513"/>
      <c r="J87" s="513"/>
      <c r="K87" s="513"/>
      <c r="L87" s="513"/>
      <c r="M87" s="513"/>
      <c r="N87" s="513"/>
      <c r="O87" s="513"/>
      <c r="P87" s="513"/>
      <c r="Q87" s="513"/>
      <c r="R87" s="513"/>
      <c r="S87" s="513"/>
      <c r="T87" s="513"/>
      <c r="U87" s="513"/>
      <c r="V87" s="513"/>
      <c r="W87" s="513"/>
      <c r="X87" s="513"/>
      <c r="Y87" s="513"/>
      <c r="Z87" s="513"/>
      <c r="AA87" s="513"/>
      <c r="AB87" s="513"/>
      <c r="AC87" s="398"/>
    </row>
    <row r="88" spans="1:29" x14ac:dyDescent="0.2">
      <c r="A88" s="513"/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3"/>
      <c r="M88" s="513"/>
      <c r="N88" s="513"/>
      <c r="O88" s="513"/>
      <c r="P88" s="513"/>
      <c r="Q88" s="513"/>
      <c r="R88" s="513"/>
      <c r="S88" s="513"/>
      <c r="T88" s="513"/>
      <c r="U88" s="513"/>
      <c r="V88" s="513"/>
      <c r="W88" s="513"/>
      <c r="X88" s="513"/>
      <c r="Y88" s="513"/>
      <c r="Z88" s="513"/>
      <c r="AA88" s="513"/>
      <c r="AB88" s="513"/>
      <c r="AC88" s="398"/>
    </row>
  </sheetData>
  <mergeCells count="160">
    <mergeCell ref="G9:I9"/>
    <mergeCell ref="G7:I7"/>
    <mergeCell ref="G11:I11"/>
    <mergeCell ref="R7:U7"/>
    <mergeCell ref="L10:O10"/>
    <mergeCell ref="L7:O7"/>
    <mergeCell ref="R10:U10"/>
    <mergeCell ref="R11:U11"/>
    <mergeCell ref="G10:I10"/>
    <mergeCell ref="L9:O9"/>
    <mergeCell ref="R8:U8"/>
    <mergeCell ref="K7:K20"/>
    <mergeCell ref="R18:U18"/>
    <mergeCell ref="R17:U17"/>
    <mergeCell ref="R20:U20"/>
    <mergeCell ref="Q7:Q20"/>
    <mergeCell ref="L11:O11"/>
    <mergeCell ref="L15:O15"/>
    <mergeCell ref="L18:O18"/>
    <mergeCell ref="L19:O20"/>
    <mergeCell ref="G15:I15"/>
    <mergeCell ref="G8:I8"/>
    <mergeCell ref="G14:I14"/>
    <mergeCell ref="G13:I13"/>
    <mergeCell ref="T1:AB1"/>
    <mergeCell ref="X5:Z5"/>
    <mergeCell ref="AA5:AC5"/>
    <mergeCell ref="A3:X4"/>
    <mergeCell ref="A5:C6"/>
    <mergeCell ref="L5:Q6"/>
    <mergeCell ref="R5:W6"/>
    <mergeCell ref="L8:O8"/>
    <mergeCell ref="D5:F5"/>
    <mergeCell ref="G5:K6"/>
    <mergeCell ref="AA35:AC35"/>
    <mergeCell ref="R35:W36"/>
    <mergeCell ref="X35:Z35"/>
    <mergeCell ref="W7:W20"/>
    <mergeCell ref="R15:U15"/>
    <mergeCell ref="R9:U9"/>
    <mergeCell ref="S34:V34"/>
    <mergeCell ref="R12:U12"/>
    <mergeCell ref="R16:U16"/>
    <mergeCell ref="R13:U13"/>
    <mergeCell ref="R14:U14"/>
    <mergeCell ref="R27:U27"/>
    <mergeCell ref="W30:W33"/>
    <mergeCell ref="R31:U31"/>
    <mergeCell ref="R30:U30"/>
    <mergeCell ref="W21:W26"/>
    <mergeCell ref="R21:U21"/>
    <mergeCell ref="R24:U24"/>
    <mergeCell ref="W28:W29"/>
    <mergeCell ref="R29:U29"/>
    <mergeCell ref="R28:U28"/>
    <mergeCell ref="G12:I12"/>
    <mergeCell ref="G17:I17"/>
    <mergeCell ref="L17:O17"/>
    <mergeCell ref="L13:O13"/>
    <mergeCell ref="L14:O14"/>
    <mergeCell ref="A30:C30"/>
    <mergeCell ref="A34:C34"/>
    <mergeCell ref="H34:J34"/>
    <mergeCell ref="K30:K33"/>
    <mergeCell ref="L33:O33"/>
    <mergeCell ref="L31:O31"/>
    <mergeCell ref="L30:O30"/>
    <mergeCell ref="L32:O32"/>
    <mergeCell ref="L12:O12"/>
    <mergeCell ref="L23:O23"/>
    <mergeCell ref="L22:O22"/>
    <mergeCell ref="L28:O28"/>
    <mergeCell ref="L24:O25"/>
    <mergeCell ref="G21:I21"/>
    <mergeCell ref="K21:K26"/>
    <mergeCell ref="L21:O21"/>
    <mergeCell ref="G27:I27"/>
    <mergeCell ref="B27:C27"/>
    <mergeCell ref="L16:O16"/>
    <mergeCell ref="W37:W47"/>
    <mergeCell ref="R40:U40"/>
    <mergeCell ref="R42:U42"/>
    <mergeCell ref="R43:U43"/>
    <mergeCell ref="M34:P34"/>
    <mergeCell ref="R37:U37"/>
    <mergeCell ref="B39:C39"/>
    <mergeCell ref="G41:I41"/>
    <mergeCell ref="Q21:Q26"/>
    <mergeCell ref="Q28:Q29"/>
    <mergeCell ref="Q30:Q33"/>
    <mergeCell ref="K28:K29"/>
    <mergeCell ref="G22:I22"/>
    <mergeCell ref="L29:O29"/>
    <mergeCell ref="L27:O27"/>
    <mergeCell ref="P24:P25"/>
    <mergeCell ref="L26:O26"/>
    <mergeCell ref="L35:Q36"/>
    <mergeCell ref="K37:K47"/>
    <mergeCell ref="R45:U45"/>
    <mergeCell ref="R39:U39"/>
    <mergeCell ref="R38:U38"/>
    <mergeCell ref="A35:C36"/>
    <mergeCell ref="D35:F35"/>
    <mergeCell ref="A52:C53"/>
    <mergeCell ref="D52:F52"/>
    <mergeCell ref="G52:K53"/>
    <mergeCell ref="P37:P38"/>
    <mergeCell ref="P39:P40"/>
    <mergeCell ref="G38:I38"/>
    <mergeCell ref="G37:I37"/>
    <mergeCell ref="Q37:Q47"/>
    <mergeCell ref="L39:O40"/>
    <mergeCell ref="G35:K36"/>
    <mergeCell ref="L37:O38"/>
    <mergeCell ref="R41:U41"/>
    <mergeCell ref="R44:U44"/>
    <mergeCell ref="A50:C50"/>
    <mergeCell ref="H50:J50"/>
    <mergeCell ref="M50:P50"/>
    <mergeCell ref="B48:C48"/>
    <mergeCell ref="G48:I48"/>
    <mergeCell ref="S50:V50"/>
    <mergeCell ref="R52:W53"/>
    <mergeCell ref="R58:U58"/>
    <mergeCell ref="AA52:AC52"/>
    <mergeCell ref="G55:I55"/>
    <mergeCell ref="L55:O55"/>
    <mergeCell ref="Q55:Q58"/>
    <mergeCell ref="R55:U55"/>
    <mergeCell ref="G54:I54"/>
    <mergeCell ref="X52:Z52"/>
    <mergeCell ref="R56:U56"/>
    <mergeCell ref="L52:Q53"/>
    <mergeCell ref="G56:I56"/>
    <mergeCell ref="W55:W58"/>
    <mergeCell ref="G58:I58"/>
    <mergeCell ref="A63:C63"/>
    <mergeCell ref="H63:J63"/>
    <mergeCell ref="M63:P63"/>
    <mergeCell ref="S63:V63"/>
    <mergeCell ref="A56:C56"/>
    <mergeCell ref="Q59:Q62"/>
    <mergeCell ref="R57:U57"/>
    <mergeCell ref="G57:I57"/>
    <mergeCell ref="K54:K58"/>
    <mergeCell ref="A60:C60"/>
    <mergeCell ref="R60:U60"/>
    <mergeCell ref="L60:O60"/>
    <mergeCell ref="G59:I59"/>
    <mergeCell ref="K59:K62"/>
    <mergeCell ref="L59:O59"/>
    <mergeCell ref="V68:W68"/>
    <mergeCell ref="A64:C64"/>
    <mergeCell ref="H64:J64"/>
    <mergeCell ref="M64:P64"/>
    <mergeCell ref="S64:V64"/>
    <mergeCell ref="D66:F66"/>
    <mergeCell ref="W66:Y66"/>
    <mergeCell ref="AA66:AC66"/>
    <mergeCell ref="S67:V67"/>
  </mergeCells>
  <phoneticPr fontId="2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9"/>
  <sheetViews>
    <sheetView zoomScaleNormal="100" workbookViewId="0">
      <pane xSplit="1" ySplit="6" topLeftCell="B20" activePane="bottomRight" state="frozen"/>
      <selection pane="topRight" activeCell="B1" sqref="B1"/>
      <selection pane="bottomLeft" activeCell="A6" sqref="A6"/>
      <selection pane="bottomRight" activeCell="M2" sqref="M2"/>
    </sheetView>
  </sheetViews>
  <sheetFormatPr defaultRowHeight="12.75" x14ac:dyDescent="0.2"/>
  <cols>
    <col min="1" max="1" width="29" customWidth="1"/>
  </cols>
  <sheetData>
    <row r="1" spans="1:13" ht="15" x14ac:dyDescent="0.2">
      <c r="H1" s="4"/>
      <c r="I1" s="4"/>
      <c r="J1" s="4"/>
      <c r="K1" s="4"/>
      <c r="L1" s="4"/>
      <c r="M1" s="9" t="s">
        <v>1090</v>
      </c>
    </row>
    <row r="2" spans="1:13" x14ac:dyDescent="0.2">
      <c r="H2" s="4"/>
      <c r="I2" s="4"/>
      <c r="J2" s="4"/>
      <c r="K2" s="4"/>
      <c r="L2" s="4"/>
      <c r="M2" s="5"/>
    </row>
    <row r="3" spans="1:13" s="125" customFormat="1" ht="14.25" customHeight="1" x14ac:dyDescent="0.25">
      <c r="A3" s="1021" t="s">
        <v>881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</row>
    <row r="4" spans="1:13" s="125" customFormat="1" ht="14.25" customHeight="1" x14ac:dyDescent="0.25">
      <c r="A4" s="1021" t="s">
        <v>727</v>
      </c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</row>
    <row r="5" spans="1:13" s="125" customFormat="1" ht="18" customHeight="1" x14ac:dyDescent="0.25">
      <c r="A5" s="1021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</row>
    <row r="6" spans="1:13" s="124" customFormat="1" x14ac:dyDescent="0.2">
      <c r="A6" s="617" t="s">
        <v>619</v>
      </c>
      <c r="B6" s="199" t="s">
        <v>584</v>
      </c>
      <c r="C6" s="199" t="s">
        <v>585</v>
      </c>
      <c r="D6" s="199" t="s">
        <v>586</v>
      </c>
      <c r="E6" s="199" t="s">
        <v>587</v>
      </c>
      <c r="F6" s="199" t="s">
        <v>588</v>
      </c>
      <c r="G6" s="199" t="s">
        <v>589</v>
      </c>
      <c r="H6" s="199" t="s">
        <v>590</v>
      </c>
      <c r="I6" s="199" t="s">
        <v>591</v>
      </c>
      <c r="J6" s="199" t="s">
        <v>592</v>
      </c>
      <c r="K6" s="199" t="s">
        <v>593</v>
      </c>
      <c r="L6" s="199" t="s">
        <v>594</v>
      </c>
      <c r="M6" s="199" t="s">
        <v>595</v>
      </c>
    </row>
    <row r="7" spans="1:13" s="128" customFormat="1" x14ac:dyDescent="0.2">
      <c r="A7" s="618" t="s">
        <v>886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s="126" customFormat="1" x14ac:dyDescent="0.2">
      <c r="A8" s="619" t="s">
        <v>596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spans="1:13" s="127" customFormat="1" x14ac:dyDescent="0.2">
      <c r="A9" s="620" t="s">
        <v>697</v>
      </c>
      <c r="B9" s="202">
        <v>19</v>
      </c>
      <c r="C9" s="202">
        <v>19</v>
      </c>
      <c r="D9" s="202">
        <v>19</v>
      </c>
      <c r="E9" s="202">
        <v>19</v>
      </c>
      <c r="F9" s="202">
        <v>19</v>
      </c>
      <c r="G9" s="202">
        <v>19</v>
      </c>
      <c r="H9" s="202">
        <v>19</v>
      </c>
      <c r="I9" s="202">
        <v>19</v>
      </c>
      <c r="J9" s="202">
        <v>19</v>
      </c>
      <c r="K9" s="202">
        <v>19</v>
      </c>
      <c r="L9" s="202">
        <v>19</v>
      </c>
      <c r="M9" s="202">
        <v>19</v>
      </c>
    </row>
    <row r="10" spans="1:13" s="127" customFormat="1" ht="12.75" customHeight="1" x14ac:dyDescent="0.2">
      <c r="A10" s="620" t="s">
        <v>0</v>
      </c>
      <c r="B10" s="202">
        <v>4</v>
      </c>
      <c r="C10" s="202">
        <v>4</v>
      </c>
      <c r="D10" s="202">
        <v>4</v>
      </c>
      <c r="E10" s="202">
        <v>4</v>
      </c>
      <c r="F10" s="202">
        <v>4</v>
      </c>
      <c r="G10" s="202">
        <v>4</v>
      </c>
      <c r="H10" s="202">
        <v>4</v>
      </c>
      <c r="I10" s="202">
        <v>4</v>
      </c>
      <c r="J10" s="202">
        <v>4</v>
      </c>
      <c r="K10" s="202">
        <v>4</v>
      </c>
      <c r="L10" s="202">
        <v>4</v>
      </c>
      <c r="M10" s="202">
        <v>4</v>
      </c>
    </row>
    <row r="11" spans="1:13" s="127" customFormat="1" x14ac:dyDescent="0.2">
      <c r="A11" s="621" t="s">
        <v>698</v>
      </c>
      <c r="B11" s="202">
        <v>10</v>
      </c>
      <c r="C11" s="202">
        <v>10</v>
      </c>
      <c r="D11" s="202">
        <v>10</v>
      </c>
      <c r="E11" s="202">
        <v>10</v>
      </c>
      <c r="F11" s="202">
        <v>10</v>
      </c>
      <c r="G11" s="202">
        <v>10</v>
      </c>
      <c r="H11" s="202">
        <v>10</v>
      </c>
      <c r="I11" s="202">
        <v>10</v>
      </c>
      <c r="J11" s="202">
        <v>10</v>
      </c>
      <c r="K11" s="202">
        <v>10</v>
      </c>
      <c r="L11" s="202">
        <v>10</v>
      </c>
      <c r="M11" s="202">
        <v>10</v>
      </c>
    </row>
    <row r="12" spans="1:13" s="127" customFormat="1" x14ac:dyDescent="0.2">
      <c r="A12" s="620" t="s">
        <v>597</v>
      </c>
      <c r="B12" s="202">
        <v>1</v>
      </c>
      <c r="C12" s="202">
        <v>1</v>
      </c>
      <c r="D12" s="202">
        <v>1</v>
      </c>
      <c r="E12" s="202">
        <v>1</v>
      </c>
      <c r="F12" s="202">
        <v>1</v>
      </c>
      <c r="G12" s="202">
        <v>1</v>
      </c>
      <c r="H12" s="202">
        <v>1</v>
      </c>
      <c r="I12" s="202">
        <v>1</v>
      </c>
      <c r="J12" s="202">
        <v>1</v>
      </c>
      <c r="K12" s="202">
        <v>1</v>
      </c>
      <c r="L12" s="202">
        <v>1</v>
      </c>
      <c r="M12" s="202">
        <v>1</v>
      </c>
    </row>
    <row r="13" spans="1:13" s="127" customFormat="1" x14ac:dyDescent="0.2">
      <c r="A13" s="620" t="s">
        <v>699</v>
      </c>
      <c r="B13" s="202">
        <v>1</v>
      </c>
      <c r="C13" s="202">
        <v>1</v>
      </c>
      <c r="D13" s="202">
        <v>1</v>
      </c>
      <c r="E13" s="202">
        <v>1</v>
      </c>
      <c r="F13" s="202">
        <v>1</v>
      </c>
      <c r="G13" s="202">
        <v>1</v>
      </c>
      <c r="H13" s="202">
        <v>1</v>
      </c>
      <c r="I13" s="202">
        <v>1</v>
      </c>
      <c r="J13" s="202">
        <v>1</v>
      </c>
      <c r="K13" s="202">
        <v>1</v>
      </c>
      <c r="L13" s="202">
        <v>1</v>
      </c>
      <c r="M13" s="202">
        <v>1</v>
      </c>
    </row>
    <row r="14" spans="1:13" s="126" customFormat="1" ht="25.5" x14ac:dyDescent="0.2">
      <c r="A14" s="619" t="s">
        <v>924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</row>
    <row r="15" spans="1:13" s="127" customFormat="1" x14ac:dyDescent="0.2">
      <c r="A15" s="620" t="s">
        <v>600</v>
      </c>
      <c r="B15" s="202">
        <v>2</v>
      </c>
      <c r="C15" s="202">
        <v>2</v>
      </c>
      <c r="D15" s="202">
        <v>2</v>
      </c>
      <c r="E15" s="202">
        <v>2</v>
      </c>
      <c r="F15" s="202">
        <v>2</v>
      </c>
      <c r="G15" s="202">
        <v>2</v>
      </c>
      <c r="H15" s="202">
        <v>2</v>
      </c>
      <c r="I15" s="202">
        <v>2</v>
      </c>
      <c r="J15" s="202">
        <v>2</v>
      </c>
      <c r="K15" s="202">
        <v>2</v>
      </c>
      <c r="L15" s="202">
        <v>2</v>
      </c>
      <c r="M15" s="202">
        <v>2</v>
      </c>
    </row>
    <row r="16" spans="1:13" s="127" customFormat="1" x14ac:dyDescent="0.2">
      <c r="A16" s="620" t="s">
        <v>598</v>
      </c>
      <c r="B16" s="202">
        <v>1</v>
      </c>
      <c r="C16" s="202">
        <v>1</v>
      </c>
      <c r="D16" s="202">
        <v>1</v>
      </c>
      <c r="E16" s="202">
        <v>1</v>
      </c>
      <c r="F16" s="202">
        <v>1</v>
      </c>
      <c r="G16" s="202">
        <v>1</v>
      </c>
      <c r="H16" s="202">
        <v>1</v>
      </c>
      <c r="I16" s="202">
        <v>1</v>
      </c>
      <c r="J16" s="202">
        <v>1</v>
      </c>
      <c r="K16" s="202">
        <v>1</v>
      </c>
      <c r="L16" s="202">
        <v>1</v>
      </c>
      <c r="M16" s="202">
        <v>1</v>
      </c>
    </row>
    <row r="17" spans="1:13" s="126" customFormat="1" ht="12.75" customHeight="1" x14ac:dyDescent="0.2">
      <c r="A17" s="619" t="s">
        <v>599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</row>
    <row r="18" spans="1:13" s="127" customFormat="1" x14ac:dyDescent="0.2">
      <c r="A18" s="620" t="s">
        <v>600</v>
      </c>
      <c r="B18" s="202">
        <v>2</v>
      </c>
      <c r="C18" s="202">
        <v>2</v>
      </c>
      <c r="D18" s="202">
        <v>2</v>
      </c>
      <c r="E18" s="202">
        <v>2</v>
      </c>
      <c r="F18" s="202">
        <v>2</v>
      </c>
      <c r="G18" s="202">
        <v>2</v>
      </c>
      <c r="H18" s="202">
        <v>2</v>
      </c>
      <c r="I18" s="202">
        <v>2</v>
      </c>
      <c r="J18" s="202">
        <v>2</v>
      </c>
      <c r="K18" s="202">
        <v>2</v>
      </c>
      <c r="L18" s="202">
        <v>2</v>
      </c>
      <c r="M18" s="202">
        <v>2</v>
      </c>
    </row>
    <row r="19" spans="1:13" s="127" customFormat="1" x14ac:dyDescent="0.2">
      <c r="A19" s="620" t="s">
        <v>601</v>
      </c>
      <c r="B19" s="202">
        <v>1</v>
      </c>
      <c r="C19" s="202">
        <v>1</v>
      </c>
      <c r="D19" s="202">
        <v>1</v>
      </c>
      <c r="E19" s="202">
        <v>1</v>
      </c>
      <c r="F19" s="202">
        <v>1</v>
      </c>
      <c r="G19" s="202">
        <v>1</v>
      </c>
      <c r="H19" s="202">
        <v>1</v>
      </c>
      <c r="I19" s="202">
        <v>1</v>
      </c>
      <c r="J19" s="202">
        <v>1</v>
      </c>
      <c r="K19" s="202">
        <v>1</v>
      </c>
      <c r="L19" s="202">
        <v>1</v>
      </c>
      <c r="M19" s="202">
        <v>1</v>
      </c>
    </row>
    <row r="20" spans="1:13" s="126" customFormat="1" ht="27" customHeight="1" x14ac:dyDescent="0.2">
      <c r="A20" s="619" t="s">
        <v>1001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</row>
    <row r="21" spans="1:13" s="127" customFormat="1" x14ac:dyDescent="0.2">
      <c r="A21" s="620" t="s">
        <v>1002</v>
      </c>
      <c r="B21" s="202">
        <v>0</v>
      </c>
      <c r="C21" s="202">
        <v>1</v>
      </c>
      <c r="D21" s="202">
        <v>1</v>
      </c>
      <c r="E21" s="202">
        <v>1</v>
      </c>
      <c r="F21" s="202">
        <v>1</v>
      </c>
      <c r="G21" s="202">
        <v>1</v>
      </c>
      <c r="H21" s="202">
        <v>1</v>
      </c>
      <c r="I21" s="202">
        <v>1</v>
      </c>
      <c r="J21" s="202">
        <v>1</v>
      </c>
      <c r="K21" s="202">
        <v>1</v>
      </c>
      <c r="L21" s="202">
        <v>1</v>
      </c>
      <c r="M21" s="202">
        <v>1</v>
      </c>
    </row>
    <row r="22" spans="1:13" s="127" customFormat="1" x14ac:dyDescent="0.2">
      <c r="A22" s="620" t="s">
        <v>1003</v>
      </c>
      <c r="B22" s="202">
        <v>0</v>
      </c>
      <c r="C22" s="202">
        <v>1</v>
      </c>
      <c r="D22" s="202">
        <v>1</v>
      </c>
      <c r="E22" s="202">
        <v>1</v>
      </c>
      <c r="F22" s="202">
        <v>1</v>
      </c>
      <c r="G22" s="202">
        <v>1</v>
      </c>
      <c r="H22" s="202">
        <v>1</v>
      </c>
      <c r="I22" s="202">
        <v>1</v>
      </c>
      <c r="J22" s="202">
        <v>1</v>
      </c>
      <c r="K22" s="202">
        <v>1</v>
      </c>
      <c r="L22" s="202">
        <v>1</v>
      </c>
      <c r="M22" s="202">
        <v>1</v>
      </c>
    </row>
    <row r="23" spans="1:13" s="127" customFormat="1" x14ac:dyDescent="0.2">
      <c r="A23" s="620" t="s">
        <v>1004</v>
      </c>
      <c r="B23" s="202">
        <v>0</v>
      </c>
      <c r="C23" s="202">
        <v>1</v>
      </c>
      <c r="D23" s="202">
        <v>1</v>
      </c>
      <c r="E23" s="202">
        <v>1</v>
      </c>
      <c r="F23" s="202">
        <v>1</v>
      </c>
      <c r="G23" s="202">
        <v>1</v>
      </c>
      <c r="H23" s="202">
        <v>1</v>
      </c>
      <c r="I23" s="202">
        <v>1</v>
      </c>
      <c r="J23" s="202">
        <v>1</v>
      </c>
      <c r="K23" s="202">
        <v>1</v>
      </c>
      <c r="L23" s="202">
        <v>1</v>
      </c>
      <c r="M23" s="202">
        <v>1</v>
      </c>
    </row>
    <row r="24" spans="1:13" s="278" customFormat="1" ht="38.25" x14ac:dyDescent="0.2">
      <c r="A24" s="622" t="s">
        <v>887</v>
      </c>
      <c r="B24" s="277">
        <f>SUM(B9:B23)</f>
        <v>41</v>
      </c>
      <c r="C24" s="277">
        <f t="shared" ref="C24:M24" si="0">SUM(C9:C23)</f>
        <v>44</v>
      </c>
      <c r="D24" s="277">
        <f t="shared" si="0"/>
        <v>44</v>
      </c>
      <c r="E24" s="277">
        <f t="shared" si="0"/>
        <v>44</v>
      </c>
      <c r="F24" s="277">
        <f t="shared" si="0"/>
        <v>44</v>
      </c>
      <c r="G24" s="277">
        <f t="shared" si="0"/>
        <v>44</v>
      </c>
      <c r="H24" s="277">
        <f t="shared" si="0"/>
        <v>44</v>
      </c>
      <c r="I24" s="277">
        <f t="shared" si="0"/>
        <v>44</v>
      </c>
      <c r="J24" s="277">
        <f t="shared" si="0"/>
        <v>44</v>
      </c>
      <c r="K24" s="277">
        <f t="shared" si="0"/>
        <v>44</v>
      </c>
      <c r="L24" s="277">
        <f t="shared" si="0"/>
        <v>44</v>
      </c>
      <c r="M24" s="277">
        <f t="shared" si="0"/>
        <v>44</v>
      </c>
    </row>
    <row r="25" spans="1:13" s="127" customFormat="1" ht="14.25" customHeight="1" x14ac:dyDescent="0.2">
      <c r="A25" s="620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</row>
    <row r="26" spans="1:13" s="128" customFormat="1" x14ac:dyDescent="0.2">
      <c r="A26" s="618" t="s">
        <v>633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</row>
    <row r="27" spans="1:13" s="127" customFormat="1" x14ac:dyDescent="0.2">
      <c r="A27" s="624" t="s">
        <v>700</v>
      </c>
      <c r="B27" s="202">
        <v>26</v>
      </c>
      <c r="C27" s="202">
        <v>26</v>
      </c>
      <c r="D27" s="202">
        <v>26</v>
      </c>
      <c r="E27" s="202">
        <v>26</v>
      </c>
      <c r="F27" s="202">
        <v>26</v>
      </c>
      <c r="G27" s="202">
        <v>26</v>
      </c>
      <c r="H27" s="202">
        <v>26</v>
      </c>
      <c r="I27" s="202">
        <v>26</v>
      </c>
      <c r="J27" s="202">
        <v>26</v>
      </c>
      <c r="K27" s="202">
        <v>26</v>
      </c>
      <c r="L27" s="202">
        <v>26</v>
      </c>
      <c r="M27" s="202">
        <v>26</v>
      </c>
    </row>
    <row r="28" spans="1:13" s="127" customFormat="1" ht="25.5" x14ac:dyDescent="0.2">
      <c r="A28" s="624" t="s">
        <v>783</v>
      </c>
      <c r="B28" s="202">
        <v>2</v>
      </c>
      <c r="C28" s="202">
        <v>2</v>
      </c>
      <c r="D28" s="202">
        <v>2</v>
      </c>
      <c r="E28" s="202">
        <v>2</v>
      </c>
      <c r="F28" s="202">
        <v>2</v>
      </c>
      <c r="G28" s="202">
        <v>2</v>
      </c>
      <c r="H28" s="202">
        <v>2</v>
      </c>
      <c r="I28" s="202">
        <v>2</v>
      </c>
      <c r="J28" s="202">
        <v>2</v>
      </c>
      <c r="K28" s="202">
        <v>2</v>
      </c>
      <c r="L28" s="202">
        <v>2</v>
      </c>
      <c r="M28" s="202">
        <v>2</v>
      </c>
    </row>
    <row r="29" spans="1:13" s="128" customFormat="1" x14ac:dyDescent="0.2">
      <c r="A29" s="618" t="s">
        <v>701</v>
      </c>
      <c r="B29" s="200">
        <f t="shared" ref="B29:M29" si="1">SUM(B27:B28)</f>
        <v>28</v>
      </c>
      <c r="C29" s="200">
        <f t="shared" si="1"/>
        <v>28</v>
      </c>
      <c r="D29" s="200">
        <f t="shared" si="1"/>
        <v>28</v>
      </c>
      <c r="E29" s="200">
        <f t="shared" si="1"/>
        <v>28</v>
      </c>
      <c r="F29" s="200">
        <f t="shared" si="1"/>
        <v>28</v>
      </c>
      <c r="G29" s="200">
        <f t="shared" si="1"/>
        <v>28</v>
      </c>
      <c r="H29" s="200">
        <f t="shared" si="1"/>
        <v>28</v>
      </c>
      <c r="I29" s="200">
        <f t="shared" si="1"/>
        <v>28</v>
      </c>
      <c r="J29" s="200">
        <f t="shared" si="1"/>
        <v>28</v>
      </c>
      <c r="K29" s="200">
        <f t="shared" si="1"/>
        <v>28</v>
      </c>
      <c r="L29" s="200">
        <f t="shared" si="1"/>
        <v>28</v>
      </c>
      <c r="M29" s="200">
        <f t="shared" si="1"/>
        <v>28</v>
      </c>
    </row>
    <row r="30" spans="1:13" s="204" customFormat="1" ht="14.25" customHeight="1" x14ac:dyDescent="0.2">
      <c r="A30" s="625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1:13" s="128" customFormat="1" x14ac:dyDescent="0.2">
      <c r="A31" s="618" t="s">
        <v>726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</row>
    <row r="32" spans="1:13" s="127" customFormat="1" x14ac:dyDescent="0.2">
      <c r="A32" s="623" t="s">
        <v>612</v>
      </c>
      <c r="B32" s="202">
        <v>1</v>
      </c>
      <c r="C32" s="202">
        <v>1</v>
      </c>
      <c r="D32" s="202">
        <v>1</v>
      </c>
      <c r="E32" s="202">
        <v>1</v>
      </c>
      <c r="F32" s="202">
        <v>1</v>
      </c>
      <c r="G32" s="202">
        <v>1</v>
      </c>
      <c r="H32" s="202">
        <v>1</v>
      </c>
      <c r="I32" s="202">
        <v>1</v>
      </c>
      <c r="J32" s="202">
        <v>1</v>
      </c>
      <c r="K32" s="202">
        <v>1</v>
      </c>
      <c r="L32" s="202">
        <v>1</v>
      </c>
      <c r="M32" s="202">
        <v>1</v>
      </c>
    </row>
    <row r="33" spans="1:13" s="127" customFormat="1" x14ac:dyDescent="0.2">
      <c r="A33" s="623" t="s">
        <v>613</v>
      </c>
      <c r="B33" s="202">
        <v>1</v>
      </c>
      <c r="C33" s="202">
        <v>1</v>
      </c>
      <c r="D33" s="202">
        <v>1</v>
      </c>
      <c r="E33" s="202">
        <v>1</v>
      </c>
      <c r="F33" s="202">
        <v>1</v>
      </c>
      <c r="G33" s="202">
        <v>1</v>
      </c>
      <c r="H33" s="202">
        <v>1</v>
      </c>
      <c r="I33" s="202">
        <v>1</v>
      </c>
      <c r="J33" s="202">
        <v>1</v>
      </c>
      <c r="K33" s="202">
        <v>1</v>
      </c>
      <c r="L33" s="202">
        <v>1</v>
      </c>
      <c r="M33" s="202">
        <v>1</v>
      </c>
    </row>
    <row r="34" spans="1:13" s="126" customFormat="1" ht="12.75" customHeight="1" x14ac:dyDescent="0.2">
      <c r="A34" s="619" t="s">
        <v>702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</row>
    <row r="35" spans="1:13" s="127" customFormat="1" x14ac:dyDescent="0.2">
      <c r="A35" s="626" t="s">
        <v>610</v>
      </c>
      <c r="B35" s="202">
        <v>12</v>
      </c>
      <c r="C35" s="202">
        <v>12</v>
      </c>
      <c r="D35" s="762">
        <v>12</v>
      </c>
      <c r="E35" s="202">
        <v>12</v>
      </c>
      <c r="F35" s="202">
        <v>12</v>
      </c>
      <c r="G35" s="202">
        <v>12</v>
      </c>
      <c r="H35" s="202">
        <v>12</v>
      </c>
      <c r="I35" s="202">
        <v>12</v>
      </c>
      <c r="J35" s="202">
        <v>12</v>
      </c>
      <c r="K35" s="202">
        <v>12</v>
      </c>
      <c r="L35" s="202">
        <v>12</v>
      </c>
      <c r="M35" s="202">
        <v>12</v>
      </c>
    </row>
    <row r="36" spans="1:13" s="126" customFormat="1" ht="12.75" customHeight="1" x14ac:dyDescent="0.2">
      <c r="A36" s="619" t="s">
        <v>578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</row>
    <row r="37" spans="1:13" s="127" customFormat="1" x14ac:dyDescent="0.2">
      <c r="A37" s="624" t="s">
        <v>579</v>
      </c>
      <c r="B37" s="202">
        <v>2</v>
      </c>
      <c r="C37" s="202">
        <v>2</v>
      </c>
      <c r="D37" s="202">
        <v>2</v>
      </c>
      <c r="E37" s="202">
        <v>2</v>
      </c>
      <c r="F37" s="202">
        <v>2</v>
      </c>
      <c r="G37" s="202">
        <v>2</v>
      </c>
      <c r="H37" s="202">
        <v>2</v>
      </c>
      <c r="I37" s="202">
        <v>2</v>
      </c>
      <c r="J37" s="202">
        <v>2</v>
      </c>
      <c r="K37" s="202">
        <v>2</v>
      </c>
      <c r="L37" s="202">
        <v>2</v>
      </c>
      <c r="M37" s="202">
        <v>2</v>
      </c>
    </row>
    <row r="38" spans="1:13" s="127" customFormat="1" x14ac:dyDescent="0.2">
      <c r="A38" s="623" t="s">
        <v>607</v>
      </c>
      <c r="B38" s="202">
        <v>5.75</v>
      </c>
      <c r="C38" s="202">
        <v>5.75</v>
      </c>
      <c r="D38" s="202">
        <v>5.75</v>
      </c>
      <c r="E38" s="202">
        <v>5.75</v>
      </c>
      <c r="F38" s="202">
        <v>5.75</v>
      </c>
      <c r="G38" s="202">
        <v>5.75</v>
      </c>
      <c r="H38" s="202">
        <v>5.75</v>
      </c>
      <c r="I38" s="202">
        <v>5.75</v>
      </c>
      <c r="J38" s="202">
        <v>5.75</v>
      </c>
      <c r="K38" s="202">
        <v>5.75</v>
      </c>
      <c r="L38" s="202">
        <v>5.75</v>
      </c>
      <c r="M38" s="202">
        <v>5.75</v>
      </c>
    </row>
    <row r="39" spans="1:13" s="127" customFormat="1" x14ac:dyDescent="0.2">
      <c r="A39" s="623" t="s">
        <v>608</v>
      </c>
      <c r="B39" s="202">
        <v>2</v>
      </c>
      <c r="C39" s="202">
        <v>2</v>
      </c>
      <c r="D39" s="202">
        <v>2</v>
      </c>
      <c r="E39" s="202">
        <v>2</v>
      </c>
      <c r="F39" s="202">
        <v>2</v>
      </c>
      <c r="G39" s="202">
        <v>2</v>
      </c>
      <c r="H39" s="202">
        <v>2</v>
      </c>
      <c r="I39" s="202">
        <v>2</v>
      </c>
      <c r="J39" s="202">
        <v>2</v>
      </c>
      <c r="K39" s="202">
        <v>2</v>
      </c>
      <c r="L39" s="202">
        <v>2</v>
      </c>
      <c r="M39" s="202">
        <v>2</v>
      </c>
    </row>
    <row r="40" spans="1:13" s="127" customFormat="1" x14ac:dyDescent="0.2">
      <c r="A40" s="623" t="s">
        <v>609</v>
      </c>
      <c r="B40" s="202">
        <v>1</v>
      </c>
      <c r="C40" s="202">
        <v>1</v>
      </c>
      <c r="D40" s="202">
        <v>1</v>
      </c>
      <c r="E40" s="202">
        <v>1</v>
      </c>
      <c r="F40" s="202">
        <v>1</v>
      </c>
      <c r="G40" s="202">
        <v>1</v>
      </c>
      <c r="H40" s="202">
        <v>1</v>
      </c>
      <c r="I40" s="202">
        <v>1</v>
      </c>
      <c r="J40" s="202">
        <v>1</v>
      </c>
      <c r="K40" s="202">
        <v>1</v>
      </c>
      <c r="L40" s="202">
        <v>1</v>
      </c>
      <c r="M40" s="202">
        <v>1</v>
      </c>
    </row>
    <row r="41" spans="1:13" s="126" customFormat="1" ht="12.75" customHeight="1" x14ac:dyDescent="0.2">
      <c r="A41" s="619" t="s">
        <v>614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</row>
    <row r="42" spans="1:13" s="127" customFormat="1" x14ac:dyDescent="0.2">
      <c r="A42" s="623" t="s">
        <v>615</v>
      </c>
      <c r="B42" s="202">
        <v>3</v>
      </c>
      <c r="C42" s="202">
        <v>3</v>
      </c>
      <c r="D42" s="202">
        <v>3</v>
      </c>
      <c r="E42" s="202">
        <v>3</v>
      </c>
      <c r="F42" s="202">
        <v>3</v>
      </c>
      <c r="G42" s="202">
        <v>3</v>
      </c>
      <c r="H42" s="202">
        <v>3</v>
      </c>
      <c r="I42" s="202">
        <v>3</v>
      </c>
      <c r="J42" s="202">
        <v>3</v>
      </c>
      <c r="K42" s="202">
        <v>3</v>
      </c>
      <c r="L42" s="202">
        <v>3</v>
      </c>
      <c r="M42" s="202">
        <v>3</v>
      </c>
    </row>
    <row r="43" spans="1:13" s="127" customFormat="1" x14ac:dyDescent="0.2">
      <c r="A43" s="623" t="s">
        <v>616</v>
      </c>
      <c r="B43" s="202">
        <v>3</v>
      </c>
      <c r="C43" s="202">
        <v>3</v>
      </c>
      <c r="D43" s="202">
        <v>3</v>
      </c>
      <c r="E43" s="202">
        <v>3</v>
      </c>
      <c r="F43" s="202">
        <v>3</v>
      </c>
      <c r="G43" s="202">
        <v>3</v>
      </c>
      <c r="H43" s="202">
        <v>3</v>
      </c>
      <c r="I43" s="202">
        <v>3</v>
      </c>
      <c r="J43" s="202">
        <v>3</v>
      </c>
      <c r="K43" s="202">
        <v>3</v>
      </c>
      <c r="L43" s="202">
        <v>3</v>
      </c>
      <c r="M43" s="202">
        <v>3</v>
      </c>
    </row>
    <row r="44" spans="1:13" s="126" customFormat="1" ht="12.75" customHeight="1" x14ac:dyDescent="0.2">
      <c r="A44" s="619" t="s">
        <v>617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</row>
    <row r="45" spans="1:13" s="127" customFormat="1" x14ac:dyDescent="0.2">
      <c r="A45" s="623" t="s">
        <v>618</v>
      </c>
      <c r="B45" s="758">
        <v>5</v>
      </c>
      <c r="C45" s="758">
        <v>5</v>
      </c>
      <c r="D45" s="758">
        <v>5</v>
      </c>
      <c r="E45" s="758">
        <v>5</v>
      </c>
      <c r="F45" s="758">
        <v>5</v>
      </c>
      <c r="G45" s="758">
        <v>5</v>
      </c>
      <c r="H45" s="202">
        <v>5</v>
      </c>
      <c r="I45" s="202">
        <v>5</v>
      </c>
      <c r="J45" s="202">
        <v>5</v>
      </c>
      <c r="K45" s="202">
        <v>5</v>
      </c>
      <c r="L45" s="202">
        <v>5</v>
      </c>
      <c r="M45" s="202">
        <v>5</v>
      </c>
    </row>
    <row r="46" spans="1:13" s="126" customFormat="1" ht="12.75" customHeight="1" x14ac:dyDescent="0.2">
      <c r="A46" s="619" t="s">
        <v>602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</row>
    <row r="47" spans="1:13" s="127" customFormat="1" x14ac:dyDescent="0.2">
      <c r="A47" s="623" t="s">
        <v>603</v>
      </c>
      <c r="B47" s="202">
        <v>1</v>
      </c>
      <c r="C47" s="202">
        <v>1</v>
      </c>
      <c r="D47" s="202">
        <v>1</v>
      </c>
      <c r="E47" s="202">
        <v>1</v>
      </c>
      <c r="F47" s="202">
        <v>1</v>
      </c>
      <c r="G47" s="202">
        <v>1</v>
      </c>
      <c r="H47" s="202">
        <v>1</v>
      </c>
      <c r="I47" s="202">
        <v>1</v>
      </c>
      <c r="J47" s="202">
        <v>1</v>
      </c>
      <c r="K47" s="202">
        <v>1</v>
      </c>
      <c r="L47" s="202">
        <v>1</v>
      </c>
      <c r="M47" s="202">
        <v>1</v>
      </c>
    </row>
    <row r="48" spans="1:13" s="127" customFormat="1" x14ac:dyDescent="0.2">
      <c r="A48" s="623" t="s">
        <v>604</v>
      </c>
      <c r="B48" s="202">
        <v>7</v>
      </c>
      <c r="C48" s="202">
        <v>7</v>
      </c>
      <c r="D48" s="202">
        <v>7</v>
      </c>
      <c r="E48" s="202">
        <v>7</v>
      </c>
      <c r="F48" s="202">
        <v>7</v>
      </c>
      <c r="G48" s="202">
        <v>7</v>
      </c>
      <c r="H48" s="202">
        <v>7</v>
      </c>
      <c r="I48" s="202">
        <v>7</v>
      </c>
      <c r="J48" s="202">
        <v>7</v>
      </c>
      <c r="K48" s="202">
        <v>7</v>
      </c>
      <c r="L48" s="202">
        <v>7</v>
      </c>
      <c r="M48" s="202">
        <v>7</v>
      </c>
    </row>
    <row r="49" spans="1:13" s="127" customFormat="1" x14ac:dyDescent="0.2">
      <c r="A49" s="623" t="s">
        <v>784</v>
      </c>
      <c r="B49" s="202">
        <v>1</v>
      </c>
      <c r="C49" s="202">
        <v>1</v>
      </c>
      <c r="D49" s="202">
        <v>1</v>
      </c>
      <c r="E49" s="202">
        <v>1</v>
      </c>
      <c r="F49" s="202">
        <v>1</v>
      </c>
      <c r="G49" s="202">
        <v>1</v>
      </c>
      <c r="H49" s="202">
        <v>1</v>
      </c>
      <c r="I49" s="202">
        <v>1</v>
      </c>
      <c r="J49" s="202">
        <v>1</v>
      </c>
      <c r="K49" s="202">
        <v>1</v>
      </c>
      <c r="L49" s="202">
        <v>1</v>
      </c>
      <c r="M49" s="202">
        <v>1</v>
      </c>
    </row>
    <row r="50" spans="1:13" s="127" customFormat="1" x14ac:dyDescent="0.2">
      <c r="A50" s="623" t="s">
        <v>605</v>
      </c>
      <c r="B50" s="202">
        <v>3</v>
      </c>
      <c r="C50" s="202">
        <v>3</v>
      </c>
      <c r="D50" s="202">
        <v>3</v>
      </c>
      <c r="E50" s="202">
        <v>3</v>
      </c>
      <c r="F50" s="202">
        <v>3</v>
      </c>
      <c r="G50" s="202">
        <v>3</v>
      </c>
      <c r="H50" s="202">
        <v>3</v>
      </c>
      <c r="I50" s="202">
        <v>3</v>
      </c>
      <c r="J50" s="202">
        <v>3</v>
      </c>
      <c r="K50" s="202">
        <v>3</v>
      </c>
      <c r="L50" s="202">
        <v>3</v>
      </c>
      <c r="M50" s="202">
        <v>3</v>
      </c>
    </row>
    <row r="51" spans="1:13" s="127" customFormat="1" x14ac:dyDescent="0.2">
      <c r="A51" s="623" t="s">
        <v>606</v>
      </c>
      <c r="B51" s="202">
        <v>2</v>
      </c>
      <c r="C51" s="202">
        <v>2</v>
      </c>
      <c r="D51" s="202">
        <v>2</v>
      </c>
      <c r="E51" s="202">
        <v>2</v>
      </c>
      <c r="F51" s="202">
        <v>2</v>
      </c>
      <c r="G51" s="202">
        <v>2</v>
      </c>
      <c r="H51" s="202">
        <v>2</v>
      </c>
      <c r="I51" s="202">
        <v>2</v>
      </c>
      <c r="J51" s="202">
        <v>2</v>
      </c>
      <c r="K51" s="202">
        <v>2</v>
      </c>
      <c r="L51" s="202">
        <v>2</v>
      </c>
      <c r="M51" s="202">
        <v>2</v>
      </c>
    </row>
    <row r="52" spans="1:13" s="127" customFormat="1" x14ac:dyDescent="0.2">
      <c r="A52" s="624" t="s">
        <v>579</v>
      </c>
      <c r="B52" s="202">
        <v>1</v>
      </c>
      <c r="C52" s="202">
        <v>1</v>
      </c>
      <c r="D52" s="202">
        <v>1</v>
      </c>
      <c r="E52" s="202">
        <v>1</v>
      </c>
      <c r="F52" s="202">
        <v>1</v>
      </c>
      <c r="G52" s="202">
        <v>1</v>
      </c>
      <c r="H52" s="202">
        <v>1</v>
      </c>
      <c r="I52" s="202">
        <v>1</v>
      </c>
      <c r="J52" s="202">
        <v>1</v>
      </c>
      <c r="K52" s="202">
        <v>1</v>
      </c>
      <c r="L52" s="202">
        <v>1</v>
      </c>
      <c r="M52" s="202">
        <v>1</v>
      </c>
    </row>
    <row r="53" spans="1:13" s="128" customFormat="1" x14ac:dyDescent="0.2">
      <c r="A53" s="618" t="s">
        <v>696</v>
      </c>
      <c r="B53" s="200">
        <f>SUM(B32:B52)</f>
        <v>50.75</v>
      </c>
      <c r="C53" s="200">
        <f t="shared" ref="C53:M53" si="2">SUM(C32:C52)</f>
        <v>50.75</v>
      </c>
      <c r="D53" s="200">
        <f t="shared" si="2"/>
        <v>50.75</v>
      </c>
      <c r="E53" s="200">
        <f t="shared" si="2"/>
        <v>50.75</v>
      </c>
      <c r="F53" s="200">
        <f t="shared" si="2"/>
        <v>50.75</v>
      </c>
      <c r="G53" s="200">
        <f t="shared" si="2"/>
        <v>50.75</v>
      </c>
      <c r="H53" s="200">
        <f t="shared" si="2"/>
        <v>50.75</v>
      </c>
      <c r="I53" s="200">
        <f t="shared" si="2"/>
        <v>50.75</v>
      </c>
      <c r="J53" s="200">
        <f t="shared" si="2"/>
        <v>50.75</v>
      </c>
      <c r="K53" s="200">
        <f t="shared" si="2"/>
        <v>50.75</v>
      </c>
      <c r="L53" s="200">
        <f t="shared" si="2"/>
        <v>50.75</v>
      </c>
      <c r="M53" s="200">
        <f t="shared" si="2"/>
        <v>50.75</v>
      </c>
    </row>
    <row r="54" spans="1:13" s="128" customFormat="1" ht="30.75" customHeight="1" x14ac:dyDescent="0.2">
      <c r="A54" s="627" t="s">
        <v>703</v>
      </c>
      <c r="B54" s="205">
        <f t="shared" ref="B54:M54" si="3">SUM(B53,B29,B24)</f>
        <v>119.75</v>
      </c>
      <c r="C54" s="205">
        <f t="shared" si="3"/>
        <v>122.75</v>
      </c>
      <c r="D54" s="205">
        <f t="shared" si="3"/>
        <v>122.75</v>
      </c>
      <c r="E54" s="205">
        <f t="shared" si="3"/>
        <v>122.75</v>
      </c>
      <c r="F54" s="205">
        <f t="shared" si="3"/>
        <v>122.75</v>
      </c>
      <c r="G54" s="205">
        <f t="shared" si="3"/>
        <v>122.75</v>
      </c>
      <c r="H54" s="205">
        <f t="shared" si="3"/>
        <v>122.75</v>
      </c>
      <c r="I54" s="205">
        <f t="shared" si="3"/>
        <v>122.75</v>
      </c>
      <c r="J54" s="205">
        <f t="shared" si="3"/>
        <v>122.75</v>
      </c>
      <c r="K54" s="205">
        <f t="shared" si="3"/>
        <v>122.75</v>
      </c>
      <c r="L54" s="205">
        <f t="shared" si="3"/>
        <v>122.75</v>
      </c>
      <c r="M54" s="205">
        <f t="shared" si="3"/>
        <v>122.75</v>
      </c>
    </row>
    <row r="55" spans="1:13" s="127" customFormat="1" ht="6" customHeight="1" x14ac:dyDescent="0.2">
      <c r="A55" s="620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</row>
    <row r="56" spans="1:13" s="128" customFormat="1" x14ac:dyDescent="0.2">
      <c r="A56" s="618" t="s">
        <v>611</v>
      </c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</row>
    <row r="57" spans="1:13" s="126" customFormat="1" ht="12.75" customHeight="1" x14ac:dyDescent="0.2">
      <c r="A57" s="619" t="s">
        <v>756</v>
      </c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</row>
    <row r="58" spans="1:13" s="615" customFormat="1" ht="6" customHeight="1" x14ac:dyDescent="0.2">
      <c r="A58" s="628"/>
      <c r="B58" s="614"/>
      <c r="C58" s="614"/>
      <c r="D58" s="614"/>
      <c r="E58" s="614"/>
      <c r="F58" s="614"/>
      <c r="G58" s="614"/>
      <c r="H58" s="614"/>
      <c r="I58" s="614"/>
      <c r="J58" s="614"/>
      <c r="K58" s="614"/>
      <c r="L58" s="614"/>
      <c r="M58" s="614"/>
    </row>
    <row r="59" spans="1:13" s="126" customFormat="1" ht="15" customHeight="1" x14ac:dyDescent="0.2">
      <c r="A59" s="1022" t="s">
        <v>945</v>
      </c>
      <c r="B59" s="1023"/>
      <c r="C59" s="1023"/>
      <c r="D59" s="1024"/>
      <c r="E59" s="616"/>
      <c r="F59" s="616"/>
      <c r="G59" s="616"/>
      <c r="H59" s="616"/>
      <c r="I59" s="616"/>
      <c r="J59" s="616"/>
      <c r="K59" s="616"/>
      <c r="L59" s="616"/>
      <c r="M59" s="616"/>
    </row>
    <row r="60" spans="1:13" s="127" customFormat="1" x14ac:dyDescent="0.2">
      <c r="A60" s="624" t="s">
        <v>1005</v>
      </c>
      <c r="B60" s="202">
        <v>1</v>
      </c>
      <c r="C60" s="202">
        <v>1</v>
      </c>
      <c r="D60" s="202">
        <v>1</v>
      </c>
      <c r="E60" s="202">
        <v>1</v>
      </c>
      <c r="F60" s="202">
        <v>0</v>
      </c>
      <c r="G60" s="202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  <c r="M60" s="202">
        <v>0</v>
      </c>
    </row>
    <row r="61" spans="1:13" s="126" customFormat="1" ht="16.5" customHeight="1" x14ac:dyDescent="0.2">
      <c r="A61" s="1022" t="s">
        <v>1071</v>
      </c>
      <c r="B61" s="1023"/>
      <c r="C61" s="1023"/>
      <c r="D61" s="1023"/>
      <c r="E61" s="1023"/>
      <c r="F61" s="1023"/>
      <c r="G61" s="1023"/>
      <c r="H61" s="1024"/>
      <c r="I61" s="616"/>
      <c r="J61" s="616"/>
      <c r="K61" s="616"/>
      <c r="L61" s="616"/>
      <c r="M61" s="616"/>
    </row>
    <row r="62" spans="1:13" s="615" customFormat="1" ht="25.5" x14ac:dyDescent="0.2">
      <c r="A62" s="624" t="s">
        <v>1070</v>
      </c>
      <c r="B62" s="202">
        <v>46</v>
      </c>
      <c r="C62" s="202">
        <v>46</v>
      </c>
      <c r="D62" s="202">
        <v>0</v>
      </c>
      <c r="E62" s="202">
        <v>0</v>
      </c>
      <c r="F62" s="202">
        <v>0</v>
      </c>
      <c r="G62" s="202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2">
        <v>0</v>
      </c>
    </row>
    <row r="63" spans="1:13" s="615" customFormat="1" ht="15.75" customHeight="1" x14ac:dyDescent="0.2">
      <c r="A63" s="1022" t="s">
        <v>946</v>
      </c>
      <c r="B63" s="1023"/>
      <c r="C63" s="1023"/>
      <c r="D63" s="1024"/>
      <c r="E63" s="616"/>
      <c r="F63" s="616"/>
      <c r="G63" s="616"/>
      <c r="H63" s="616"/>
      <c r="I63" s="616"/>
      <c r="J63" s="616"/>
      <c r="K63" s="616"/>
      <c r="L63" s="616"/>
      <c r="M63" s="616"/>
    </row>
    <row r="64" spans="1:13" s="127" customFormat="1" x14ac:dyDescent="0.2">
      <c r="A64" s="624" t="s">
        <v>1006</v>
      </c>
      <c r="B64" s="202">
        <v>15</v>
      </c>
      <c r="C64" s="202">
        <v>15</v>
      </c>
      <c r="D64" s="202">
        <v>15</v>
      </c>
      <c r="E64" s="202">
        <v>0</v>
      </c>
      <c r="F64" s="202">
        <v>0</v>
      </c>
      <c r="G64" s="202">
        <v>0</v>
      </c>
      <c r="H64" s="202">
        <v>0</v>
      </c>
      <c r="I64" s="202">
        <v>0</v>
      </c>
      <c r="J64" s="202">
        <v>0</v>
      </c>
      <c r="K64" s="202">
        <v>0</v>
      </c>
      <c r="L64" s="202">
        <v>0</v>
      </c>
      <c r="M64" s="202">
        <v>0</v>
      </c>
    </row>
    <row r="65" spans="1:13" s="127" customFormat="1" x14ac:dyDescent="0.2">
      <c r="A65" s="624" t="s">
        <v>1007</v>
      </c>
      <c r="B65" s="202">
        <v>31</v>
      </c>
      <c r="C65" s="202">
        <v>31</v>
      </c>
      <c r="D65" s="202">
        <v>0</v>
      </c>
      <c r="E65" s="202">
        <v>0</v>
      </c>
      <c r="F65" s="202">
        <v>0</v>
      </c>
      <c r="G65" s="202">
        <v>0</v>
      </c>
      <c r="H65" s="202">
        <v>0</v>
      </c>
      <c r="I65" s="202">
        <v>0</v>
      </c>
      <c r="J65" s="202">
        <v>0</v>
      </c>
      <c r="K65" s="202">
        <v>0</v>
      </c>
      <c r="L65" s="202">
        <v>0</v>
      </c>
      <c r="M65" s="202">
        <v>0</v>
      </c>
    </row>
    <row r="66" spans="1:13" s="127" customFormat="1" x14ac:dyDescent="0.2">
      <c r="A66" s="624" t="s">
        <v>1007</v>
      </c>
      <c r="B66" s="202">
        <v>11</v>
      </c>
      <c r="C66" s="202">
        <v>11</v>
      </c>
      <c r="D66" s="202">
        <v>0</v>
      </c>
      <c r="E66" s="202">
        <v>0</v>
      </c>
      <c r="F66" s="202">
        <v>0</v>
      </c>
      <c r="G66" s="202">
        <v>0</v>
      </c>
      <c r="H66" s="202">
        <v>0</v>
      </c>
      <c r="I66" s="202">
        <v>0</v>
      </c>
      <c r="J66" s="202">
        <v>0</v>
      </c>
      <c r="K66" s="202">
        <v>0</v>
      </c>
      <c r="L66" s="202">
        <v>0</v>
      </c>
      <c r="M66" s="202">
        <v>0</v>
      </c>
    </row>
    <row r="67" spans="1:13" s="127" customFormat="1" ht="15" customHeight="1" x14ac:dyDescent="0.2">
      <c r="A67" s="624" t="s">
        <v>1008</v>
      </c>
      <c r="B67" s="202">
        <v>33</v>
      </c>
      <c r="C67" s="202">
        <v>33</v>
      </c>
      <c r="D67" s="202">
        <v>0</v>
      </c>
      <c r="E67" s="202">
        <v>0</v>
      </c>
      <c r="F67" s="202">
        <v>0</v>
      </c>
      <c r="G67" s="202">
        <v>0</v>
      </c>
      <c r="H67" s="202">
        <v>0</v>
      </c>
      <c r="I67" s="202">
        <v>0</v>
      </c>
      <c r="J67" s="202">
        <v>0</v>
      </c>
      <c r="K67" s="202">
        <v>0</v>
      </c>
      <c r="L67" s="202">
        <v>0</v>
      </c>
      <c r="M67" s="202">
        <v>0</v>
      </c>
    </row>
    <row r="68" spans="1:13" s="631" customFormat="1" x14ac:dyDescent="0.2">
      <c r="A68" s="629" t="s">
        <v>265</v>
      </c>
      <c r="B68" s="630">
        <f t="shared" ref="B68:M68" si="4">SUM(B60:B67)</f>
        <v>137</v>
      </c>
      <c r="C68" s="630">
        <f t="shared" si="4"/>
        <v>137</v>
      </c>
      <c r="D68" s="630">
        <f t="shared" si="4"/>
        <v>16</v>
      </c>
      <c r="E68" s="630">
        <f t="shared" si="4"/>
        <v>1</v>
      </c>
      <c r="F68" s="630">
        <f t="shared" si="4"/>
        <v>0</v>
      </c>
      <c r="G68" s="630">
        <f t="shared" si="4"/>
        <v>0</v>
      </c>
      <c r="H68" s="630">
        <f t="shared" si="4"/>
        <v>0</v>
      </c>
      <c r="I68" s="630">
        <f t="shared" si="4"/>
        <v>0</v>
      </c>
      <c r="J68" s="630">
        <f t="shared" si="4"/>
        <v>0</v>
      </c>
      <c r="K68" s="630">
        <f t="shared" si="4"/>
        <v>0</v>
      </c>
      <c r="L68" s="630">
        <f t="shared" si="4"/>
        <v>0</v>
      </c>
      <c r="M68" s="630">
        <f t="shared" si="4"/>
        <v>0</v>
      </c>
    </row>
    <row r="69" spans="1:13" s="128" customFormat="1" ht="32.25" customHeight="1" x14ac:dyDescent="0.2">
      <c r="A69" s="627" t="s">
        <v>880</v>
      </c>
      <c r="B69" s="205">
        <f>SUM(B68)</f>
        <v>137</v>
      </c>
      <c r="C69" s="205">
        <f t="shared" ref="C69:M69" si="5">SUM(C68)</f>
        <v>137</v>
      </c>
      <c r="D69" s="205">
        <f t="shared" si="5"/>
        <v>16</v>
      </c>
      <c r="E69" s="205">
        <f t="shared" si="5"/>
        <v>1</v>
      </c>
      <c r="F69" s="205">
        <f t="shared" si="5"/>
        <v>0</v>
      </c>
      <c r="G69" s="205">
        <f t="shared" si="5"/>
        <v>0</v>
      </c>
      <c r="H69" s="205">
        <f t="shared" si="5"/>
        <v>0</v>
      </c>
      <c r="I69" s="205">
        <f t="shared" si="5"/>
        <v>0</v>
      </c>
      <c r="J69" s="205">
        <f t="shared" si="5"/>
        <v>0</v>
      </c>
      <c r="K69" s="205">
        <f t="shared" si="5"/>
        <v>0</v>
      </c>
      <c r="L69" s="205">
        <f t="shared" si="5"/>
        <v>0</v>
      </c>
      <c r="M69" s="205">
        <f t="shared" si="5"/>
        <v>0</v>
      </c>
    </row>
  </sheetData>
  <mergeCells count="6">
    <mergeCell ref="A3:M3"/>
    <mergeCell ref="A4:M4"/>
    <mergeCell ref="A5:M5"/>
    <mergeCell ref="A59:D59"/>
    <mergeCell ref="A63:D63"/>
    <mergeCell ref="A61:H61"/>
  </mergeCells>
  <phoneticPr fontId="0" type="noConversion"/>
  <printOptions horizontalCentered="1"/>
  <pageMargins left="0.39370078740157483" right="0.39370078740157483" top="0.78740157480314965" bottom="0.59055118110236227" header="0" footer="0"/>
  <pageSetup paperSize="9" scale="90" orientation="landscape" r:id="rId1"/>
  <headerFooter alignWithMargins="0"/>
  <rowBreaks count="1" manualBreakCount="1">
    <brk id="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5"/>
  <sheetViews>
    <sheetView zoomScaleNormal="100" zoomScaleSheetLayoutView="100" workbookViewId="0">
      <selection activeCell="C2" sqref="C2"/>
    </sheetView>
  </sheetViews>
  <sheetFormatPr defaultColWidth="8.85546875" defaultRowHeight="15" x14ac:dyDescent="0.2"/>
  <cols>
    <col min="1" max="1" width="4.140625" style="130" bestFit="1" customWidth="1"/>
    <col min="2" max="2" width="2.42578125" style="6" customWidth="1"/>
    <col min="3" max="3" width="90" style="6" customWidth="1"/>
    <col min="4" max="4" width="12.5703125" style="6" customWidth="1"/>
    <col min="5" max="16384" width="8.85546875" style="6"/>
  </cols>
  <sheetData>
    <row r="1" spans="1:5" x14ac:dyDescent="0.2">
      <c r="C1" s="812" t="s">
        <v>1091</v>
      </c>
      <c r="D1" s="1005"/>
      <c r="E1" s="129"/>
    </row>
    <row r="2" spans="1:5" x14ac:dyDescent="0.2">
      <c r="C2" s="9"/>
      <c r="D2" s="743"/>
      <c r="E2" s="129"/>
    </row>
    <row r="3" spans="1:5" x14ac:dyDescent="0.2">
      <c r="B3" s="1025" t="s">
        <v>927</v>
      </c>
      <c r="C3" s="1025"/>
      <c r="D3" s="1025"/>
    </row>
    <row r="4" spans="1:5" ht="6" customHeight="1" x14ac:dyDescent="0.2">
      <c r="B4" s="1025"/>
      <c r="C4" s="1025"/>
      <c r="D4" s="1025"/>
    </row>
    <row r="5" spans="1:5" ht="15.75" thickBot="1" x14ac:dyDescent="0.25">
      <c r="D5" s="9" t="s">
        <v>625</v>
      </c>
    </row>
    <row r="6" spans="1:5" s="7" customFormat="1" ht="14.25" x14ac:dyDescent="0.2">
      <c r="A6" s="1034" t="s">
        <v>716</v>
      </c>
      <c r="B6" s="1028" t="s">
        <v>619</v>
      </c>
      <c r="C6" s="1029"/>
      <c r="D6" s="10" t="s">
        <v>635</v>
      </c>
    </row>
    <row r="7" spans="1:5" s="160" customFormat="1" ht="12" x14ac:dyDescent="0.2">
      <c r="A7" s="1035"/>
      <c r="B7" s="1030" t="s">
        <v>710</v>
      </c>
      <c r="C7" s="1030"/>
      <c r="D7" s="159" t="s">
        <v>711</v>
      </c>
    </row>
    <row r="8" spans="1:5" s="7" customFormat="1" ht="14.25" x14ac:dyDescent="0.2">
      <c r="A8" s="166">
        <v>1</v>
      </c>
      <c r="B8" s="161" t="s">
        <v>626</v>
      </c>
      <c r="C8" s="20"/>
      <c r="D8" s="11"/>
    </row>
    <row r="9" spans="1:5" s="22" customFormat="1" x14ac:dyDescent="0.2">
      <c r="A9" s="166">
        <v>2</v>
      </c>
      <c r="B9" s="162" t="s">
        <v>726</v>
      </c>
      <c r="C9" s="21"/>
      <c r="D9" s="19"/>
    </row>
    <row r="10" spans="1:5" x14ac:dyDescent="0.2">
      <c r="A10" s="166">
        <v>3</v>
      </c>
      <c r="B10" s="132" t="s">
        <v>636</v>
      </c>
      <c r="C10" s="664" t="s">
        <v>995</v>
      </c>
      <c r="D10" s="150">
        <v>5500</v>
      </c>
    </row>
    <row r="11" spans="1:5" x14ac:dyDescent="0.2">
      <c r="A11" s="166">
        <v>5</v>
      </c>
      <c r="B11" s="132" t="s">
        <v>636</v>
      </c>
      <c r="C11" s="664" t="s">
        <v>925</v>
      </c>
      <c r="D11" s="12">
        <v>216</v>
      </c>
    </row>
    <row r="12" spans="1:5" x14ac:dyDescent="0.2">
      <c r="A12" s="166">
        <v>6</v>
      </c>
      <c r="B12" s="132" t="s">
        <v>636</v>
      </c>
      <c r="C12" s="664" t="s">
        <v>990</v>
      </c>
      <c r="D12" s="12">
        <v>250</v>
      </c>
    </row>
    <row r="13" spans="1:5" x14ac:dyDescent="0.2">
      <c r="A13" s="166">
        <v>7</v>
      </c>
      <c r="B13" s="132" t="s">
        <v>636</v>
      </c>
      <c r="C13" s="665" t="s">
        <v>279</v>
      </c>
      <c r="D13" s="12">
        <v>420421</v>
      </c>
    </row>
    <row r="14" spans="1:5" x14ac:dyDescent="0.2">
      <c r="A14" s="166">
        <v>8</v>
      </c>
      <c r="B14" s="132" t="s">
        <v>636</v>
      </c>
      <c r="C14" s="665" t="s">
        <v>565</v>
      </c>
      <c r="D14" s="12">
        <v>768006</v>
      </c>
    </row>
    <row r="15" spans="1:5" x14ac:dyDescent="0.2">
      <c r="A15" s="166">
        <v>9</v>
      </c>
      <c r="B15" s="132" t="s">
        <v>636</v>
      </c>
      <c r="C15" s="664" t="s">
        <v>278</v>
      </c>
      <c r="D15" s="12">
        <v>161</v>
      </c>
    </row>
    <row r="16" spans="1:5" x14ac:dyDescent="0.2">
      <c r="A16" s="166">
        <v>10</v>
      </c>
      <c r="B16" s="132" t="s">
        <v>636</v>
      </c>
      <c r="C16" s="664" t="s">
        <v>992</v>
      </c>
      <c r="D16" s="12">
        <v>127</v>
      </c>
    </row>
    <row r="17" spans="1:4" ht="30" x14ac:dyDescent="0.2">
      <c r="A17" s="166">
        <v>11</v>
      </c>
      <c r="B17" s="132" t="s">
        <v>636</v>
      </c>
      <c r="C17" s="664" t="s">
        <v>1000</v>
      </c>
      <c r="D17" s="12">
        <v>490</v>
      </c>
    </row>
    <row r="18" spans="1:4" x14ac:dyDescent="0.2">
      <c r="A18" s="166">
        <v>12</v>
      </c>
      <c r="B18" s="132" t="s">
        <v>636</v>
      </c>
      <c r="C18" s="664" t="s">
        <v>1072</v>
      </c>
      <c r="D18" s="12">
        <f>8184-8184</f>
        <v>0</v>
      </c>
    </row>
    <row r="19" spans="1:4" x14ac:dyDescent="0.2">
      <c r="A19" s="166">
        <v>13</v>
      </c>
      <c r="B19" s="132" t="s">
        <v>636</v>
      </c>
      <c r="C19" s="664" t="s">
        <v>1074</v>
      </c>
      <c r="D19" s="12">
        <f>430+156</f>
        <v>586</v>
      </c>
    </row>
    <row r="20" spans="1:4" x14ac:dyDescent="0.2">
      <c r="A20" s="166">
        <v>14</v>
      </c>
      <c r="B20" s="132" t="s">
        <v>636</v>
      </c>
      <c r="C20" s="664" t="s">
        <v>1075</v>
      </c>
      <c r="D20" s="12">
        <v>6000</v>
      </c>
    </row>
    <row r="21" spans="1:4" ht="20.25" customHeight="1" x14ac:dyDescent="0.2">
      <c r="A21" s="166">
        <v>15</v>
      </c>
      <c r="B21" s="132" t="s">
        <v>636</v>
      </c>
      <c r="C21" s="600" t="s">
        <v>988</v>
      </c>
      <c r="D21" s="12">
        <v>3000</v>
      </c>
    </row>
    <row r="22" spans="1:4" s="76" customFormat="1" x14ac:dyDescent="0.2">
      <c r="A22" s="166">
        <v>16</v>
      </c>
      <c r="B22" s="132"/>
      <c r="C22" s="24" t="s">
        <v>653</v>
      </c>
      <c r="D22" s="152">
        <f>SUM(D10:D21)</f>
        <v>1204757</v>
      </c>
    </row>
    <row r="23" spans="1:4" s="76" customFormat="1" x14ac:dyDescent="0.2">
      <c r="A23" s="166">
        <v>17</v>
      </c>
      <c r="B23" s="1031" t="s">
        <v>633</v>
      </c>
      <c r="C23" s="1032"/>
      <c r="D23" s="1033"/>
    </row>
    <row r="24" spans="1:4" s="76" customFormat="1" x14ac:dyDescent="0.2">
      <c r="A24" s="166">
        <v>18</v>
      </c>
      <c r="B24" s="132" t="s">
        <v>636</v>
      </c>
      <c r="C24" s="601" t="s">
        <v>277</v>
      </c>
      <c r="D24" s="599">
        <v>445</v>
      </c>
    </row>
    <row r="25" spans="1:4" s="76" customFormat="1" x14ac:dyDescent="0.2">
      <c r="A25" s="166">
        <v>19</v>
      </c>
      <c r="B25" s="598"/>
      <c r="C25" s="24" t="s">
        <v>829</v>
      </c>
      <c r="D25" s="152">
        <f>SUM(D24)</f>
        <v>445</v>
      </c>
    </row>
    <row r="26" spans="1:4" s="76" customFormat="1" x14ac:dyDescent="0.2">
      <c r="A26" s="166">
        <v>20</v>
      </c>
      <c r="B26" s="1031" t="s">
        <v>997</v>
      </c>
      <c r="C26" s="1032"/>
      <c r="D26" s="1033"/>
    </row>
    <row r="27" spans="1:4" s="76" customFormat="1" x14ac:dyDescent="0.2">
      <c r="A27" s="166">
        <v>21</v>
      </c>
      <c r="B27" s="132" t="s">
        <v>636</v>
      </c>
      <c r="C27" s="601" t="s">
        <v>999</v>
      </c>
      <c r="D27" s="599">
        <f>254-50</f>
        <v>204</v>
      </c>
    </row>
    <row r="28" spans="1:4" s="76" customFormat="1" x14ac:dyDescent="0.2">
      <c r="A28" s="166">
        <v>22</v>
      </c>
      <c r="B28" s="598"/>
      <c r="C28" s="24" t="s">
        <v>998</v>
      </c>
      <c r="D28" s="152">
        <f>SUM(D27)</f>
        <v>204</v>
      </c>
    </row>
    <row r="29" spans="1:4" s="7" customFormat="1" thickBot="1" x14ac:dyDescent="0.25">
      <c r="A29" s="166">
        <v>23</v>
      </c>
      <c r="B29" s="25" t="s">
        <v>622</v>
      </c>
      <c r="C29" s="25"/>
      <c r="D29" s="15">
        <f>SUM(D28+D25+D22)</f>
        <v>1205406</v>
      </c>
    </row>
    <row r="30" spans="1:4" x14ac:dyDescent="0.2">
      <c r="A30" s="166">
        <v>24</v>
      </c>
      <c r="B30" s="1026" t="s">
        <v>634</v>
      </c>
      <c r="C30" s="1026"/>
      <c r="D30" s="1027"/>
    </row>
    <row r="31" spans="1:4" s="22" customFormat="1" x14ac:dyDescent="0.2">
      <c r="A31" s="166">
        <v>25</v>
      </c>
      <c r="B31" s="207" t="s">
        <v>726</v>
      </c>
      <c r="C31" s="23"/>
      <c r="D31" s="13"/>
    </row>
    <row r="32" spans="1:4" s="22" customFormat="1" x14ac:dyDescent="0.2">
      <c r="A32" s="166">
        <v>26</v>
      </c>
      <c r="B32" s="132" t="s">
        <v>636</v>
      </c>
      <c r="C32" s="664" t="s">
        <v>989</v>
      </c>
      <c r="D32" s="12">
        <v>579</v>
      </c>
    </row>
    <row r="33" spans="1:4" s="22" customFormat="1" x14ac:dyDescent="0.2">
      <c r="A33" s="166">
        <v>27</v>
      </c>
      <c r="B33" s="132" t="s">
        <v>636</v>
      </c>
      <c r="C33" s="664" t="s">
        <v>991</v>
      </c>
      <c r="D33" s="12">
        <v>350</v>
      </c>
    </row>
    <row r="34" spans="1:4" s="22" customFormat="1" x14ac:dyDescent="0.2">
      <c r="A34" s="166">
        <v>28</v>
      </c>
      <c r="B34" s="132" t="s">
        <v>636</v>
      </c>
      <c r="C34" s="763" t="s">
        <v>1073</v>
      </c>
      <c r="D34" s="12">
        <f>301-301</f>
        <v>0</v>
      </c>
    </row>
    <row r="35" spans="1:4" s="22" customFormat="1" x14ac:dyDescent="0.2">
      <c r="A35" s="166">
        <v>29</v>
      </c>
      <c r="B35" s="164"/>
      <c r="C35" s="8" t="s">
        <v>653</v>
      </c>
      <c r="D35" s="47">
        <f>SUM(D32:D34)</f>
        <v>929</v>
      </c>
    </row>
    <row r="36" spans="1:4" ht="15.75" thickBot="1" x14ac:dyDescent="0.25">
      <c r="A36" s="166">
        <v>30</v>
      </c>
      <c r="B36" s="163" t="s">
        <v>622</v>
      </c>
      <c r="C36" s="25"/>
      <c r="D36" s="17">
        <f>SUM(D35)</f>
        <v>929</v>
      </c>
    </row>
    <row r="37" spans="1:4" x14ac:dyDescent="0.2">
      <c r="A37" s="166">
        <v>31</v>
      </c>
      <c r="B37" s="1026" t="s">
        <v>248</v>
      </c>
      <c r="C37" s="1026"/>
      <c r="D37" s="1027"/>
    </row>
    <row r="38" spans="1:4" s="22" customFormat="1" x14ac:dyDescent="0.2">
      <c r="A38" s="166">
        <v>32</v>
      </c>
      <c r="B38" s="26" t="s">
        <v>726</v>
      </c>
      <c r="C38" s="23"/>
      <c r="D38" s="16"/>
    </row>
    <row r="39" spans="1:4" s="22" customFormat="1" x14ac:dyDescent="0.2">
      <c r="A39" s="166">
        <v>33</v>
      </c>
      <c r="B39" s="132" t="s">
        <v>636</v>
      </c>
      <c r="C39" s="601" t="s">
        <v>706</v>
      </c>
      <c r="D39" s="14">
        <v>399</v>
      </c>
    </row>
    <row r="40" spans="1:4" s="22" customFormat="1" x14ac:dyDescent="0.2">
      <c r="A40" s="166">
        <v>34</v>
      </c>
      <c r="B40" s="132" t="s">
        <v>636</v>
      </c>
      <c r="C40" s="601" t="s">
        <v>994</v>
      </c>
      <c r="D40" s="14">
        <v>500</v>
      </c>
    </row>
    <row r="41" spans="1:4" s="22" customFormat="1" ht="30" x14ac:dyDescent="0.2">
      <c r="A41" s="166">
        <v>35</v>
      </c>
      <c r="B41" s="132" t="s">
        <v>636</v>
      </c>
      <c r="C41" s="756" t="s">
        <v>993</v>
      </c>
      <c r="D41" s="14">
        <v>1830</v>
      </c>
    </row>
    <row r="42" spans="1:4" s="7" customFormat="1" thickBot="1" x14ac:dyDescent="0.25">
      <c r="A42" s="166">
        <v>36</v>
      </c>
      <c r="B42" s="27" t="s">
        <v>622</v>
      </c>
      <c r="C42" s="25"/>
      <c r="D42" s="18">
        <f>SUM(D39:D41)</f>
        <v>2729</v>
      </c>
    </row>
    <row r="43" spans="1:4" hidden="1" x14ac:dyDescent="0.2">
      <c r="A43" s="166">
        <v>33</v>
      </c>
      <c r="B43" s="1026" t="s">
        <v>707</v>
      </c>
      <c r="C43" s="1026"/>
      <c r="D43" s="1027"/>
    </row>
    <row r="44" spans="1:4" s="22" customFormat="1" hidden="1" x14ac:dyDescent="0.2">
      <c r="A44" s="166">
        <v>34</v>
      </c>
      <c r="B44" s="132"/>
      <c r="C44" s="49"/>
      <c r="D44" s="48"/>
    </row>
    <row r="45" spans="1:4" s="7" customFormat="1" hidden="1" thickBot="1" x14ac:dyDescent="0.25">
      <c r="A45" s="166">
        <v>35</v>
      </c>
      <c r="B45" s="27" t="s">
        <v>622</v>
      </c>
      <c r="C45" s="25"/>
      <c r="D45" s="18">
        <f>SUM(D44:D44)</f>
        <v>0</v>
      </c>
    </row>
    <row r="46" spans="1:4" x14ac:dyDescent="0.2">
      <c r="A46" s="166">
        <v>37</v>
      </c>
      <c r="B46" s="1026" t="s">
        <v>708</v>
      </c>
      <c r="C46" s="1026"/>
      <c r="D46" s="1027"/>
    </row>
    <row r="47" spans="1:4" x14ac:dyDescent="0.2">
      <c r="A47" s="166">
        <v>38</v>
      </c>
      <c r="B47" s="26" t="s">
        <v>726</v>
      </c>
      <c r="C47" s="151"/>
      <c r="D47" s="149"/>
    </row>
    <row r="48" spans="1:4" x14ac:dyDescent="0.2">
      <c r="A48" s="166">
        <v>39</v>
      </c>
      <c r="B48" s="132" t="s">
        <v>636</v>
      </c>
      <c r="C48" s="133" t="s">
        <v>996</v>
      </c>
      <c r="D48" s="757">
        <v>40540</v>
      </c>
    </row>
    <row r="49" spans="1:4" ht="30" x14ac:dyDescent="0.2">
      <c r="A49" s="166">
        <v>40</v>
      </c>
      <c r="B49" s="132" t="s">
        <v>636</v>
      </c>
      <c r="C49" s="133" t="s">
        <v>926</v>
      </c>
      <c r="D49" s="699">
        <v>195</v>
      </c>
    </row>
    <row r="50" spans="1:4" s="7" customFormat="1" thickBot="1" x14ac:dyDescent="0.25">
      <c r="A50" s="166">
        <v>41</v>
      </c>
      <c r="B50" s="27" t="s">
        <v>622</v>
      </c>
      <c r="C50" s="25"/>
      <c r="D50" s="18">
        <f>SUM(D48:D49)</f>
        <v>40735</v>
      </c>
    </row>
    <row r="51" spans="1:4" ht="21" customHeight="1" thickBot="1" x14ac:dyDescent="0.25">
      <c r="A51" s="167">
        <v>42</v>
      </c>
      <c r="B51" s="165" t="s">
        <v>623</v>
      </c>
      <c r="C51" s="27"/>
      <c r="D51" s="18">
        <f>SUM(D50+D42+D36+D29)</f>
        <v>1249799</v>
      </c>
    </row>
    <row r="53" spans="1:4" ht="21" customHeight="1" x14ac:dyDescent="0.2"/>
    <row r="55" spans="1:4" x14ac:dyDescent="0.2">
      <c r="B55" s="1036"/>
      <c r="C55" s="1036"/>
      <c r="D55" s="1036"/>
    </row>
  </sheetData>
  <mergeCells count="13">
    <mergeCell ref="A6:A7"/>
    <mergeCell ref="B43:D43"/>
    <mergeCell ref="B46:D46"/>
    <mergeCell ref="B55:D55"/>
    <mergeCell ref="B26:D26"/>
    <mergeCell ref="C1:D1"/>
    <mergeCell ref="B4:D4"/>
    <mergeCell ref="B37:D37"/>
    <mergeCell ref="B3:D3"/>
    <mergeCell ref="B6:C6"/>
    <mergeCell ref="B30:D30"/>
    <mergeCell ref="B7:C7"/>
    <mergeCell ref="B23:D23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00B050"/>
  </sheetPr>
  <dimension ref="A1:E37"/>
  <sheetViews>
    <sheetView workbookViewId="0">
      <selection activeCell="C2" sqref="C2"/>
    </sheetView>
  </sheetViews>
  <sheetFormatPr defaultColWidth="8.85546875" defaultRowHeight="15" x14ac:dyDescent="0.2"/>
  <cols>
    <col min="1" max="1" width="4.140625" style="135" bestFit="1" customWidth="1"/>
    <col min="2" max="2" width="2.42578125" style="90" customWidth="1"/>
    <col min="3" max="3" width="59.28515625" style="90" customWidth="1"/>
    <col min="4" max="4" width="13.7109375" style="90" customWidth="1"/>
    <col min="5" max="16384" width="8.85546875" style="90"/>
  </cols>
  <sheetData>
    <row r="1" spans="1:5" x14ac:dyDescent="0.2">
      <c r="C1" s="812" t="s">
        <v>1092</v>
      </c>
      <c r="D1" s="1005"/>
      <c r="E1" s="129"/>
    </row>
    <row r="2" spans="1:5" x14ac:dyDescent="0.2">
      <c r="C2" s="5"/>
      <c r="D2" s="129"/>
      <c r="E2" s="129"/>
    </row>
    <row r="3" spans="1:5" x14ac:dyDescent="0.2">
      <c r="B3" s="1040" t="s">
        <v>637</v>
      </c>
      <c r="C3" s="1040"/>
      <c r="D3" s="1040"/>
    </row>
    <row r="4" spans="1:5" x14ac:dyDescent="0.2">
      <c r="B4" s="1040" t="s">
        <v>727</v>
      </c>
      <c r="C4" s="1040"/>
      <c r="D4" s="1040"/>
    </row>
    <row r="5" spans="1:5" x14ac:dyDescent="0.2">
      <c r="B5" s="92"/>
      <c r="C5" s="92"/>
      <c r="D5" s="92"/>
    </row>
    <row r="6" spans="1:5" x14ac:dyDescent="0.2">
      <c r="D6" s="91" t="s">
        <v>625</v>
      </c>
    </row>
    <row r="7" spans="1:5" s="93" customFormat="1" ht="21.6" customHeight="1" x14ac:dyDescent="0.2">
      <c r="A7" s="1037" t="s">
        <v>716</v>
      </c>
      <c r="B7" s="1041" t="s">
        <v>619</v>
      </c>
      <c r="C7" s="1041"/>
      <c r="D7" s="137" t="s">
        <v>635</v>
      </c>
    </row>
    <row r="8" spans="1:5" s="134" customFormat="1" ht="12" x14ac:dyDescent="0.2">
      <c r="A8" s="1038"/>
      <c r="B8" s="1042" t="s">
        <v>710</v>
      </c>
      <c r="C8" s="1043"/>
      <c r="D8" s="136" t="s">
        <v>711</v>
      </c>
    </row>
    <row r="9" spans="1:5" s="93" customFormat="1" ht="25.5" customHeight="1" x14ac:dyDescent="0.2">
      <c r="A9" s="136">
        <v>1</v>
      </c>
      <c r="B9" s="95" t="s">
        <v>649</v>
      </c>
      <c r="C9" s="94"/>
      <c r="D9" s="143"/>
    </row>
    <row r="10" spans="1:5" x14ac:dyDescent="0.2">
      <c r="A10" s="136">
        <v>2</v>
      </c>
      <c r="B10" s="138" t="s">
        <v>725</v>
      </c>
      <c r="C10" s="133" t="s">
        <v>717</v>
      </c>
      <c r="D10" s="139">
        <v>1000</v>
      </c>
    </row>
    <row r="11" spans="1:5" s="93" customFormat="1" ht="16.149999999999999" customHeight="1" x14ac:dyDescent="0.2">
      <c r="A11" s="136">
        <v>3</v>
      </c>
      <c r="B11" s="95" t="s">
        <v>622</v>
      </c>
      <c r="C11" s="95"/>
      <c r="D11" s="140">
        <f>SUM(D10:D10)</f>
        <v>1000</v>
      </c>
    </row>
    <row r="12" spans="1:5" s="93" customFormat="1" ht="6" customHeight="1" x14ac:dyDescent="0.2">
      <c r="A12" s="142"/>
      <c r="B12" s="141"/>
      <c r="C12" s="141"/>
      <c r="D12" s="143"/>
    </row>
    <row r="13" spans="1:5" s="93" customFormat="1" ht="25.5" customHeight="1" x14ac:dyDescent="0.2">
      <c r="A13" s="136">
        <v>4</v>
      </c>
      <c r="B13" s="1039" t="s">
        <v>648</v>
      </c>
      <c r="C13" s="1039"/>
      <c r="D13" s="1039"/>
    </row>
    <row r="14" spans="1:5" s="93" customFormat="1" x14ac:dyDescent="0.2">
      <c r="A14" s="136">
        <v>5</v>
      </c>
      <c r="B14" s="138" t="s">
        <v>725</v>
      </c>
      <c r="C14" s="133" t="s">
        <v>928</v>
      </c>
      <c r="D14" s="139">
        <f>1519-323</f>
        <v>1196</v>
      </c>
    </row>
    <row r="15" spans="1:5" s="93" customFormat="1" ht="30" x14ac:dyDescent="0.2">
      <c r="A15" s="136">
        <v>6</v>
      </c>
      <c r="B15" s="138" t="s">
        <v>725</v>
      </c>
      <c r="C15" s="133" t="s">
        <v>929</v>
      </c>
      <c r="D15" s="139">
        <v>200</v>
      </c>
    </row>
    <row r="16" spans="1:5" s="93" customFormat="1" x14ac:dyDescent="0.2">
      <c r="A16" s="136">
        <v>7</v>
      </c>
      <c r="B16" s="138" t="s">
        <v>725</v>
      </c>
      <c r="C16" s="133" t="s">
        <v>936</v>
      </c>
      <c r="D16" s="139">
        <v>3000</v>
      </c>
    </row>
    <row r="17" spans="1:4" ht="16.149999999999999" customHeight="1" x14ac:dyDescent="0.2">
      <c r="A17" s="136">
        <v>8</v>
      </c>
      <c r="B17" s="95" t="s">
        <v>622</v>
      </c>
      <c r="C17" s="95"/>
      <c r="D17" s="140">
        <f>SUM(D14:D16)</f>
        <v>4396</v>
      </c>
    </row>
    <row r="18" spans="1:4" s="93" customFormat="1" ht="7.5" customHeight="1" x14ac:dyDescent="0.2">
      <c r="A18" s="142"/>
      <c r="B18" s="141"/>
      <c r="C18" s="141"/>
      <c r="D18" s="143"/>
    </row>
    <row r="19" spans="1:4" s="93" customFormat="1" ht="25.5" customHeight="1" x14ac:dyDescent="0.2">
      <c r="A19" s="136">
        <v>9</v>
      </c>
      <c r="B19" s="95" t="s">
        <v>753</v>
      </c>
      <c r="C19" s="94"/>
      <c r="D19" s="143"/>
    </row>
    <row r="20" spans="1:4" x14ac:dyDescent="0.2">
      <c r="A20" s="136">
        <v>10</v>
      </c>
      <c r="B20" s="138" t="s">
        <v>725</v>
      </c>
      <c r="C20" s="133" t="s">
        <v>754</v>
      </c>
      <c r="D20" s="139">
        <v>1000</v>
      </c>
    </row>
    <row r="21" spans="1:4" ht="17.25" customHeight="1" x14ac:dyDescent="0.2">
      <c r="A21" s="767">
        <v>11</v>
      </c>
      <c r="B21" s="138" t="s">
        <v>725</v>
      </c>
      <c r="C21" s="133" t="s">
        <v>1077</v>
      </c>
      <c r="D21" s="768">
        <v>-3517</v>
      </c>
    </row>
    <row r="22" spans="1:4" ht="30" x14ac:dyDescent="0.2">
      <c r="A22" s="767">
        <v>12</v>
      </c>
      <c r="B22" s="138" t="s">
        <v>725</v>
      </c>
      <c r="C22" s="133" t="s">
        <v>1078</v>
      </c>
      <c r="D22" s="768">
        <v>-100</v>
      </c>
    </row>
    <row r="23" spans="1:4" ht="19.5" customHeight="1" x14ac:dyDescent="0.2">
      <c r="A23" s="767">
        <v>13</v>
      </c>
      <c r="B23" s="138" t="s">
        <v>725</v>
      </c>
      <c r="C23" s="133" t="s">
        <v>1079</v>
      </c>
      <c r="D23" s="768">
        <v>-859</v>
      </c>
    </row>
    <row r="24" spans="1:4" ht="31.5" customHeight="1" x14ac:dyDescent="0.2">
      <c r="A24" s="767">
        <v>14</v>
      </c>
      <c r="B24" s="138" t="s">
        <v>725</v>
      </c>
      <c r="C24" s="133" t="s">
        <v>1082</v>
      </c>
      <c r="D24" s="768">
        <v>-250</v>
      </c>
    </row>
    <row r="25" spans="1:4" x14ac:dyDescent="0.2">
      <c r="A25" s="767">
        <v>15</v>
      </c>
      <c r="B25" s="138" t="s">
        <v>725</v>
      </c>
      <c r="C25" s="133" t="s">
        <v>1080</v>
      </c>
      <c r="D25" s="139">
        <v>720</v>
      </c>
    </row>
    <row r="26" spans="1:4" ht="30" x14ac:dyDescent="0.2">
      <c r="A26" s="767">
        <v>16</v>
      </c>
      <c r="B26" s="138" t="s">
        <v>725</v>
      </c>
      <c r="C26" s="133" t="s">
        <v>1081</v>
      </c>
      <c r="D26" s="139">
        <v>3517</v>
      </c>
    </row>
    <row r="27" spans="1:4" s="93" customFormat="1" ht="16.149999999999999" customHeight="1" x14ac:dyDescent="0.2">
      <c r="A27" s="136">
        <v>17</v>
      </c>
      <c r="B27" s="95" t="s">
        <v>622</v>
      </c>
      <c r="C27" s="95"/>
      <c r="D27" s="140">
        <f>SUM(D20:D26)</f>
        <v>511</v>
      </c>
    </row>
    <row r="28" spans="1:4" s="93" customFormat="1" ht="7.5" customHeight="1" x14ac:dyDescent="0.2">
      <c r="A28" s="142"/>
      <c r="B28" s="141"/>
      <c r="C28" s="141"/>
      <c r="D28" s="143"/>
    </row>
    <row r="29" spans="1:4" ht="16.149999999999999" customHeight="1" x14ac:dyDescent="0.2">
      <c r="A29" s="136">
        <v>18</v>
      </c>
      <c r="B29" s="95" t="s">
        <v>651</v>
      </c>
      <c r="C29" s="95"/>
      <c r="D29" s="140">
        <f>SUM(D11,D17,D27)</f>
        <v>5907</v>
      </c>
    </row>
    <row r="30" spans="1:4" s="93" customFormat="1" ht="8.25" customHeight="1" x14ac:dyDescent="0.2">
      <c r="A30" s="142"/>
      <c r="B30" s="141"/>
      <c r="C30" s="141"/>
      <c r="D30" s="143"/>
    </row>
    <row r="31" spans="1:4" s="93" customFormat="1" ht="25.5" customHeight="1" x14ac:dyDescent="0.2">
      <c r="A31" s="136">
        <v>19</v>
      </c>
      <c r="B31" s="1039" t="s">
        <v>631</v>
      </c>
      <c r="C31" s="1039"/>
      <c r="D31" s="1039"/>
    </row>
    <row r="32" spans="1:4" s="93" customFormat="1" ht="45.75" customHeight="1" x14ac:dyDescent="0.2">
      <c r="A32" s="136">
        <v>20</v>
      </c>
      <c r="B32" s="138" t="s">
        <v>725</v>
      </c>
      <c r="C32" s="133" t="s">
        <v>926</v>
      </c>
      <c r="D32" s="139">
        <v>195</v>
      </c>
    </row>
    <row r="33" spans="1:4" s="93" customFormat="1" ht="57.75" customHeight="1" x14ac:dyDescent="0.2">
      <c r="A33" s="136">
        <v>21</v>
      </c>
      <c r="B33" s="138" t="s">
        <v>725</v>
      </c>
      <c r="C33" s="133" t="s">
        <v>937</v>
      </c>
      <c r="D33" s="139">
        <v>40540</v>
      </c>
    </row>
    <row r="34" spans="1:4" s="93" customFormat="1" ht="6.75" customHeight="1" x14ac:dyDescent="0.2">
      <c r="A34" s="136"/>
      <c r="B34" s="138"/>
      <c r="C34" s="133"/>
      <c r="D34" s="139"/>
    </row>
    <row r="35" spans="1:4" ht="16.149999999999999" customHeight="1" x14ac:dyDescent="0.2">
      <c r="A35" s="136">
        <v>22</v>
      </c>
      <c r="B35" s="95" t="s">
        <v>652</v>
      </c>
      <c r="C35" s="95"/>
      <c r="D35" s="140">
        <f>SUM(D32:D34)</f>
        <v>40735</v>
      </c>
    </row>
    <row r="36" spans="1:4" s="93" customFormat="1" ht="6.75" customHeight="1" x14ac:dyDescent="0.2">
      <c r="A36" s="142"/>
      <c r="B36" s="141"/>
      <c r="C36" s="141"/>
      <c r="D36" s="143"/>
    </row>
    <row r="37" spans="1:4" ht="16.149999999999999" customHeight="1" x14ac:dyDescent="0.2">
      <c r="A37" s="136">
        <v>23</v>
      </c>
      <c r="B37" s="95" t="s">
        <v>650</v>
      </c>
      <c r="C37" s="95"/>
      <c r="D37" s="140">
        <f>SUM(D35,D29)</f>
        <v>46642</v>
      </c>
    </row>
  </sheetData>
  <mergeCells count="8">
    <mergeCell ref="A7:A8"/>
    <mergeCell ref="B31:D31"/>
    <mergeCell ref="B13:D13"/>
    <mergeCell ref="C1:D1"/>
    <mergeCell ref="B3:D3"/>
    <mergeCell ref="B7:C7"/>
    <mergeCell ref="B4:D4"/>
    <mergeCell ref="B8:C8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16</vt:i4>
      </vt:variant>
    </vt:vector>
  </HeadingPairs>
  <TitlesOfParts>
    <vt:vector size="27" baseType="lpstr">
      <vt:lpstr>1. bevételek</vt:lpstr>
      <vt:lpstr>2. kiadások</vt:lpstr>
      <vt:lpstr>3.műk.-felh.</vt:lpstr>
      <vt:lpstr>4.önkorm.szakf. </vt:lpstr>
      <vt:lpstr>5. kiadások megbontása</vt:lpstr>
      <vt:lpstr>6. források sz. bontás</vt:lpstr>
      <vt:lpstr>7.létszám</vt:lpstr>
      <vt:lpstr>8.felhki</vt:lpstr>
      <vt:lpstr>9.tart</vt:lpstr>
      <vt:lpstr>10.Stab.tv.saját bev.</vt:lpstr>
      <vt:lpstr>11.normatívák</vt:lpstr>
      <vt:lpstr>'1. bevételek'!Nyomtatási_cím</vt:lpstr>
      <vt:lpstr>'11.normatívák'!Nyomtatási_cím</vt:lpstr>
      <vt:lpstr>'2. kiadások'!Nyomtatási_cím</vt:lpstr>
      <vt:lpstr>'3.műk.-felh.'!Nyomtatási_cím</vt:lpstr>
      <vt:lpstr>'4.önkorm.szakf. '!Nyomtatási_cím</vt:lpstr>
      <vt:lpstr>'5. kiadások megbontása'!Nyomtatási_cím</vt:lpstr>
      <vt:lpstr>'7.létszám'!Nyomtatási_cím</vt:lpstr>
      <vt:lpstr>'9.tart'!Nyomtatási_cím</vt:lpstr>
      <vt:lpstr>'1. bevételek'!Nyomtatási_terület</vt:lpstr>
      <vt:lpstr>'11.normatívák'!Nyomtatási_terület</vt:lpstr>
      <vt:lpstr>'2. kiadások'!Nyomtatási_terület</vt:lpstr>
      <vt:lpstr>'4.önkorm.szakf. '!Nyomtatási_terület</vt:lpstr>
      <vt:lpstr>'5. kiadások megbontása'!Nyomtatási_terület</vt:lpstr>
      <vt:lpstr>'6. források sz. bontás'!Nyomtatási_terület</vt:lpstr>
      <vt:lpstr>'7.létszám'!Nyomtatási_terület</vt:lpstr>
      <vt:lpstr>'8.felhki'!Nyomtatási_terület</vt:lpstr>
    </vt:vector>
  </TitlesOfParts>
  <Company>OTP Bank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Tóth Erika</cp:lastModifiedBy>
  <cp:lastPrinted>2015-05-04T07:09:30Z</cp:lastPrinted>
  <dcterms:created xsi:type="dcterms:W3CDTF">2001-11-30T10:27:10Z</dcterms:created>
  <dcterms:modified xsi:type="dcterms:W3CDTF">2015-05-04T07:09:44Z</dcterms:modified>
</cp:coreProperties>
</file>